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style1.xml" ContentType="application/vnd.ms-office.chartstyle+xml"/>
  <Override PartName="/xl/charts/colors1.xml" ContentType="application/vnd.ms-office.chartcolorstyle+xml"/>
  <Override PartName="/xl/charts/chart4.xml" ContentType="application/vnd.openxmlformats-officedocument.drawingml.chart+xml"/>
  <Override PartName="/xl/charts/style2.xml" ContentType="application/vnd.ms-office.chartstyle+xml"/>
  <Override PartName="/xl/charts/colors2.xml" ContentType="application/vnd.ms-office.chartcolorstyle+xml"/>
  <Override PartName="/xl/charts/chart5.xml" ContentType="application/vnd.openxmlformats-officedocument.drawingml.chart+xml"/>
  <Override PartName="/xl/charts/style3.xml" ContentType="application/vnd.ms-office.chartstyle+xml"/>
  <Override PartName="/xl/charts/colors3.xml" ContentType="application/vnd.ms-office.chartcolorstyle+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style4.xml" ContentType="application/vnd.ms-office.chartstyle+xml"/>
  <Override PartName="/xl/charts/colors4.xml" ContentType="application/vnd.ms-office.chartcolorstyle+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style5.xml" ContentType="application/vnd.ms-office.chartstyle+xml"/>
  <Override PartName="/xl/charts/colors5.xml" ContentType="application/vnd.ms-office.chartcolorstyle+xml"/>
  <Override PartName="/xl/charts/chart13.xml" ContentType="application/vnd.openxmlformats-officedocument.drawingml.chart+xml"/>
  <Override PartName="/xl/charts/style6.xml" ContentType="application/vnd.ms-office.chartstyle+xml"/>
  <Override PartName="/xl/charts/colors6.xml" ContentType="application/vnd.ms-office.chartcolorstyle+xml"/>
  <Override PartName="/xl/charts/chart14.xml" ContentType="application/vnd.openxmlformats-officedocument.drawingml.chart+xml"/>
  <Override PartName="/xl/charts/style7.xml" ContentType="application/vnd.ms-office.chartstyle+xml"/>
  <Override PartName="/xl/charts/colors7.xml" ContentType="application/vnd.ms-office.chartcolorstyle+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charts/chart22.xml" ContentType="application/vnd.openxmlformats-officedocument.drawingml.chart+xml"/>
  <Override PartName="/xl/charts/chart23.xml" ContentType="application/vnd.openxmlformats-officedocument.drawingml.chart+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comments3.xml" ContentType="application/vnd.openxmlformats-officedocument.spreadsheetml.comments+xml"/>
  <Override PartName="/xl/threadedComments/threadedComment3.xml" ContentType="application/vnd.ms-excel.threadedcomments+xml"/>
  <Override PartName="/xl/comments4.xml" ContentType="application/vnd.openxmlformats-officedocument.spreadsheetml.comments+xml"/>
  <Override PartName="/xl/threadedComments/threadedComment4.xml" ContentType="application/vnd.ms-excel.threadedcomments+xml"/>
  <Override PartName="/xl/comments5.xml" ContentType="application/vnd.openxmlformats-officedocument.spreadsheetml.comments+xml"/>
  <Override PartName="/xl/threadedComments/threadedComment5.xml" ContentType="application/vnd.ms-excel.threadedcomments+xml"/>
  <Override PartName="/xl/comments6.xml" ContentType="application/vnd.openxmlformats-officedocument.spreadsheetml.comments+xml"/>
  <Override PartName="/xl/threadedComments/threadedComment6.xml" ContentType="application/vnd.ms-excel.threadedcomments+xml"/>
  <Override PartName="/xl/queryTables/queryTable1.xml" ContentType="application/vnd.openxmlformats-officedocument.spreadsheetml.queryTable+xml"/>
  <Override PartName="/xl/comments7.xml" ContentType="application/vnd.openxmlformats-officedocument.spreadsheetml.comments+xml"/>
  <Override PartName="/xl/threadedComments/threadedComment7.xml" ContentType="application/vnd.ms-excel.threadedcomments+xml"/>
  <Override PartName="/xl/comments8.xml" ContentType="application/vnd.openxmlformats-officedocument.spreadsheetml.comments+xml"/>
  <Override PartName="/xl/threadedComments/threadedComment8.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mc:AlternateContent xmlns:mc="http://schemas.openxmlformats.org/markup-compatibility/2006">
    <mc:Choice Requires="x15">
      <x15ac:absPath xmlns:x15ac="http://schemas.microsoft.com/office/spreadsheetml/2010/11/ac" url="C:\Users\voetevander\surfdrive\ARTICLES\Urban mine NL\"/>
    </mc:Choice>
  </mc:AlternateContent>
  <xr:revisionPtr revIDLastSave="0" documentId="13_ncr:1_{96843576-0F32-42C2-B24F-CA8AE5CC8E7C}" xr6:coauthVersionLast="47" xr6:coauthVersionMax="47" xr10:uidLastSave="{00000000-0000-0000-0000-000000000000}"/>
  <bookViews>
    <workbookView xWindow="-108" yWindow="-108" windowWidth="23256" windowHeight="12576" tabRatio="865" activeTab="8" xr2:uid="{00000000-000D-0000-FFFF-FFFF00000000}"/>
  </bookViews>
  <sheets>
    <sheet name="Front page" sheetId="24" r:id="rId1"/>
    <sheet name="1." sheetId="5" r:id="rId2"/>
    <sheet name="2.1." sheetId="7" r:id="rId3"/>
    <sheet name="2.2.a" sheetId="6" r:id="rId4"/>
    <sheet name="2.2.b" sheetId="21" r:id="rId5"/>
    <sheet name="2.3." sheetId="12" r:id="rId6"/>
    <sheet name="2.4." sheetId="25" r:id="rId7"/>
    <sheet name="2.5." sheetId="19" r:id="rId8"/>
    <sheet name="2.6." sheetId="23" r:id="rId9"/>
    <sheet name="2.7." sheetId="10" r:id="rId10"/>
    <sheet name="2.8." sheetId="11" r:id="rId11"/>
    <sheet name="3." sheetId="30" r:id="rId12"/>
    <sheet name="4." sheetId="29" r:id="rId13"/>
  </sheets>
  <externalReferences>
    <externalReference r:id="rId14"/>
  </externalReferences>
  <definedNames>
    <definedName name="materialenInProducten_voorraad_wide" localSheetId="10">'2.8.'!$A$44:$DO$82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3" i="19" l="1"/>
  <c r="F11" i="19"/>
  <c r="BF7" i="30"/>
  <c r="BE7" i="30"/>
  <c r="BD7" i="30"/>
  <c r="BC7" i="30"/>
  <c r="BB7" i="30"/>
  <c r="BA7" i="30"/>
  <c r="AZ7" i="30"/>
  <c r="AY7" i="30"/>
  <c r="AX7" i="30"/>
  <c r="AW7" i="30"/>
  <c r="AV7" i="30"/>
  <c r="AU7" i="30"/>
  <c r="AT7" i="30"/>
  <c r="AS7" i="30"/>
  <c r="AR7" i="30"/>
  <c r="AQ7" i="30"/>
  <c r="AP7" i="30"/>
  <c r="AO7" i="30"/>
  <c r="AN7" i="30"/>
  <c r="AM7" i="30"/>
  <c r="AL7" i="30"/>
  <c r="AK7" i="30"/>
  <c r="AJ7" i="30"/>
  <c r="AI7" i="30"/>
  <c r="AH7" i="30"/>
  <c r="AG7" i="30"/>
  <c r="AF7" i="30"/>
  <c r="AE7" i="30"/>
  <c r="AD7" i="30"/>
  <c r="AC7" i="30"/>
  <c r="AB7" i="30"/>
  <c r="AA7" i="30"/>
  <c r="Z7" i="30"/>
  <c r="Y7" i="30"/>
  <c r="X7" i="30"/>
  <c r="W7" i="30"/>
  <c r="U7" i="30"/>
  <c r="T7" i="30"/>
  <c r="S7" i="30"/>
  <c r="R7" i="30"/>
  <c r="Q7" i="30"/>
  <c r="P7" i="30"/>
  <c r="O7" i="30"/>
  <c r="L7" i="30"/>
  <c r="K7" i="30"/>
  <c r="J7" i="30"/>
  <c r="I7" i="30"/>
  <c r="H7" i="30"/>
  <c r="G7" i="30"/>
  <c r="BG5" i="30"/>
  <c r="BG4" i="30"/>
  <c r="BG3" i="30"/>
  <c r="BI99" i="5"/>
  <c r="BI98" i="5"/>
  <c r="BI97" i="5"/>
  <c r="BI96" i="5"/>
  <c r="BI95" i="5"/>
  <c r="BI94" i="5"/>
  <c r="BI93" i="5"/>
  <c r="BI92" i="5"/>
  <c r="BH99" i="5"/>
  <c r="BH98" i="5"/>
  <c r="BH97" i="5"/>
  <c r="BH96" i="5"/>
  <c r="BH95" i="5"/>
  <c r="BH94" i="5"/>
  <c r="BH93" i="5"/>
  <c r="BH92" i="5"/>
  <c r="V6" i="30"/>
  <c r="V7" i="30" s="1"/>
  <c r="N6" i="30"/>
  <c r="N7" i="30" s="1"/>
  <c r="M6" i="30"/>
  <c r="M7" i="30" s="1"/>
  <c r="F6" i="30"/>
  <c r="BG6" i="30" s="1"/>
  <c r="P4" i="30"/>
  <c r="O4" i="30"/>
  <c r="F7" i="30" l="1"/>
  <c r="BG7" i="30" s="1"/>
  <c r="F8" i="30" l="1"/>
  <c r="BG8" i="30"/>
  <c r="AY8" i="30"/>
  <c r="AQ8" i="30"/>
  <c r="AI8" i="30"/>
  <c r="AA8" i="30"/>
  <c r="S8" i="30"/>
  <c r="K8" i="30"/>
  <c r="BF8" i="30"/>
  <c r="AX8" i="30"/>
  <c r="AP8" i="30"/>
  <c r="AH8" i="30"/>
  <c r="Z8" i="30"/>
  <c r="R8" i="30"/>
  <c r="J8" i="30"/>
  <c r="BE8" i="30"/>
  <c r="AW8" i="30"/>
  <c r="AO8" i="30"/>
  <c r="AG8" i="30"/>
  <c r="Y8" i="30"/>
  <c r="Q8" i="30"/>
  <c r="I8" i="30"/>
  <c r="BD8" i="30"/>
  <c r="AV8" i="30"/>
  <c r="AN8" i="30"/>
  <c r="AF8" i="30"/>
  <c r="X8" i="30"/>
  <c r="P8" i="30"/>
  <c r="H8" i="30"/>
  <c r="AR8" i="30"/>
  <c r="AB8" i="30"/>
  <c r="L8" i="30"/>
  <c r="BC8" i="30"/>
  <c r="AU8" i="30"/>
  <c r="AM8" i="30"/>
  <c r="AE8" i="30"/>
  <c r="W8" i="30"/>
  <c r="O8" i="30"/>
  <c r="G8" i="30"/>
  <c r="AZ8" i="30"/>
  <c r="AJ8" i="30"/>
  <c r="T8" i="30"/>
  <c r="BB8" i="30"/>
  <c r="AT8" i="30"/>
  <c r="AL8" i="30"/>
  <c r="AD8" i="30"/>
  <c r="BA8" i="30"/>
  <c r="AS8" i="30"/>
  <c r="AK8" i="30"/>
  <c r="AC8" i="30"/>
  <c r="U8" i="30"/>
  <c r="V8" i="30"/>
  <c r="M8" i="30"/>
  <c r="N8" i="30"/>
  <c r="AA44" i="5"/>
  <c r="Z44" i="5"/>
  <c r="Y44" i="5"/>
  <c r="X44" i="5"/>
  <c r="T44" i="5"/>
  <c r="R44" i="5"/>
  <c r="P44" i="5"/>
  <c r="O44" i="5"/>
  <c r="X43" i="5"/>
  <c r="W43" i="5"/>
  <c r="V43" i="5"/>
  <c r="U43" i="5"/>
  <c r="S43" i="5"/>
  <c r="Q43" i="5"/>
  <c r="P43" i="5"/>
  <c r="O43" i="5"/>
  <c r="X42" i="5"/>
  <c r="W42" i="5"/>
  <c r="V42" i="5"/>
  <c r="U42" i="5"/>
  <c r="S42" i="5"/>
  <c r="P42" i="5"/>
  <c r="O42" i="5"/>
  <c r="AA41" i="5"/>
  <c r="Z41" i="5"/>
  <c r="Y41" i="5"/>
  <c r="X41" i="5"/>
  <c r="V41" i="5"/>
  <c r="R41" i="5"/>
  <c r="P41" i="5"/>
  <c r="O41" i="5"/>
  <c r="AA40" i="5"/>
  <c r="Z40" i="5"/>
  <c r="X40" i="5"/>
  <c r="V40" i="5"/>
  <c r="P40" i="5"/>
  <c r="O40" i="5"/>
  <c r="AA39" i="5"/>
  <c r="Z39" i="5"/>
  <c r="Y39" i="5"/>
  <c r="X39" i="5"/>
  <c r="T39" i="5"/>
  <c r="S39" i="5"/>
  <c r="R39" i="5"/>
  <c r="Q39" i="5"/>
  <c r="P39" i="5"/>
  <c r="O39" i="5"/>
  <c r="AA38" i="5"/>
  <c r="Z38" i="5"/>
  <c r="X38" i="5"/>
  <c r="V38" i="5"/>
  <c r="T38" i="5"/>
  <c r="S38" i="5"/>
  <c r="R38" i="5"/>
  <c r="Q38" i="5"/>
  <c r="P38" i="5"/>
  <c r="O38" i="5"/>
  <c r="N44" i="5"/>
  <c r="N43" i="5"/>
  <c r="N42" i="5"/>
  <c r="BG8" i="23"/>
  <c r="BG7" i="23"/>
  <c r="BE8" i="23"/>
  <c r="BE7" i="23"/>
  <c r="BD8" i="23"/>
  <c r="BC8" i="23"/>
  <c r="BB8" i="23"/>
  <c r="BA8" i="23"/>
  <c r="AZ8" i="23"/>
  <c r="AY8" i="23"/>
  <c r="AX8" i="23"/>
  <c r="AW8" i="23"/>
  <c r="AV8" i="23"/>
  <c r="AU8" i="23"/>
  <c r="AT8" i="23"/>
  <c r="AS8" i="23"/>
  <c r="AR8" i="23"/>
  <c r="AQ8" i="23"/>
  <c r="AP8" i="23"/>
  <c r="AO8" i="23"/>
  <c r="AN8" i="23"/>
  <c r="AM8" i="23"/>
  <c r="AL8" i="23"/>
  <c r="AK8" i="23"/>
  <c r="AJ8" i="23"/>
  <c r="AI8" i="23"/>
  <c r="AH8" i="23"/>
  <c r="AG8" i="23"/>
  <c r="AF8" i="23"/>
  <c r="AE8" i="23"/>
  <c r="AD8" i="23"/>
  <c r="AC8" i="23"/>
  <c r="AB8" i="23"/>
  <c r="AA8" i="23"/>
  <c r="Z8" i="23"/>
  <c r="Y8" i="23"/>
  <c r="X8" i="23"/>
  <c r="W8" i="23"/>
  <c r="V8" i="23"/>
  <c r="U8" i="23"/>
  <c r="BD7" i="23"/>
  <c r="BC7" i="23"/>
  <c r="BB7" i="23"/>
  <c r="BA7" i="23"/>
  <c r="AZ7" i="23"/>
  <c r="AY7" i="23"/>
  <c r="AX7" i="23"/>
  <c r="AW7" i="23"/>
  <c r="AV7" i="23"/>
  <c r="AU7" i="23"/>
  <c r="AT7" i="23"/>
  <c r="AS7" i="23"/>
  <c r="AR7" i="23"/>
  <c r="AQ7" i="23"/>
  <c r="AP7" i="23"/>
  <c r="AO7" i="23"/>
  <c r="AN7" i="23"/>
  <c r="AM7" i="23"/>
  <c r="AL7" i="23"/>
  <c r="AK7" i="23"/>
  <c r="AJ7" i="23"/>
  <c r="AI7" i="23"/>
  <c r="AH7" i="23"/>
  <c r="AG7" i="23"/>
  <c r="AF7" i="23"/>
  <c r="AE7" i="23"/>
  <c r="AD7" i="23"/>
  <c r="AC7" i="23"/>
  <c r="AB7" i="23"/>
  <c r="AA7" i="23"/>
  <c r="Z7" i="23"/>
  <c r="Y7" i="23"/>
  <c r="X7" i="23"/>
  <c r="W7" i="23"/>
  <c r="V7" i="23"/>
  <c r="U7" i="23"/>
  <c r="T8" i="23"/>
  <c r="S8" i="23"/>
  <c r="R8" i="23"/>
  <c r="Q8" i="23"/>
  <c r="P8" i="23"/>
  <c r="O8" i="23"/>
  <c r="T7" i="23"/>
  <c r="S7" i="23"/>
  <c r="R7" i="23"/>
  <c r="Q7" i="23"/>
  <c r="P7" i="23"/>
  <c r="O7" i="23"/>
  <c r="N6" i="23"/>
  <c r="N7" i="23"/>
  <c r="N8" i="23"/>
  <c r="BJ47" i="23"/>
  <c r="BI47" i="23"/>
  <c r="BH47" i="23"/>
  <c r="BG47" i="23"/>
  <c r="BF47" i="23"/>
  <c r="BA47" i="23"/>
  <c r="AZ47" i="23"/>
  <c r="AY47" i="23"/>
  <c r="AX47" i="23"/>
  <c r="AW47" i="23"/>
  <c r="AV47" i="23"/>
  <c r="AU47" i="23"/>
  <c r="AT47" i="23"/>
  <c r="AS47" i="23"/>
  <c r="AR47" i="23"/>
  <c r="AQ47" i="23"/>
  <c r="AP47" i="23"/>
  <c r="AO47" i="23"/>
  <c r="AN47" i="23"/>
  <c r="AM47" i="23"/>
  <c r="AL47" i="23"/>
  <c r="AK47" i="23"/>
  <c r="AJ47" i="23"/>
  <c r="AI47" i="23"/>
  <c r="AH47" i="23"/>
  <c r="AG47" i="23"/>
  <c r="AF47" i="23"/>
  <c r="AE47" i="23"/>
  <c r="AD47" i="23"/>
  <c r="AC47" i="23"/>
  <c r="AB47" i="23"/>
  <c r="AA47" i="23"/>
  <c r="Z47" i="23"/>
  <c r="Y47" i="23"/>
  <c r="X47" i="23"/>
  <c r="W47" i="23"/>
  <c r="V47" i="23"/>
  <c r="U47" i="23"/>
  <c r="T47" i="23"/>
  <c r="S47" i="23"/>
  <c r="R47" i="23"/>
  <c r="Q47" i="23"/>
  <c r="P47" i="23"/>
  <c r="O47" i="23"/>
  <c r="N47" i="23"/>
  <c r="M47" i="23"/>
  <c r="L47" i="23"/>
  <c r="K47" i="23"/>
  <c r="BJ46" i="23"/>
  <c r="BI46" i="23"/>
  <c r="BH46" i="23"/>
  <c r="BG46" i="23"/>
  <c r="BF46" i="23"/>
  <c r="BA46" i="23"/>
  <c r="AZ46" i="23"/>
  <c r="AY46" i="23"/>
  <c r="AX46" i="23"/>
  <c r="AW46" i="23"/>
  <c r="AV46" i="23"/>
  <c r="AU46" i="23"/>
  <c r="AT46" i="23"/>
  <c r="AS46" i="23"/>
  <c r="AR46" i="23"/>
  <c r="AQ46" i="23"/>
  <c r="AP46" i="23"/>
  <c r="AO46" i="23"/>
  <c r="AN46" i="23"/>
  <c r="AT43" i="5" s="1"/>
  <c r="AM46" i="23"/>
  <c r="AS43" i="5" s="1"/>
  <c r="AL46" i="23"/>
  <c r="AK46" i="23"/>
  <c r="AJ46" i="23"/>
  <c r="AQ43" i="5" s="1"/>
  <c r="AI46" i="23"/>
  <c r="AP43" i="5" s="1"/>
  <c r="AH46" i="23"/>
  <c r="AG46" i="23"/>
  <c r="AN43" i="5" s="1"/>
  <c r="AF46" i="23"/>
  <c r="AM43" i="5" s="1"/>
  <c r="AE46" i="23"/>
  <c r="AD46" i="23"/>
  <c r="AC46" i="23"/>
  <c r="AJ43" i="5" s="1"/>
  <c r="AB46" i="23"/>
  <c r="AA46" i="23"/>
  <c r="Z46" i="23"/>
  <c r="Y46" i="23"/>
  <c r="X46" i="23"/>
  <c r="W46" i="23"/>
  <c r="V46" i="23"/>
  <c r="U46" i="23"/>
  <c r="T46" i="23"/>
  <c r="S46" i="23"/>
  <c r="R46" i="23"/>
  <c r="Q46" i="23"/>
  <c r="P46" i="23"/>
  <c r="O46" i="23"/>
  <c r="N46" i="23"/>
  <c r="M46" i="23"/>
  <c r="L46" i="23"/>
  <c r="K46" i="23"/>
  <c r="BJ45" i="23"/>
  <c r="BI45" i="23"/>
  <c r="BH45" i="23"/>
  <c r="BG45" i="23"/>
  <c r="BF45" i="23"/>
  <c r="BA45" i="23"/>
  <c r="AZ45" i="23"/>
  <c r="AY45" i="23"/>
  <c r="AX45" i="23"/>
  <c r="AW45" i="23"/>
  <c r="AV45" i="23"/>
  <c r="AU45" i="23"/>
  <c r="AT45" i="23"/>
  <c r="AS45" i="23"/>
  <c r="AR45" i="23"/>
  <c r="AQ45" i="23"/>
  <c r="AP45" i="23"/>
  <c r="AO45" i="23"/>
  <c r="AN45" i="23"/>
  <c r="AM45" i="23"/>
  <c r="AS42" i="5" s="1"/>
  <c r="AL45" i="23"/>
  <c r="AK45" i="23"/>
  <c r="AJ45" i="23"/>
  <c r="AQ42" i="5" s="1"/>
  <c r="AI45" i="23"/>
  <c r="AH45" i="23"/>
  <c r="AG45" i="23"/>
  <c r="AF45" i="23"/>
  <c r="AE45" i="23"/>
  <c r="AD45" i="23"/>
  <c r="AC45" i="23"/>
  <c r="AB45" i="23"/>
  <c r="AA45" i="23"/>
  <c r="Z45" i="23"/>
  <c r="Y45" i="23"/>
  <c r="X45" i="23"/>
  <c r="W45" i="23"/>
  <c r="V45" i="23"/>
  <c r="U45" i="23"/>
  <c r="T45" i="23"/>
  <c r="S45" i="23"/>
  <c r="R45" i="23"/>
  <c r="Q45" i="23"/>
  <c r="P45" i="23"/>
  <c r="O45" i="23"/>
  <c r="N45" i="23"/>
  <c r="M45" i="23"/>
  <c r="L45" i="23"/>
  <c r="K45" i="23"/>
  <c r="J47" i="23"/>
  <c r="J46" i="23"/>
  <c r="J45" i="23"/>
  <c r="J44" i="23"/>
  <c r="BG44" i="5" l="1"/>
  <c r="BG43" i="5"/>
  <c r="BE44" i="5"/>
  <c r="BE43" i="5"/>
  <c r="BM90" i="5"/>
  <c r="G99" i="5"/>
  <c r="H99" i="5"/>
  <c r="I99" i="5"/>
  <c r="J99" i="5"/>
  <c r="K99" i="5"/>
  <c r="L99" i="5"/>
  <c r="M99" i="5"/>
  <c r="O99" i="5"/>
  <c r="Q99" i="5"/>
  <c r="R99" i="5"/>
  <c r="S99" i="5"/>
  <c r="W99" i="5"/>
  <c r="Y99" i="5"/>
  <c r="AB99" i="5"/>
  <c r="AE99" i="5"/>
  <c r="AF99" i="5"/>
  <c r="AH99" i="5"/>
  <c r="AI99" i="5"/>
  <c r="AJ99" i="5"/>
  <c r="AK99" i="5"/>
  <c r="AL99" i="5"/>
  <c r="AM99" i="5"/>
  <c r="AP99" i="5"/>
  <c r="AQ99" i="5"/>
  <c r="AS99" i="5"/>
  <c r="AT99" i="5"/>
  <c r="AU99" i="5"/>
  <c r="AV99" i="5"/>
  <c r="AX99" i="5"/>
  <c r="AY99" i="5"/>
  <c r="AZ99" i="5"/>
  <c r="BA99" i="5"/>
  <c r="BC99" i="5"/>
  <c r="T73" i="5"/>
  <c r="AO67" i="5"/>
  <c r="AO69" i="5"/>
  <c r="AO71" i="5"/>
  <c r="AO72" i="5"/>
  <c r="AJ68" i="5"/>
  <c r="S22" i="5"/>
  <c r="S23" i="5"/>
  <c r="S24" i="5"/>
  <c r="S25" i="5"/>
  <c r="S26" i="5"/>
  <c r="S27" i="5"/>
  <c r="AE22" i="5"/>
  <c r="AF22" i="5"/>
  <c r="AL22" i="5"/>
  <c r="AM22" i="5"/>
  <c r="BA22" i="5"/>
  <c r="AG23" i="5"/>
  <c r="AH23" i="5"/>
  <c r="AI23" i="5"/>
  <c r="AJ23" i="5"/>
  <c r="AM23" i="5"/>
  <c r="AO24" i="5"/>
  <c r="AO25" i="5"/>
  <c r="AR25" i="5"/>
  <c r="AT25" i="5"/>
  <c r="AW25" i="5"/>
  <c r="AZ25" i="5"/>
  <c r="BA25" i="5"/>
  <c r="AG26" i="5"/>
  <c r="AJ26" i="5"/>
  <c r="AT26" i="5"/>
  <c r="AW26" i="5"/>
  <c r="AX26" i="5"/>
  <c r="AZ26" i="5"/>
  <c r="BA26" i="5"/>
  <c r="AO27" i="5"/>
  <c r="AR27" i="5"/>
  <c r="AT27" i="5"/>
  <c r="AW27" i="5"/>
  <c r="AZ27" i="5"/>
  <c r="BA27" i="5"/>
  <c r="AD22" i="5"/>
  <c r="Z19" i="5"/>
  <c r="AA23" i="5"/>
  <c r="X22" i="5"/>
  <c r="X23" i="5"/>
  <c r="X19" i="5"/>
  <c r="R23" i="5"/>
  <c r="R19" i="5"/>
  <c r="Z3" i="12" l="1"/>
  <c r="X3" i="12"/>
  <c r="R3" i="12"/>
  <c r="N18" i="5" l="1"/>
  <c r="O18" i="5"/>
  <c r="P18" i="5"/>
  <c r="T18" i="5"/>
  <c r="U18" i="5"/>
  <c r="X18" i="5"/>
  <c r="Y18" i="5"/>
  <c r="Z18" i="5"/>
  <c r="AA18" i="5"/>
  <c r="H18" i="5"/>
  <c r="I18" i="5"/>
  <c r="F18" i="5"/>
  <c r="X32" i="5"/>
  <c r="X33" i="5"/>
  <c r="X34" i="5"/>
  <c r="X37" i="5"/>
  <c r="X31" i="5"/>
  <c r="H91" i="5" l="1"/>
  <c r="L91" i="5"/>
  <c r="Q91" i="5"/>
  <c r="R91" i="5"/>
  <c r="S91" i="5"/>
  <c r="V91" i="5"/>
  <c r="W91" i="5"/>
  <c r="AC91" i="5"/>
  <c r="AD91" i="5"/>
  <c r="AE91" i="5"/>
  <c r="AF91" i="5"/>
  <c r="AG91" i="5"/>
  <c r="AH91" i="5"/>
  <c r="AI91" i="5"/>
  <c r="AJ91" i="5"/>
  <c r="AK91" i="5"/>
  <c r="AL91" i="5"/>
  <c r="AM91" i="5"/>
  <c r="AN91" i="5"/>
  <c r="AO91" i="5"/>
  <c r="AP91" i="5"/>
  <c r="AQ91" i="5"/>
  <c r="AR91" i="5"/>
  <c r="AS91" i="5"/>
  <c r="AT91" i="5"/>
  <c r="AU91" i="5"/>
  <c r="AV91" i="5"/>
  <c r="AW91" i="5"/>
  <c r="AX91" i="5"/>
  <c r="AY91" i="5"/>
  <c r="AZ91" i="5"/>
  <c r="BA91" i="5"/>
  <c r="BB91" i="5"/>
  <c r="BC91" i="5"/>
  <c r="BD91" i="5"/>
  <c r="J92" i="5"/>
  <c r="K92" i="5"/>
  <c r="O92" i="5"/>
  <c r="R92" i="5"/>
  <c r="S92" i="5"/>
  <c r="V92" i="5"/>
  <c r="W92" i="5"/>
  <c r="Y92" i="5"/>
  <c r="AB92" i="5"/>
  <c r="AC92" i="5"/>
  <c r="AD92" i="5"/>
  <c r="AE92" i="5"/>
  <c r="AF92" i="5"/>
  <c r="AG92" i="5"/>
  <c r="AH92" i="5"/>
  <c r="AI92" i="5"/>
  <c r="AJ92" i="5"/>
  <c r="AK92" i="5"/>
  <c r="AL92" i="5"/>
  <c r="AM92" i="5"/>
  <c r="AN92" i="5"/>
  <c r="AO92" i="5"/>
  <c r="AP92" i="5"/>
  <c r="AQ92" i="5"/>
  <c r="AR92" i="5"/>
  <c r="AS92" i="5"/>
  <c r="AT92" i="5"/>
  <c r="AU92" i="5"/>
  <c r="AV92" i="5"/>
  <c r="AW92" i="5"/>
  <c r="AX92" i="5"/>
  <c r="AY92" i="5"/>
  <c r="AZ92" i="5"/>
  <c r="BA92" i="5"/>
  <c r="BB92" i="5"/>
  <c r="BC92" i="5"/>
  <c r="BD92" i="5"/>
  <c r="G93" i="5"/>
  <c r="H93" i="5"/>
  <c r="I93" i="5"/>
  <c r="J93" i="5"/>
  <c r="K93" i="5"/>
  <c r="L93" i="5"/>
  <c r="R93" i="5"/>
  <c r="S93" i="5"/>
  <c r="V93" i="5"/>
  <c r="W93" i="5"/>
  <c r="Y93" i="5"/>
  <c r="Z93" i="5"/>
  <c r="AH93" i="5"/>
  <c r="AK93" i="5"/>
  <c r="AM93" i="5"/>
  <c r="AN93" i="5"/>
  <c r="AO93" i="5"/>
  <c r="AQ93" i="5"/>
  <c r="AS93" i="5"/>
  <c r="AT93" i="5"/>
  <c r="AV93" i="5"/>
  <c r="AW93" i="5"/>
  <c r="AZ93" i="5"/>
  <c r="BA93" i="5"/>
  <c r="BB93" i="5"/>
  <c r="BC93" i="5"/>
  <c r="BD93" i="5"/>
  <c r="G94" i="5"/>
  <c r="H94" i="5"/>
  <c r="I94" i="5"/>
  <c r="J94" i="5"/>
  <c r="K94" i="5"/>
  <c r="L94" i="5"/>
  <c r="O94" i="5"/>
  <c r="P94" i="5"/>
  <c r="Q94" i="5"/>
  <c r="R94" i="5"/>
  <c r="S94" i="5"/>
  <c r="T94" i="5"/>
  <c r="V94" i="5"/>
  <c r="W94" i="5"/>
  <c r="X94" i="5"/>
  <c r="Y94" i="5"/>
  <c r="Z94" i="5"/>
  <c r="AA94" i="5"/>
  <c r="AB94" i="5"/>
  <c r="AC94" i="5"/>
  <c r="AD94" i="5"/>
  <c r="AE94" i="5"/>
  <c r="AF94" i="5"/>
  <c r="AG94" i="5"/>
  <c r="AH94" i="5"/>
  <c r="AI94" i="5"/>
  <c r="AJ94" i="5"/>
  <c r="AK94" i="5"/>
  <c r="AL94" i="5"/>
  <c r="AM94" i="5"/>
  <c r="AN94" i="5"/>
  <c r="AO94" i="5"/>
  <c r="AP94" i="5"/>
  <c r="AQ94" i="5"/>
  <c r="AR94" i="5"/>
  <c r="AS94" i="5"/>
  <c r="AT94" i="5"/>
  <c r="AU94" i="5"/>
  <c r="AV94" i="5"/>
  <c r="AW94" i="5"/>
  <c r="AX94" i="5"/>
  <c r="AY94" i="5"/>
  <c r="AZ94" i="5"/>
  <c r="BA94" i="5"/>
  <c r="BB94" i="5"/>
  <c r="BC94" i="5"/>
  <c r="BD94" i="5"/>
  <c r="G95" i="5"/>
  <c r="H95" i="5"/>
  <c r="I95" i="5"/>
  <c r="J95" i="5"/>
  <c r="K95" i="5"/>
  <c r="L95" i="5"/>
  <c r="M95" i="5"/>
  <c r="U95" i="5"/>
  <c r="W95" i="5"/>
  <c r="AB95" i="5"/>
  <c r="AC95" i="5"/>
  <c r="AE95" i="5"/>
  <c r="AF95" i="5"/>
  <c r="AG95" i="5"/>
  <c r="AH95" i="5"/>
  <c r="AI95" i="5"/>
  <c r="AL95" i="5"/>
  <c r="AR95" i="5"/>
  <c r="AV95" i="5"/>
  <c r="AX95" i="5"/>
  <c r="AY95" i="5"/>
  <c r="AZ95" i="5"/>
  <c r="BB95" i="5"/>
  <c r="G96" i="5"/>
  <c r="H96" i="5"/>
  <c r="I96" i="5"/>
  <c r="J96" i="5"/>
  <c r="K96" i="5"/>
  <c r="L96" i="5"/>
  <c r="M96" i="5"/>
  <c r="S96" i="5"/>
  <c r="U96" i="5"/>
  <c r="V96" i="5"/>
  <c r="W96" i="5"/>
  <c r="Y96" i="5"/>
  <c r="AB96" i="5"/>
  <c r="AC96" i="5"/>
  <c r="AF96" i="5"/>
  <c r="AH96" i="5"/>
  <c r="AJ96" i="5"/>
  <c r="AK96" i="5"/>
  <c r="AL96" i="5"/>
  <c r="AM96" i="5"/>
  <c r="AP96" i="5"/>
  <c r="AS96" i="5"/>
  <c r="AT96" i="5"/>
  <c r="AU96" i="5"/>
  <c r="AV96" i="5"/>
  <c r="AX96" i="5"/>
  <c r="BA96" i="5"/>
  <c r="BC96" i="5"/>
  <c r="BD96" i="5"/>
  <c r="G97" i="5"/>
  <c r="H97" i="5"/>
  <c r="I97" i="5"/>
  <c r="J97" i="5"/>
  <c r="K97" i="5"/>
  <c r="L97" i="5"/>
  <c r="M97" i="5"/>
  <c r="O97" i="5"/>
  <c r="P97" i="5"/>
  <c r="Q97" i="5"/>
  <c r="R97" i="5"/>
  <c r="S97" i="5"/>
  <c r="U97" i="5"/>
  <c r="V97" i="5"/>
  <c r="Y97" i="5"/>
  <c r="Z97" i="5"/>
  <c r="AA97" i="5"/>
  <c r="AB97" i="5"/>
  <c r="AD97" i="5"/>
  <c r="AE97" i="5"/>
  <c r="AF97" i="5"/>
  <c r="AG97" i="5"/>
  <c r="AH97" i="5"/>
  <c r="AI97" i="5"/>
  <c r="AJ97" i="5"/>
  <c r="AK97" i="5"/>
  <c r="AL97" i="5"/>
  <c r="AM97" i="5"/>
  <c r="AN97" i="5"/>
  <c r="AO97" i="5"/>
  <c r="AP97" i="5"/>
  <c r="AQ97" i="5"/>
  <c r="AR97" i="5"/>
  <c r="AS97" i="5"/>
  <c r="AT97" i="5"/>
  <c r="AU97" i="5"/>
  <c r="AV97" i="5"/>
  <c r="AW97" i="5"/>
  <c r="AX97" i="5"/>
  <c r="AY97" i="5"/>
  <c r="AZ97" i="5"/>
  <c r="BA97" i="5"/>
  <c r="BB97" i="5"/>
  <c r="BC97" i="5"/>
  <c r="BD97" i="5"/>
  <c r="G98" i="5"/>
  <c r="H98" i="5"/>
  <c r="I98" i="5"/>
  <c r="J98" i="5"/>
  <c r="K98" i="5"/>
  <c r="L98" i="5"/>
  <c r="M98" i="5"/>
  <c r="Q98" i="5"/>
  <c r="R98" i="5"/>
  <c r="T98" i="5"/>
  <c r="U98" i="5"/>
  <c r="V98" i="5"/>
  <c r="W98" i="5"/>
  <c r="Y98" i="5"/>
  <c r="Z98" i="5"/>
  <c r="AB98" i="5"/>
  <c r="AC98" i="5"/>
  <c r="AI98" i="5"/>
  <c r="AK98" i="5"/>
  <c r="AL98" i="5"/>
  <c r="AQ98" i="5"/>
  <c r="AT98" i="5"/>
  <c r="AU98" i="5"/>
  <c r="AY98" i="5"/>
  <c r="AZ98" i="5"/>
  <c r="BA98" i="5"/>
  <c r="BC98" i="5"/>
  <c r="BD98" i="5"/>
  <c r="F98" i="5"/>
  <c r="F97" i="5"/>
  <c r="F95" i="5"/>
  <c r="BD80" i="5"/>
  <c r="BD99" i="5" s="1"/>
  <c r="AW85" i="5"/>
  <c r="AW99" i="5" s="1"/>
  <c r="BB85" i="5"/>
  <c r="BB99" i="5" s="1"/>
  <c r="AR84" i="5"/>
  <c r="BE84" i="5" s="1"/>
  <c r="AG85" i="5"/>
  <c r="AG99" i="5" s="1"/>
  <c r="AN85" i="5"/>
  <c r="AN99" i="5" s="1"/>
  <c r="AO85" i="5"/>
  <c r="AO99" i="5" s="1"/>
  <c r="AR85" i="5"/>
  <c r="AD85" i="5"/>
  <c r="AD99" i="5" s="1"/>
  <c r="AC76" i="5"/>
  <c r="AC77" i="5"/>
  <c r="AC79" i="5"/>
  <c r="AC74" i="5"/>
  <c r="AA73" i="5"/>
  <c r="AA74" i="5"/>
  <c r="AA76" i="5"/>
  <c r="Z74" i="5"/>
  <c r="Z75" i="5"/>
  <c r="Z76" i="5"/>
  <c r="Z77" i="5"/>
  <c r="Z78" i="5"/>
  <c r="Z79" i="5"/>
  <c r="Z80" i="5"/>
  <c r="Z81" i="5"/>
  <c r="Z82" i="5"/>
  <c r="Z83" i="5"/>
  <c r="Z84" i="5"/>
  <c r="Z85" i="5"/>
  <c r="Z86" i="5"/>
  <c r="Z87" i="5"/>
  <c r="X75" i="5"/>
  <c r="X76" i="5"/>
  <c r="X77" i="5"/>
  <c r="X79" i="5"/>
  <c r="X80" i="5"/>
  <c r="X81" i="5"/>
  <c r="X82" i="5"/>
  <c r="X83" i="5"/>
  <c r="X86" i="5"/>
  <c r="X87" i="5"/>
  <c r="X74" i="5"/>
  <c r="U83" i="5"/>
  <c r="U82" i="5"/>
  <c r="V79" i="5"/>
  <c r="V82" i="5"/>
  <c r="V86" i="5"/>
  <c r="U74" i="5"/>
  <c r="V74" i="5"/>
  <c r="U75" i="5"/>
  <c r="V75" i="5"/>
  <c r="U76" i="5"/>
  <c r="V76" i="5"/>
  <c r="U77" i="5"/>
  <c r="V77" i="5"/>
  <c r="T75" i="5"/>
  <c r="T76" i="5"/>
  <c r="T77" i="5"/>
  <c r="T81" i="5"/>
  <c r="T82" i="5"/>
  <c r="T83" i="5"/>
  <c r="T74" i="5"/>
  <c r="P84" i="5"/>
  <c r="P85" i="5"/>
  <c r="P75" i="5"/>
  <c r="P76" i="5"/>
  <c r="P78" i="5"/>
  <c r="P74" i="5"/>
  <c r="N75" i="5"/>
  <c r="N76" i="5"/>
  <c r="N77" i="5"/>
  <c r="N79" i="5"/>
  <c r="N81" i="5"/>
  <c r="N82" i="5"/>
  <c r="N84" i="5"/>
  <c r="N85" i="5"/>
  <c r="N86" i="5"/>
  <c r="N87" i="5"/>
  <c r="N74" i="5"/>
  <c r="N73" i="5"/>
  <c r="F75" i="5"/>
  <c r="F99" i="5" s="1"/>
  <c r="AW69" i="5"/>
  <c r="AW70" i="5"/>
  <c r="AS67" i="5"/>
  <c r="AR68" i="5"/>
  <c r="AR98" i="5" s="1"/>
  <c r="AN68" i="5"/>
  <c r="AN98" i="5" s="1"/>
  <c r="AF68" i="5"/>
  <c r="AH68" i="5"/>
  <c r="AH98" i="5" s="1"/>
  <c r="X69" i="5"/>
  <c r="X71" i="5"/>
  <c r="O69" i="5"/>
  <c r="P69" i="5"/>
  <c r="O70" i="5"/>
  <c r="N68" i="5"/>
  <c r="N69" i="5"/>
  <c r="AC61" i="5"/>
  <c r="AC62" i="5"/>
  <c r="AC63" i="5"/>
  <c r="BG63" i="5" s="1"/>
  <c r="AC65" i="5"/>
  <c r="X57" i="5"/>
  <c r="X58" i="5"/>
  <c r="X59" i="5"/>
  <c r="X60" i="5"/>
  <c r="X64" i="5"/>
  <c r="X66" i="5"/>
  <c r="W58" i="5"/>
  <c r="W59" i="5"/>
  <c r="W60" i="5"/>
  <c r="W64" i="5"/>
  <c r="W66" i="5"/>
  <c r="W57" i="5"/>
  <c r="T59" i="5"/>
  <c r="T97" i="5" s="1"/>
  <c r="N62" i="5"/>
  <c r="N97" i="5" s="1"/>
  <c r="AW48" i="5"/>
  <c r="AY48" i="5"/>
  <c r="BB48" i="5"/>
  <c r="AW50" i="5"/>
  <c r="AY50" i="5"/>
  <c r="AZ50" i="5"/>
  <c r="AZ96" i="5" s="1"/>
  <c r="BB50" i="5"/>
  <c r="AW52" i="5"/>
  <c r="AO48" i="5"/>
  <c r="AQ48" i="5"/>
  <c r="AR48" i="5"/>
  <c r="AO50" i="5"/>
  <c r="AQ50" i="5"/>
  <c r="AR50" i="5"/>
  <c r="AO52" i="5"/>
  <c r="AQ52" i="5"/>
  <c r="AQ54" i="5"/>
  <c r="AN50" i="5"/>
  <c r="AN52" i="5"/>
  <c r="AN54" i="5"/>
  <c r="AN48" i="5"/>
  <c r="AE52" i="5"/>
  <c r="AG52" i="5"/>
  <c r="AD52" i="5"/>
  <c r="AE50" i="5"/>
  <c r="AG50" i="5"/>
  <c r="AI50" i="5"/>
  <c r="AI96" i="5" s="1"/>
  <c r="AD50" i="5"/>
  <c r="AE48" i="5"/>
  <c r="AG48" i="5"/>
  <c r="AD48" i="5"/>
  <c r="Z45" i="5"/>
  <c r="Z46" i="5"/>
  <c r="Z47" i="5"/>
  <c r="Z48" i="5"/>
  <c r="Z50" i="5"/>
  <c r="Z52" i="5"/>
  <c r="Z53" i="5"/>
  <c r="Z54" i="5"/>
  <c r="Z55" i="5"/>
  <c r="AA55" i="5"/>
  <c r="Z56" i="5"/>
  <c r="AA56" i="5"/>
  <c r="X46" i="5"/>
  <c r="X51" i="5"/>
  <c r="X55" i="5"/>
  <c r="X56" i="5"/>
  <c r="X45" i="5"/>
  <c r="T51" i="5"/>
  <c r="T56" i="5"/>
  <c r="Q55" i="5"/>
  <c r="Q96" i="5" s="1"/>
  <c r="R55" i="5"/>
  <c r="R96" i="5" s="1"/>
  <c r="T55" i="5"/>
  <c r="O45" i="5"/>
  <c r="P45" i="5"/>
  <c r="O46" i="5"/>
  <c r="P46" i="5"/>
  <c r="P47" i="5"/>
  <c r="O48" i="5"/>
  <c r="P48" i="5"/>
  <c r="P50" i="5"/>
  <c r="O52" i="5"/>
  <c r="P52" i="5"/>
  <c r="O53" i="5"/>
  <c r="P53" i="5"/>
  <c r="P54" i="5"/>
  <c r="O55" i="5"/>
  <c r="P55" i="5"/>
  <c r="O56" i="5"/>
  <c r="P56" i="5"/>
  <c r="N46" i="5"/>
  <c r="N47" i="5"/>
  <c r="BG47" i="5" s="1"/>
  <c r="N48" i="5"/>
  <c r="N49" i="5"/>
  <c r="BG49" i="5" s="1"/>
  <c r="N50" i="5"/>
  <c r="N51" i="5"/>
  <c r="N52" i="5"/>
  <c r="N53" i="5"/>
  <c r="N54" i="5"/>
  <c r="N55" i="5"/>
  <c r="N56" i="5"/>
  <c r="N45" i="5"/>
  <c r="F45" i="5"/>
  <c r="F96" i="5" s="1"/>
  <c r="N32" i="5"/>
  <c r="N33" i="5"/>
  <c r="N34" i="5"/>
  <c r="N35" i="5"/>
  <c r="N36" i="5"/>
  <c r="N37" i="5"/>
  <c r="N31" i="5"/>
  <c r="M32" i="5"/>
  <c r="M33" i="5"/>
  <c r="F32" i="5"/>
  <c r="F33" i="5"/>
  <c r="F34" i="5"/>
  <c r="F35" i="5"/>
  <c r="F36" i="5"/>
  <c r="F37" i="5"/>
  <c r="F31" i="5"/>
  <c r="AY93" i="5"/>
  <c r="AR93" i="5"/>
  <c r="AP93" i="5"/>
  <c r="BE24" i="5"/>
  <c r="AI93" i="5"/>
  <c r="AJ93" i="5"/>
  <c r="AE93" i="5"/>
  <c r="AF93" i="5"/>
  <c r="AB93" i="5"/>
  <c r="AC93" i="5"/>
  <c r="AA93" i="5"/>
  <c r="U22" i="5"/>
  <c r="N28" i="5"/>
  <c r="O19" i="5"/>
  <c r="P19" i="5"/>
  <c r="O20" i="5"/>
  <c r="P20" i="5"/>
  <c r="O22" i="5"/>
  <c r="P22" i="5"/>
  <c r="O23" i="5"/>
  <c r="P23" i="5"/>
  <c r="Q23" i="5"/>
  <c r="O24" i="5"/>
  <c r="P24" i="5"/>
  <c r="O25" i="5"/>
  <c r="P25" i="5"/>
  <c r="O26" i="5"/>
  <c r="P26" i="5"/>
  <c r="Q26" i="5"/>
  <c r="O27" i="5"/>
  <c r="P27" i="5"/>
  <c r="N20" i="5"/>
  <c r="N21" i="5"/>
  <c r="N22" i="5"/>
  <c r="N23" i="5"/>
  <c r="N24" i="5"/>
  <c r="N25" i="5"/>
  <c r="N26" i="5"/>
  <c r="N27" i="5"/>
  <c r="N19" i="5"/>
  <c r="F22" i="5"/>
  <c r="F23" i="5"/>
  <c r="F24" i="5"/>
  <c r="F25" i="5"/>
  <c r="F26" i="5"/>
  <c r="F27" i="5"/>
  <c r="F21" i="5"/>
  <c r="F20" i="5"/>
  <c r="C99" i="5"/>
  <c r="BF99" i="5" s="1"/>
  <c r="BR99" i="5" s="1"/>
  <c r="BY99" i="5" s="1"/>
  <c r="C98" i="5"/>
  <c r="BF98" i="5" s="1"/>
  <c r="BR98" i="5" s="1"/>
  <c r="BY98" i="5" s="1"/>
  <c r="C97" i="5"/>
  <c r="BF97" i="5" s="1"/>
  <c r="BR97" i="5" s="1"/>
  <c r="BY97" i="5" s="1"/>
  <c r="C96" i="5"/>
  <c r="BF96" i="5" s="1"/>
  <c r="BR96" i="5" s="1"/>
  <c r="BY96" i="5" s="1"/>
  <c r="C95" i="5"/>
  <c r="BF95" i="5" s="1"/>
  <c r="BR95" i="5" s="1"/>
  <c r="BY95" i="5" s="1"/>
  <c r="C94" i="5"/>
  <c r="BF94" i="5" s="1"/>
  <c r="BR94" i="5" s="1"/>
  <c r="BY94" i="5" s="1"/>
  <c r="C93" i="5"/>
  <c r="BF93" i="5" s="1"/>
  <c r="BR93" i="5" s="1"/>
  <c r="BY93" i="5" s="1"/>
  <c r="C92" i="5"/>
  <c r="BF92" i="5" s="1"/>
  <c r="BR92" i="5" s="1"/>
  <c r="BY92" i="5" s="1"/>
  <c r="C91" i="5"/>
  <c r="BF91" i="5" s="1"/>
  <c r="BR91" i="5" s="1"/>
  <c r="BY91" i="5" s="1"/>
  <c r="BE80" i="5"/>
  <c r="BG65" i="5"/>
  <c r="BE22" i="5"/>
  <c r="Q11" i="5"/>
  <c r="Q92" i="5" s="1"/>
  <c r="H14" i="5"/>
  <c r="H92" i="5" s="1"/>
  <c r="N15" i="5"/>
  <c r="F15" i="5"/>
  <c r="AB9" i="5"/>
  <c r="AA9" i="5"/>
  <c r="Z9" i="5"/>
  <c r="Y9" i="5"/>
  <c r="X9" i="5"/>
  <c r="U9" i="5"/>
  <c r="T9" i="5"/>
  <c r="P9" i="5"/>
  <c r="O9" i="5"/>
  <c r="N9" i="5"/>
  <c r="M9" i="5"/>
  <c r="K9" i="5"/>
  <c r="J9" i="5"/>
  <c r="I9" i="5"/>
  <c r="G9" i="5"/>
  <c r="F9" i="5"/>
  <c r="AB8" i="5"/>
  <c r="AA8" i="5"/>
  <c r="Z8" i="5"/>
  <c r="Y8" i="5"/>
  <c r="X8" i="5"/>
  <c r="U8" i="5"/>
  <c r="T8" i="5"/>
  <c r="P8" i="5"/>
  <c r="O8" i="5"/>
  <c r="N8" i="5"/>
  <c r="M8" i="5"/>
  <c r="K8" i="5"/>
  <c r="J8" i="5"/>
  <c r="I8" i="5"/>
  <c r="G8" i="5"/>
  <c r="F8" i="5"/>
  <c r="AB7" i="5"/>
  <c r="AA7" i="5"/>
  <c r="Z7" i="5"/>
  <c r="Y7" i="5"/>
  <c r="X7" i="5"/>
  <c r="U7" i="5"/>
  <c r="T7" i="5"/>
  <c r="P7" i="5"/>
  <c r="O7" i="5"/>
  <c r="N7" i="5"/>
  <c r="M7" i="5"/>
  <c r="K7" i="5"/>
  <c r="J7" i="5"/>
  <c r="I7" i="5"/>
  <c r="G7" i="5"/>
  <c r="F7" i="5"/>
  <c r="AB6" i="5"/>
  <c r="AA6" i="5"/>
  <c r="Z6" i="5"/>
  <c r="Y6" i="5"/>
  <c r="X6" i="5"/>
  <c r="U6" i="5"/>
  <c r="T6" i="5"/>
  <c r="P6" i="5"/>
  <c r="O6" i="5"/>
  <c r="N6" i="5"/>
  <c r="M6" i="5"/>
  <c r="K6" i="5"/>
  <c r="J6" i="5"/>
  <c r="I6" i="5"/>
  <c r="G6" i="5"/>
  <c r="F6" i="5"/>
  <c r="AB5" i="5"/>
  <c r="AA5" i="5"/>
  <c r="Z5" i="5"/>
  <c r="Y5" i="5"/>
  <c r="X5" i="5"/>
  <c r="U5" i="5"/>
  <c r="T5" i="5"/>
  <c r="P5" i="5"/>
  <c r="O5" i="5"/>
  <c r="N5" i="5"/>
  <c r="M5" i="5"/>
  <c r="K5" i="5"/>
  <c r="J5" i="5"/>
  <c r="I5" i="5"/>
  <c r="G5" i="5"/>
  <c r="F5" i="5"/>
  <c r="AB4" i="5"/>
  <c r="AA4" i="5"/>
  <c r="Z4" i="5"/>
  <c r="Y4" i="5"/>
  <c r="X4" i="5"/>
  <c r="U4" i="5"/>
  <c r="T4" i="5"/>
  <c r="P4" i="5"/>
  <c r="O4" i="5"/>
  <c r="N4" i="5"/>
  <c r="M4" i="5"/>
  <c r="K4" i="5"/>
  <c r="J4" i="5"/>
  <c r="I4" i="5"/>
  <c r="G4" i="5"/>
  <c r="F4" i="5"/>
  <c r="AB3" i="5"/>
  <c r="AA3" i="5"/>
  <c r="Z3" i="5"/>
  <c r="Y3" i="5"/>
  <c r="X3" i="5"/>
  <c r="U3" i="5"/>
  <c r="T3" i="5"/>
  <c r="P3" i="5"/>
  <c r="O3" i="5"/>
  <c r="N3" i="5"/>
  <c r="M3" i="5"/>
  <c r="K3" i="5"/>
  <c r="J3" i="5"/>
  <c r="I3" i="5"/>
  <c r="G3" i="5"/>
  <c r="G91" i="5" s="1"/>
  <c r="F3" i="5"/>
  <c r="BE35" i="11"/>
  <c r="BE37" i="11"/>
  <c r="BE39" i="11"/>
  <c r="BE33" i="11"/>
  <c r="BE10" i="11"/>
  <c r="BE14" i="11"/>
  <c r="BE15" i="11"/>
  <c r="BG4" i="19"/>
  <c r="BG5" i="19"/>
  <c r="BG6" i="19"/>
  <c r="BG7" i="19"/>
  <c r="BG8" i="19"/>
  <c r="BG9" i="19"/>
  <c r="BG3" i="19"/>
  <c r="BG3" i="21"/>
  <c r="N5" i="25"/>
  <c r="N30" i="5" s="1"/>
  <c r="N3" i="25"/>
  <c r="B19" i="25"/>
  <c r="BG4" i="12"/>
  <c r="BG5" i="12"/>
  <c r="BG6" i="12"/>
  <c r="BG7" i="12"/>
  <c r="BG8" i="12"/>
  <c r="BG9" i="12"/>
  <c r="BG10" i="12"/>
  <c r="BG11" i="12"/>
  <c r="BG3" i="12"/>
  <c r="BE4" i="12"/>
  <c r="BE5" i="12"/>
  <c r="BE6" i="12"/>
  <c r="BE7" i="12"/>
  <c r="BE8" i="12"/>
  <c r="BE9" i="12"/>
  <c r="BE10" i="12"/>
  <c r="BE11" i="12"/>
  <c r="BE3" i="12"/>
  <c r="B20" i="25"/>
  <c r="N4" i="25" s="1"/>
  <c r="N29" i="5" s="1"/>
  <c r="B21" i="25"/>
  <c r="BG4" i="11"/>
  <c r="BG5" i="11"/>
  <c r="BG6" i="11"/>
  <c r="BG7" i="11"/>
  <c r="BG8" i="11"/>
  <c r="BG9" i="11"/>
  <c r="BG10" i="11"/>
  <c r="BG11" i="11"/>
  <c r="BG12" i="11"/>
  <c r="BG13" i="11"/>
  <c r="BG14" i="11"/>
  <c r="BG15" i="11"/>
  <c r="BG16" i="11"/>
  <c r="BG17" i="11"/>
  <c r="BG19" i="11"/>
  <c r="BG20" i="11"/>
  <c r="BG21" i="11"/>
  <c r="BG22" i="11"/>
  <c r="BG23" i="11"/>
  <c r="BG24" i="11"/>
  <c r="BG25" i="11"/>
  <c r="BG26" i="11"/>
  <c r="BG27" i="11"/>
  <c r="BG28" i="11"/>
  <c r="BG30" i="11"/>
  <c r="BG31" i="11"/>
  <c r="BG32" i="11"/>
  <c r="BG33" i="11"/>
  <c r="BG34" i="11"/>
  <c r="BG35" i="11"/>
  <c r="BG36" i="11"/>
  <c r="BG37" i="11"/>
  <c r="BG38" i="11"/>
  <c r="BG39" i="11"/>
  <c r="BG40" i="11"/>
  <c r="BG41" i="11"/>
  <c r="BG3" i="11"/>
  <c r="AA41" i="11"/>
  <c r="Z41" i="11"/>
  <c r="X41" i="11"/>
  <c r="T41" i="11"/>
  <c r="P41" i="11"/>
  <c r="O41" i="11"/>
  <c r="N41" i="11"/>
  <c r="AA40" i="11"/>
  <c r="Z40" i="11"/>
  <c r="X40" i="11"/>
  <c r="T40" i="11"/>
  <c r="R40" i="11"/>
  <c r="Q40" i="11"/>
  <c r="P40" i="11"/>
  <c r="O40" i="11"/>
  <c r="N40" i="11"/>
  <c r="AQ39" i="11"/>
  <c r="AN39" i="11"/>
  <c r="Z39" i="11"/>
  <c r="P39" i="11"/>
  <c r="N39" i="11"/>
  <c r="Z38" i="11"/>
  <c r="P38" i="11"/>
  <c r="O38" i="11"/>
  <c r="N38" i="11"/>
  <c r="AW37" i="11"/>
  <c r="AQ37" i="11"/>
  <c r="AO37" i="11"/>
  <c r="AN37" i="11"/>
  <c r="AG37" i="11"/>
  <c r="AE37" i="11"/>
  <c r="AD37" i="11"/>
  <c r="Z37" i="11"/>
  <c r="P37" i="11"/>
  <c r="O37" i="11"/>
  <c r="N37" i="11"/>
  <c r="X36" i="11"/>
  <c r="T36" i="11"/>
  <c r="N36" i="11"/>
  <c r="BB35" i="11"/>
  <c r="AZ35" i="11"/>
  <c r="AY35" i="11"/>
  <c r="AW35" i="11"/>
  <c r="AR35" i="11"/>
  <c r="AQ35" i="11"/>
  <c r="AO35" i="11"/>
  <c r="AN35" i="11"/>
  <c r="AI35" i="11"/>
  <c r="AG35" i="11"/>
  <c r="AE35" i="11"/>
  <c r="AD35" i="11"/>
  <c r="Z35" i="11"/>
  <c r="P35" i="11"/>
  <c r="N35" i="11"/>
  <c r="N34" i="11"/>
  <c r="BB33" i="11"/>
  <c r="AY33" i="11"/>
  <c r="AW33" i="11"/>
  <c r="AR33" i="11"/>
  <c r="AQ33" i="11"/>
  <c r="AO33" i="11"/>
  <c r="AN33" i="11"/>
  <c r="AG33" i="11"/>
  <c r="AE33" i="11"/>
  <c r="AD33" i="11"/>
  <c r="Z33" i="11"/>
  <c r="P33" i="11"/>
  <c r="O33" i="11"/>
  <c r="N33" i="11"/>
  <c r="Z32" i="11"/>
  <c r="P32" i="11"/>
  <c r="N32" i="11"/>
  <c r="Z31" i="11"/>
  <c r="X31" i="11"/>
  <c r="P31" i="11"/>
  <c r="O31" i="11"/>
  <c r="N31" i="11"/>
  <c r="Z30" i="11"/>
  <c r="X30" i="11"/>
  <c r="P30" i="11"/>
  <c r="O30" i="11"/>
  <c r="N30" i="11"/>
  <c r="F30" i="11"/>
  <c r="AC23" i="11"/>
  <c r="AC24" i="11"/>
  <c r="AC25" i="11"/>
  <c r="AC27" i="11"/>
  <c r="X20" i="11"/>
  <c r="X21" i="11"/>
  <c r="X22" i="11"/>
  <c r="X26" i="11"/>
  <c r="X28" i="11"/>
  <c r="X19" i="11"/>
  <c r="W21" i="11"/>
  <c r="W22" i="11"/>
  <c r="W26" i="11"/>
  <c r="W28" i="11"/>
  <c r="W20" i="11"/>
  <c r="W19" i="11"/>
  <c r="T21" i="11"/>
  <c r="N24" i="11"/>
  <c r="Z17" i="11"/>
  <c r="X17" i="11"/>
  <c r="N17" i="11"/>
  <c r="Z16" i="11"/>
  <c r="X16" i="11"/>
  <c r="V16" i="11"/>
  <c r="N16" i="11"/>
  <c r="BB15" i="11"/>
  <c r="AW15" i="11"/>
  <c r="AR15" i="11"/>
  <c r="AO15" i="11"/>
  <c r="AN15" i="11"/>
  <c r="AG15" i="11"/>
  <c r="AD15" i="11"/>
  <c r="P15" i="11"/>
  <c r="N15" i="11"/>
  <c r="AR14" i="11"/>
  <c r="P14" i="11"/>
  <c r="N14" i="11"/>
  <c r="Z13" i="11"/>
  <c r="X13" i="11"/>
  <c r="U13" i="11"/>
  <c r="T13" i="11"/>
  <c r="Z12" i="11"/>
  <c r="X12" i="11"/>
  <c r="V12" i="11"/>
  <c r="U12" i="11"/>
  <c r="T12" i="11"/>
  <c r="N12" i="11"/>
  <c r="X11" i="11"/>
  <c r="T11" i="11"/>
  <c r="N11" i="11"/>
  <c r="BD10" i="11"/>
  <c r="X10" i="11"/>
  <c r="AC9" i="11"/>
  <c r="X9" i="11"/>
  <c r="V9" i="11"/>
  <c r="N9" i="11"/>
  <c r="P8" i="11"/>
  <c r="AC7" i="11"/>
  <c r="X7" i="11"/>
  <c r="V7" i="11"/>
  <c r="U7" i="11"/>
  <c r="T7" i="11"/>
  <c r="N7" i="11"/>
  <c r="AC6" i="11"/>
  <c r="AA6" i="11"/>
  <c r="Z6" i="11"/>
  <c r="X6" i="11"/>
  <c r="V6" i="11"/>
  <c r="U6" i="11"/>
  <c r="T6" i="11"/>
  <c r="P6" i="11"/>
  <c r="N6" i="11"/>
  <c r="Z5" i="11"/>
  <c r="X5" i="11"/>
  <c r="V5" i="11"/>
  <c r="U5" i="11"/>
  <c r="T5" i="11"/>
  <c r="P5" i="11"/>
  <c r="N5" i="11"/>
  <c r="F5" i="11"/>
  <c r="AC4" i="11"/>
  <c r="AA4" i="11"/>
  <c r="Z4" i="11"/>
  <c r="X4" i="11"/>
  <c r="V4" i="11"/>
  <c r="U4" i="11"/>
  <c r="T4" i="11"/>
  <c r="P4" i="11"/>
  <c r="N4" i="11"/>
  <c r="AA3" i="11"/>
  <c r="T3" i="11"/>
  <c r="N3" i="11"/>
  <c r="BE8" i="10"/>
  <c r="BE3" i="10"/>
  <c r="AW8" i="10"/>
  <c r="AW72" i="5" s="1"/>
  <c r="AV8" i="10"/>
  <c r="AV72" i="5" s="1"/>
  <c r="AS8" i="10"/>
  <c r="AS72" i="5" s="1"/>
  <c r="AO8" i="10"/>
  <c r="AJ8" i="10"/>
  <c r="AJ72" i="5" s="1"/>
  <c r="AF8" i="10"/>
  <c r="AF72" i="5" s="1"/>
  <c r="AE8" i="10"/>
  <c r="AE72" i="5" s="1"/>
  <c r="AD8" i="10"/>
  <c r="AD72" i="5" s="1"/>
  <c r="AA8" i="10"/>
  <c r="AA72" i="5" s="1"/>
  <c r="X8" i="10"/>
  <c r="X72" i="5" s="1"/>
  <c r="S8" i="10"/>
  <c r="S72" i="5" s="1"/>
  <c r="P8" i="10"/>
  <c r="P72" i="5" s="1"/>
  <c r="O8" i="10"/>
  <c r="O72" i="5" s="1"/>
  <c r="N8" i="10"/>
  <c r="N72" i="5" s="1"/>
  <c r="AW7" i="10"/>
  <c r="AW71" i="5" s="1"/>
  <c r="AS7" i="10"/>
  <c r="AS71" i="5" s="1"/>
  <c r="AO7" i="10"/>
  <c r="AJ7" i="10"/>
  <c r="AJ71" i="5" s="1"/>
  <c r="AA7" i="10"/>
  <c r="AA71" i="5" s="1"/>
  <c r="X7" i="10"/>
  <c r="S7" i="10"/>
  <c r="S71" i="5" s="1"/>
  <c r="P7" i="10"/>
  <c r="P71" i="5" s="1"/>
  <c r="O7" i="10"/>
  <c r="O71" i="5" s="1"/>
  <c r="N7" i="10"/>
  <c r="BG7" i="10" s="1"/>
  <c r="AW6" i="10"/>
  <c r="AV6" i="10"/>
  <c r="AV70" i="5" s="1"/>
  <c r="AS6" i="10"/>
  <c r="AS70" i="5" s="1"/>
  <c r="AE6" i="10"/>
  <c r="AE70" i="5" s="1"/>
  <c r="AD6" i="10"/>
  <c r="AD70" i="5" s="1"/>
  <c r="AA6" i="10"/>
  <c r="AA70" i="5" s="1"/>
  <c r="X6" i="10"/>
  <c r="X70" i="5" s="1"/>
  <c r="S6" i="10"/>
  <c r="S70" i="5" s="1"/>
  <c r="P6" i="10"/>
  <c r="P70" i="5" s="1"/>
  <c r="O6" i="10"/>
  <c r="N6" i="10"/>
  <c r="BG6" i="10" s="1"/>
  <c r="AX5" i="10"/>
  <c r="AX69" i="5" s="1"/>
  <c r="AW5" i="10"/>
  <c r="AS5" i="10"/>
  <c r="AS69" i="5" s="1"/>
  <c r="AO5" i="10"/>
  <c r="BE5" i="10" s="1"/>
  <c r="AA5" i="10"/>
  <c r="AA69" i="5" s="1"/>
  <c r="X5" i="10"/>
  <c r="S5" i="10"/>
  <c r="S69" i="5" s="1"/>
  <c r="P5" i="10"/>
  <c r="O5" i="10"/>
  <c r="N5" i="10"/>
  <c r="BB4" i="10"/>
  <c r="BB68" i="5" s="1"/>
  <c r="BB98" i="5" s="1"/>
  <c r="AX4" i="10"/>
  <c r="AX68" i="5" s="1"/>
  <c r="AW4" i="10"/>
  <c r="AW68" i="5" s="1"/>
  <c r="AV4" i="10"/>
  <c r="AV68" i="5" s="1"/>
  <c r="AS4" i="10"/>
  <c r="AS68" i="5" s="1"/>
  <c r="AR4" i="10"/>
  <c r="AP4" i="10"/>
  <c r="AP68" i="5" s="1"/>
  <c r="AP98" i="5" s="1"/>
  <c r="AO4" i="10"/>
  <c r="AO68" i="5" s="1"/>
  <c r="AO98" i="5" s="1"/>
  <c r="AN4" i="10"/>
  <c r="AM4" i="10"/>
  <c r="AM68" i="5" s="1"/>
  <c r="AM98" i="5" s="1"/>
  <c r="AJ4" i="10"/>
  <c r="AH4" i="10"/>
  <c r="AG4" i="10"/>
  <c r="AG68" i="5" s="1"/>
  <c r="AG98" i="5" s="1"/>
  <c r="AF4" i="10"/>
  <c r="AE4" i="10"/>
  <c r="AE68" i="5" s="1"/>
  <c r="AE98" i="5" s="1"/>
  <c r="AD4" i="10"/>
  <c r="AD68" i="5" s="1"/>
  <c r="AA4" i="10"/>
  <c r="AA68" i="5" s="1"/>
  <c r="X4" i="10"/>
  <c r="X68" i="5" s="1"/>
  <c r="S4" i="10"/>
  <c r="S68" i="5" s="1"/>
  <c r="P4" i="10"/>
  <c r="P68" i="5" s="1"/>
  <c r="O4" i="10"/>
  <c r="O68" i="5" s="1"/>
  <c r="N4" i="10"/>
  <c r="BG4" i="10" s="1"/>
  <c r="AW3" i="10"/>
  <c r="AW67" i="5" s="1"/>
  <c r="AV3" i="10"/>
  <c r="AV67" i="5" s="1"/>
  <c r="AS3" i="10"/>
  <c r="AO3" i="10"/>
  <c r="X3" i="10"/>
  <c r="X67" i="5" s="1"/>
  <c r="S3" i="10"/>
  <c r="S67" i="5" s="1"/>
  <c r="P3" i="10"/>
  <c r="P67" i="5" s="1"/>
  <c r="O3" i="10"/>
  <c r="O67" i="5" s="1"/>
  <c r="N3" i="10"/>
  <c r="N67" i="5" s="1"/>
  <c r="J14" i="7"/>
  <c r="J15" i="7"/>
  <c r="J16" i="7"/>
  <c r="J17" i="7"/>
  <c r="J18" i="7"/>
  <c r="J19" i="7"/>
  <c r="J20" i="7"/>
  <c r="J21" i="7"/>
  <c r="J22" i="7"/>
  <c r="J23" i="7"/>
  <c r="J24" i="7"/>
  <c r="J25" i="7"/>
  <c r="J26" i="7"/>
  <c r="J27" i="7"/>
  <c r="J28" i="7"/>
  <c r="J29" i="7"/>
  <c r="J30" i="7"/>
  <c r="J31" i="7"/>
  <c r="J32" i="7"/>
  <c r="J33" i="7"/>
  <c r="J34" i="7"/>
  <c r="J35" i="7"/>
  <c r="J36" i="7"/>
  <c r="J37" i="7"/>
  <c r="J38" i="7"/>
  <c r="J39" i="7"/>
  <c r="J40" i="7"/>
  <c r="J13" i="7"/>
  <c r="M9" i="7"/>
  <c r="M8" i="7"/>
  <c r="M7" i="7"/>
  <c r="M6" i="7"/>
  <c r="M5" i="7"/>
  <c r="M4" i="7"/>
  <c r="M3" i="7"/>
  <c r="I9" i="7"/>
  <c r="I8" i="7"/>
  <c r="I7" i="7"/>
  <c r="I6" i="7"/>
  <c r="I5" i="7"/>
  <c r="I4" i="7"/>
  <c r="I3" i="7"/>
  <c r="K9" i="7"/>
  <c r="K8" i="7"/>
  <c r="K7" i="7"/>
  <c r="K6" i="7"/>
  <c r="K5" i="7"/>
  <c r="K4" i="7"/>
  <c r="K3" i="7"/>
  <c r="J9" i="7"/>
  <c r="J8" i="7"/>
  <c r="J7" i="7"/>
  <c r="J6" i="7"/>
  <c r="J5" i="7"/>
  <c r="J4" i="7"/>
  <c r="J3" i="7"/>
  <c r="V10" i="21"/>
  <c r="V15" i="21" s="1"/>
  <c r="AA3" i="21" s="1"/>
  <c r="U11" i="21"/>
  <c r="U8" i="21"/>
  <c r="U7" i="21"/>
  <c r="T11" i="21"/>
  <c r="T15" i="21" s="1"/>
  <c r="Y3" i="21" s="1"/>
  <c r="S11" i="21"/>
  <c r="S9" i="21"/>
  <c r="S8" i="21"/>
  <c r="S7" i="21"/>
  <c r="P11" i="21"/>
  <c r="P9" i="21"/>
  <c r="P8" i="21"/>
  <c r="P7" i="21"/>
  <c r="O11" i="21"/>
  <c r="O8" i="21"/>
  <c r="O7" i="21"/>
  <c r="N11" i="21"/>
  <c r="N9" i="21"/>
  <c r="N8" i="21"/>
  <c r="N7" i="21"/>
  <c r="M8" i="21"/>
  <c r="M7" i="21"/>
  <c r="L14" i="21"/>
  <c r="L12" i="21"/>
  <c r="L11" i="21"/>
  <c r="L10" i="21"/>
  <c r="L9" i="21"/>
  <c r="L8" i="21"/>
  <c r="L7" i="21"/>
  <c r="I11" i="21"/>
  <c r="I7" i="21"/>
  <c r="H7" i="21"/>
  <c r="F13" i="21"/>
  <c r="F12" i="21"/>
  <c r="F11" i="21"/>
  <c r="F10" i="21"/>
  <c r="F9" i="21"/>
  <c r="F8" i="21"/>
  <c r="F7" i="21"/>
  <c r="G3" i="21"/>
  <c r="H15" i="21"/>
  <c r="H3" i="21" s="1"/>
  <c r="Y15" i="21"/>
  <c r="Q3" i="21" s="1"/>
  <c r="X10" i="6"/>
  <c r="X17" i="5" s="1"/>
  <c r="I10" i="6"/>
  <c r="I17" i="5" s="1"/>
  <c r="F10" i="6"/>
  <c r="F17" i="5" s="1"/>
  <c r="P9" i="6"/>
  <c r="P16" i="5" s="1"/>
  <c r="N9" i="6"/>
  <c r="N16" i="5" s="1"/>
  <c r="M9" i="6"/>
  <c r="M16" i="5" s="1"/>
  <c r="L9" i="6"/>
  <c r="L16" i="5" s="1"/>
  <c r="I9" i="6"/>
  <c r="I16" i="5" s="1"/>
  <c r="G9" i="6"/>
  <c r="G16" i="5" s="1"/>
  <c r="F9" i="6"/>
  <c r="F16" i="5" s="1"/>
  <c r="N8" i="6"/>
  <c r="M8" i="6"/>
  <c r="M15" i="5" s="1"/>
  <c r="L8" i="6"/>
  <c r="L15" i="5" s="1"/>
  <c r="I8" i="6"/>
  <c r="I15" i="5" s="1"/>
  <c r="F8" i="6"/>
  <c r="AA7" i="6"/>
  <c r="AA14" i="5" s="1"/>
  <c r="AA92" i="5" s="1"/>
  <c r="Z7" i="6"/>
  <c r="Z14" i="5" s="1"/>
  <c r="Z92" i="5" s="1"/>
  <c r="T7" i="6"/>
  <c r="T14" i="5" s="1"/>
  <c r="P7" i="6"/>
  <c r="P14" i="5" s="1"/>
  <c r="N7" i="6"/>
  <c r="N14" i="5" s="1"/>
  <c r="M7" i="6"/>
  <c r="M14" i="5" s="1"/>
  <c r="L7" i="6"/>
  <c r="L14" i="5" s="1"/>
  <c r="I7" i="6"/>
  <c r="I14" i="5" s="1"/>
  <c r="H7" i="6"/>
  <c r="F7" i="6"/>
  <c r="F14" i="5" s="1"/>
  <c r="X6" i="6"/>
  <c r="X13" i="5" s="1"/>
  <c r="U6" i="6"/>
  <c r="U13" i="5" s="1"/>
  <c r="T6" i="6"/>
  <c r="T13" i="5" s="1"/>
  <c r="P6" i="6"/>
  <c r="P13" i="5" s="1"/>
  <c r="N6" i="6"/>
  <c r="N13" i="5" s="1"/>
  <c r="I6" i="6"/>
  <c r="I13" i="5" s="1"/>
  <c r="F6" i="6"/>
  <c r="L5" i="6"/>
  <c r="L12" i="5" s="1"/>
  <c r="I5" i="6"/>
  <c r="BG5" i="6" s="1"/>
  <c r="G5" i="6"/>
  <c r="G12" i="5" s="1"/>
  <c r="F5" i="6"/>
  <c r="F12" i="5" s="1"/>
  <c r="X4" i="6"/>
  <c r="X11" i="5" s="1"/>
  <c r="U4" i="6"/>
  <c r="U11" i="5" s="1"/>
  <c r="Q4" i="6"/>
  <c r="P4" i="6"/>
  <c r="P11" i="5" s="1"/>
  <c r="N4" i="6"/>
  <c r="N11" i="5" s="1"/>
  <c r="M4" i="6"/>
  <c r="M11" i="5" s="1"/>
  <c r="F4" i="6"/>
  <c r="F11" i="5" s="1"/>
  <c r="U3" i="6"/>
  <c r="U10" i="5" s="1"/>
  <c r="T3" i="6"/>
  <c r="T10" i="5" s="1"/>
  <c r="P3" i="6"/>
  <c r="P10" i="5" s="1"/>
  <c r="N3" i="6"/>
  <c r="N10" i="5" s="1"/>
  <c r="M3" i="6"/>
  <c r="M10" i="5" s="1"/>
  <c r="L3" i="6"/>
  <c r="L10" i="5" s="1"/>
  <c r="G3" i="6"/>
  <c r="G10" i="5" s="1"/>
  <c r="F3" i="6"/>
  <c r="F10" i="5" s="1"/>
  <c r="F4" i="7"/>
  <c r="BG10" i="6"/>
  <c r="U26" i="6"/>
  <c r="V26" i="6"/>
  <c r="W26" i="6"/>
  <c r="F3" i="7"/>
  <c r="AB9" i="7"/>
  <c r="AA9" i="7"/>
  <c r="Z9" i="7"/>
  <c r="Y9" i="7"/>
  <c r="X9" i="7"/>
  <c r="U9" i="7"/>
  <c r="T9" i="7"/>
  <c r="P9" i="7"/>
  <c r="O9" i="7"/>
  <c r="N9" i="7"/>
  <c r="G9" i="7"/>
  <c r="F9" i="7"/>
  <c r="AB8" i="7"/>
  <c r="AA8" i="7"/>
  <c r="Z8" i="7"/>
  <c r="Y8" i="7"/>
  <c r="X8" i="7"/>
  <c r="U8" i="7"/>
  <c r="T8" i="7"/>
  <c r="P8" i="7"/>
  <c r="O8" i="7"/>
  <c r="N8" i="7"/>
  <c r="G8" i="7"/>
  <c r="F8" i="7"/>
  <c r="AB7" i="7"/>
  <c r="AA7" i="7"/>
  <c r="Z7" i="7"/>
  <c r="Y7" i="7"/>
  <c r="X7" i="7"/>
  <c r="U7" i="7"/>
  <c r="T7" i="7"/>
  <c r="P7" i="7"/>
  <c r="O7" i="7"/>
  <c r="N7" i="7"/>
  <c r="G7" i="7"/>
  <c r="F7" i="7"/>
  <c r="AB6" i="7"/>
  <c r="AA6" i="7"/>
  <c r="Z6" i="7"/>
  <c r="Y6" i="7"/>
  <c r="X6" i="7"/>
  <c r="U6" i="7"/>
  <c r="T6" i="7"/>
  <c r="P6" i="7"/>
  <c r="O6" i="7"/>
  <c r="N6" i="7"/>
  <c r="G6" i="7"/>
  <c r="F6" i="7"/>
  <c r="AB5" i="7"/>
  <c r="AA5" i="7"/>
  <c r="Z5" i="7"/>
  <c r="Y5" i="7"/>
  <c r="X5" i="7"/>
  <c r="U5" i="7"/>
  <c r="T5" i="7"/>
  <c r="P5" i="7"/>
  <c r="O5" i="7"/>
  <c r="N5" i="7"/>
  <c r="G5" i="7"/>
  <c r="F5" i="7"/>
  <c r="AB4" i="7"/>
  <c r="AA4" i="7"/>
  <c r="Z4" i="7"/>
  <c r="Y4" i="7"/>
  <c r="X4" i="7"/>
  <c r="U4" i="7"/>
  <c r="T4" i="7"/>
  <c r="P4" i="7"/>
  <c r="O4" i="7"/>
  <c r="N4" i="7"/>
  <c r="G4" i="7"/>
  <c r="AB3" i="7"/>
  <c r="AA3" i="7"/>
  <c r="Z3" i="7"/>
  <c r="Y3" i="7"/>
  <c r="X3" i="7"/>
  <c r="U3" i="7"/>
  <c r="T3" i="7"/>
  <c r="P3" i="7"/>
  <c r="O3" i="7"/>
  <c r="N3" i="7"/>
  <c r="G3" i="7"/>
  <c r="AR106" i="5"/>
  <c r="AR107" i="5"/>
  <c r="AR108" i="5"/>
  <c r="AR109" i="5"/>
  <c r="AR110" i="5"/>
  <c r="AR111" i="5"/>
  <c r="AR112" i="5"/>
  <c r="AR113" i="5"/>
  <c r="AR114" i="5"/>
  <c r="AR115" i="5"/>
  <c r="AR116" i="5"/>
  <c r="AR117" i="5"/>
  <c r="AR118" i="5"/>
  <c r="AR119" i="5"/>
  <c r="AR120" i="5"/>
  <c r="AR121" i="5"/>
  <c r="AR122" i="5"/>
  <c r="AR123" i="5"/>
  <c r="AR124" i="5"/>
  <c r="AR125" i="5"/>
  <c r="AR126" i="5"/>
  <c r="AR127" i="5"/>
  <c r="J91" i="5" l="1"/>
  <c r="X91" i="5"/>
  <c r="F91" i="5"/>
  <c r="AA96" i="5"/>
  <c r="K91" i="5"/>
  <c r="N91" i="5"/>
  <c r="U91" i="5"/>
  <c r="M91" i="5"/>
  <c r="I91" i="5"/>
  <c r="AG96" i="5"/>
  <c r="W97" i="5"/>
  <c r="AA99" i="5"/>
  <c r="AN96" i="5"/>
  <c r="BG59" i="5"/>
  <c r="T99" i="5"/>
  <c r="AC99" i="5"/>
  <c r="T91" i="5"/>
  <c r="AR99" i="5"/>
  <c r="N96" i="5"/>
  <c r="X96" i="5"/>
  <c r="X97" i="5"/>
  <c r="AE96" i="5"/>
  <c r="N93" i="5"/>
  <c r="F94" i="5"/>
  <c r="U92" i="5"/>
  <c r="BG78" i="5"/>
  <c r="T96" i="5"/>
  <c r="P93" i="5"/>
  <c r="Z96" i="5"/>
  <c r="O96" i="5"/>
  <c r="P96" i="5"/>
  <c r="AC97" i="5"/>
  <c r="BG80" i="5"/>
  <c r="N94" i="5"/>
  <c r="G92" i="5"/>
  <c r="X98" i="5"/>
  <c r="AJ98" i="5"/>
  <c r="AR96" i="5"/>
  <c r="BB96" i="5"/>
  <c r="P99" i="5"/>
  <c r="M94" i="5"/>
  <c r="BG37" i="5"/>
  <c r="AQ96" i="5"/>
  <c r="AY96" i="5"/>
  <c r="AO96" i="5"/>
  <c r="AW96" i="5"/>
  <c r="AV98" i="5"/>
  <c r="Q93" i="5"/>
  <c r="V99" i="5"/>
  <c r="X99" i="5"/>
  <c r="Z99" i="5"/>
  <c r="AD96" i="5"/>
  <c r="N99" i="5"/>
  <c r="U99" i="5"/>
  <c r="Y91" i="5"/>
  <c r="P91" i="5"/>
  <c r="Z91" i="5"/>
  <c r="AA91" i="5"/>
  <c r="AB91" i="5"/>
  <c r="O91" i="5"/>
  <c r="AL93" i="5"/>
  <c r="AG93" i="5"/>
  <c r="AX93" i="5"/>
  <c r="AU93" i="5"/>
  <c r="AD93" i="5"/>
  <c r="U93" i="5"/>
  <c r="AX98" i="5"/>
  <c r="AF98" i="5"/>
  <c r="AW98" i="5"/>
  <c r="O98" i="5"/>
  <c r="AS98" i="5"/>
  <c r="P98" i="5"/>
  <c r="AA98" i="5"/>
  <c r="S98" i="5"/>
  <c r="AD98" i="5"/>
  <c r="BG5" i="10"/>
  <c r="N71" i="5"/>
  <c r="N98" i="5" s="1"/>
  <c r="N70" i="5"/>
  <c r="BG70" i="5" s="1"/>
  <c r="BE7" i="10"/>
  <c r="BE6" i="10"/>
  <c r="BE4" i="10"/>
  <c r="BG3" i="10"/>
  <c r="BG8" i="10"/>
  <c r="L92" i="5"/>
  <c r="X92" i="5"/>
  <c r="M92" i="5"/>
  <c r="N92" i="5"/>
  <c r="P92" i="5"/>
  <c r="T92" i="5"/>
  <c r="BG6" i="6"/>
  <c r="F13" i="5"/>
  <c r="F92" i="5" s="1"/>
  <c r="I12" i="5"/>
  <c r="I92" i="5" s="1"/>
  <c r="U94" i="5"/>
  <c r="BG62" i="5"/>
  <c r="BG73" i="5"/>
  <c r="BG61" i="5"/>
  <c r="BE26" i="5"/>
  <c r="BG76" i="5"/>
  <c r="BG84" i="5"/>
  <c r="BG45" i="5"/>
  <c r="BG87" i="5"/>
  <c r="BG20" i="5"/>
  <c r="BE67" i="5"/>
  <c r="BG24" i="5"/>
  <c r="BG83" i="5"/>
  <c r="BG25" i="5"/>
  <c r="BE27" i="5"/>
  <c r="BG51" i="5"/>
  <c r="BG48" i="5"/>
  <c r="BG56" i="5"/>
  <c r="BG54" i="5"/>
  <c r="BG64" i="5"/>
  <c r="BG69" i="5"/>
  <c r="BG75" i="5"/>
  <c r="BG46" i="5"/>
  <c r="BE54" i="5"/>
  <c r="BE72" i="5"/>
  <c r="BG74" i="5"/>
  <c r="BG79" i="5"/>
  <c r="BG85" i="5"/>
  <c r="BE52" i="5"/>
  <c r="BG68" i="5"/>
  <c r="BG60" i="5"/>
  <c r="BG66" i="5"/>
  <c r="BE71" i="5"/>
  <c r="BG19" i="5"/>
  <c r="BE50" i="5"/>
  <c r="BE70" i="5"/>
  <c r="BG77" i="5"/>
  <c r="BG50" i="5"/>
  <c r="BG67" i="5"/>
  <c r="BG81" i="5"/>
  <c r="BG53" i="5"/>
  <c r="BE69" i="5"/>
  <c r="BG86" i="5"/>
  <c r="BG35" i="5"/>
  <c r="BG52" i="5"/>
  <c r="BG72" i="5"/>
  <c r="BE48" i="5"/>
  <c r="BG57" i="5"/>
  <c r="BE68" i="5"/>
  <c r="BG82" i="5"/>
  <c r="BG55" i="5"/>
  <c r="BG58" i="5"/>
  <c r="BG34" i="5"/>
  <c r="BG31" i="5"/>
  <c r="BG33" i="5"/>
  <c r="BG32" i="5"/>
  <c r="BG36" i="5"/>
  <c r="BG27" i="5"/>
  <c r="BE25" i="5"/>
  <c r="BE23" i="5"/>
  <c r="BG23" i="5"/>
  <c r="BG26" i="5"/>
  <c r="BG21" i="5"/>
  <c r="BG22" i="5"/>
  <c r="BE85" i="5"/>
  <c r="S15" i="21"/>
  <c r="X3" i="21" s="1"/>
  <c r="M15" i="21"/>
  <c r="O3" i="21" s="1"/>
  <c r="I15" i="21"/>
  <c r="P15" i="21"/>
  <c r="U3" i="21" s="1"/>
  <c r="U15" i="21"/>
  <c r="Z3" i="21" s="1"/>
  <c r="O15" i="21"/>
  <c r="T3" i="21" s="1"/>
  <c r="N15" i="21"/>
  <c r="F15" i="21"/>
  <c r="F3" i="21" s="1"/>
  <c r="BG4" i="6"/>
  <c r="BG8" i="6"/>
  <c r="BG7" i="6"/>
  <c r="BG3" i="6"/>
  <c r="BG9" i="6"/>
  <c r="BH91" i="5" l="1"/>
  <c r="BI91" i="5" s="1"/>
  <c r="BI100" i="5" s="1"/>
  <c r="BG71" i="5"/>
  <c r="I3" i="21"/>
  <c r="P3" i="21"/>
  <c r="BH41" i="23"/>
  <c r="BI41" i="23"/>
  <c r="BJ41" i="23"/>
  <c r="BH42" i="23"/>
  <c r="BI42" i="23"/>
  <c r="BJ42" i="23"/>
  <c r="BH43" i="23"/>
  <c r="BI43" i="23"/>
  <c r="BJ43" i="23"/>
  <c r="BH44" i="23"/>
  <c r="BI44" i="23"/>
  <c r="BJ44" i="23"/>
  <c r="S4" i="23" l="1"/>
  <c r="Q3" i="23"/>
  <c r="Q4" i="23"/>
  <c r="S3" i="23"/>
  <c r="R4" i="23"/>
  <c r="R9" i="23"/>
  <c r="Q9" i="23"/>
  <c r="S9" i="23"/>
  <c r="R6" i="23"/>
  <c r="R95" i="5" l="1"/>
  <c r="Q95" i="5"/>
  <c r="S95" i="5"/>
  <c r="S90" i="5" l="1"/>
  <c r="Q100" i="5" l="1"/>
  <c r="BF41" i="23"/>
  <c r="BF42" i="23"/>
  <c r="BF43" i="23"/>
  <c r="BF44" i="23"/>
  <c r="G20" i="25" l="1"/>
  <c r="X4" i="25" s="1"/>
  <c r="X29" i="5" s="1"/>
  <c r="G21" i="25"/>
  <c r="G19" i="25"/>
  <c r="X3" i="25" s="1"/>
  <c r="X28" i="5" s="1"/>
  <c r="C20" i="25"/>
  <c r="O4" i="25" s="1"/>
  <c r="O29" i="5" s="1"/>
  <c r="D20" i="25"/>
  <c r="T4" i="25" s="1"/>
  <c r="T29" i="5" s="1"/>
  <c r="T93" i="5" s="1"/>
  <c r="E20" i="25"/>
  <c r="F20" i="25"/>
  <c r="C21" i="25"/>
  <c r="D21" i="25"/>
  <c r="E21" i="25"/>
  <c r="F21" i="25"/>
  <c r="F5" i="25" s="1"/>
  <c r="F30" i="5" s="1"/>
  <c r="F19" i="25"/>
  <c r="E19" i="25"/>
  <c r="M3" i="25" s="1"/>
  <c r="M28" i="5" s="1"/>
  <c r="D19" i="25"/>
  <c r="C19" i="25"/>
  <c r="BE15" i="23"/>
  <c r="BE16" i="23"/>
  <c r="BE17" i="23"/>
  <c r="BE18" i="23"/>
  <c r="BE47" i="23" s="1"/>
  <c r="BE19" i="23"/>
  <c r="BE20" i="23"/>
  <c r="BE21" i="23"/>
  <c r="BE22" i="23"/>
  <c r="BE23" i="23"/>
  <c r="BE24" i="23"/>
  <c r="BE25" i="23"/>
  <c r="BE26" i="23"/>
  <c r="BE27" i="23"/>
  <c r="BE28" i="23"/>
  <c r="BE29" i="23"/>
  <c r="BE30" i="23"/>
  <c r="BE31" i="23"/>
  <c r="BE32" i="23"/>
  <c r="BE33" i="23"/>
  <c r="BE34" i="23"/>
  <c r="BE35" i="23"/>
  <c r="BE36" i="23"/>
  <c r="BE37" i="23"/>
  <c r="BE38" i="23"/>
  <c r="BE39" i="23"/>
  <c r="BE40" i="23"/>
  <c r="BE14" i="23"/>
  <c r="BC15" i="23"/>
  <c r="BC16" i="23"/>
  <c r="BC17" i="23"/>
  <c r="BC18" i="23"/>
  <c r="BC47" i="23" s="1"/>
  <c r="BC19" i="23"/>
  <c r="BC20" i="23"/>
  <c r="BC45" i="23" s="1"/>
  <c r="BC21" i="23"/>
  <c r="BC22" i="23"/>
  <c r="BC23" i="23"/>
  <c r="BC24" i="23"/>
  <c r="BC25" i="23"/>
  <c r="BC26" i="23"/>
  <c r="BC27" i="23"/>
  <c r="BC28" i="23"/>
  <c r="BC29" i="23"/>
  <c r="BC30" i="23"/>
  <c r="BC31" i="23"/>
  <c r="BC32" i="23"/>
  <c r="BC33" i="23"/>
  <c r="BC34" i="23"/>
  <c r="BC35" i="23"/>
  <c r="BC36" i="23"/>
  <c r="BC37" i="23"/>
  <c r="BC38" i="23"/>
  <c r="BC39" i="23"/>
  <c r="BC40" i="23"/>
  <c r="BC14" i="23"/>
  <c r="BB15" i="23"/>
  <c r="BB16" i="23"/>
  <c r="BB17" i="23"/>
  <c r="BB18" i="23"/>
  <c r="BB47" i="23" s="1"/>
  <c r="BB19" i="23"/>
  <c r="BB20" i="23"/>
  <c r="BB21" i="23"/>
  <c r="BB22" i="23"/>
  <c r="BB23" i="23"/>
  <c r="BD23" i="23" s="1"/>
  <c r="BB24" i="23"/>
  <c r="BD24" i="23" s="1"/>
  <c r="BB25" i="23"/>
  <c r="BD25" i="23" s="1"/>
  <c r="BB26" i="23"/>
  <c r="BB27" i="23"/>
  <c r="BB28" i="23"/>
  <c r="BB29" i="23"/>
  <c r="BB30" i="23"/>
  <c r="BB31" i="23"/>
  <c r="BB32" i="23"/>
  <c r="BD32" i="23" s="1"/>
  <c r="BB33" i="23"/>
  <c r="BD33" i="23" s="1"/>
  <c r="BB34" i="23"/>
  <c r="BB35" i="23"/>
  <c r="BB36" i="23"/>
  <c r="BB37" i="23"/>
  <c r="BB38" i="23"/>
  <c r="BB39" i="23"/>
  <c r="BB40" i="23"/>
  <c r="BB14" i="23"/>
  <c r="BE46" i="23" l="1"/>
  <c r="BE45" i="23"/>
  <c r="BC46" i="23"/>
  <c r="BB46" i="23"/>
  <c r="BB45" i="23"/>
  <c r="AK42" i="5" s="1"/>
  <c r="M93" i="5"/>
  <c r="BG28" i="5"/>
  <c r="BG29" i="5"/>
  <c r="O93" i="5"/>
  <c r="X93" i="5"/>
  <c r="BG30" i="5"/>
  <c r="F93" i="5"/>
  <c r="BD18" i="23"/>
  <c r="BD47" i="23" s="1"/>
  <c r="BD22" i="23"/>
  <c r="BD37" i="23"/>
  <c r="BD17" i="23"/>
  <c r="BE44" i="23"/>
  <c r="BD35" i="23"/>
  <c r="BD36" i="23"/>
  <c r="BD34" i="23"/>
  <c r="BD30" i="23"/>
  <c r="BD29" i="23"/>
  <c r="BE42" i="23"/>
  <c r="BD20" i="23"/>
  <c r="BD45" i="23" s="1"/>
  <c r="BE43" i="23"/>
  <c r="BD40" i="23"/>
  <c r="BD28" i="23"/>
  <c r="BD16" i="23"/>
  <c r="BD31" i="23"/>
  <c r="BD43" i="23" s="1"/>
  <c r="BD39" i="23"/>
  <c r="BD27" i="23"/>
  <c r="BD15" i="23"/>
  <c r="BD38" i="23"/>
  <c r="BD26" i="23"/>
  <c r="BD14" i="23"/>
  <c r="BE41" i="23"/>
  <c r="BD21" i="23"/>
  <c r="BD46" i="23" s="1"/>
  <c r="BD19" i="23"/>
  <c r="S100" i="5"/>
  <c r="L26" i="12"/>
  <c r="K26" i="12"/>
  <c r="J26" i="12"/>
  <c r="I26" i="12"/>
  <c r="H26" i="12"/>
  <c r="G26" i="12"/>
  <c r="F26" i="12"/>
  <c r="E22" i="12"/>
  <c r="E26" i="12" s="1"/>
  <c r="L20" i="12"/>
  <c r="K20" i="12"/>
  <c r="J20" i="12"/>
  <c r="I20" i="12"/>
  <c r="H20" i="12"/>
  <c r="G20" i="12"/>
  <c r="F20" i="12"/>
  <c r="D20" i="12"/>
  <c r="D34" i="12" s="1"/>
  <c r="E16" i="12"/>
  <c r="E20" i="12" s="1"/>
  <c r="BD44" i="23" l="1"/>
  <c r="BG42" i="5"/>
  <c r="BE42" i="5"/>
  <c r="AK9" i="23"/>
  <c r="K34" i="12"/>
  <c r="L34" i="12"/>
  <c r="J34" i="12"/>
  <c r="F37" i="12" s="1"/>
  <c r="BD42" i="23"/>
  <c r="BD41" i="23"/>
  <c r="F34" i="12"/>
  <c r="G34" i="12"/>
  <c r="H34" i="12"/>
  <c r="I34" i="12"/>
  <c r="E37" i="12" s="1"/>
  <c r="N3" i="12" s="1"/>
  <c r="E34" i="12"/>
  <c r="D37" i="12" s="1"/>
  <c r="BH90" i="5"/>
  <c r="BL90" i="5"/>
  <c r="BK90" i="5"/>
  <c r="BJ90" i="5"/>
  <c r="L90" i="5"/>
  <c r="BA90" i="5"/>
  <c r="AP127" i="5" s="1"/>
  <c r="BB90" i="5"/>
  <c r="BC90" i="5"/>
  <c r="BD90" i="5"/>
  <c r="AQ41" i="23"/>
  <c r="AR41" i="23"/>
  <c r="AS41" i="23"/>
  <c r="AT41" i="23"/>
  <c r="AU41" i="23"/>
  <c r="AV41" i="23"/>
  <c r="AW41" i="23"/>
  <c r="AX41" i="23"/>
  <c r="AQ42" i="23"/>
  <c r="AR42" i="23"/>
  <c r="AS42" i="23"/>
  <c r="AT42" i="23"/>
  <c r="AU42" i="23"/>
  <c r="AV42" i="23"/>
  <c r="AW42" i="23"/>
  <c r="AX42" i="23"/>
  <c r="AQ43" i="23"/>
  <c r="AR43" i="23"/>
  <c r="AS43" i="23"/>
  <c r="AT43" i="23"/>
  <c r="AU43" i="23"/>
  <c r="AV43" i="23"/>
  <c r="AW43" i="23"/>
  <c r="AX43" i="23"/>
  <c r="AQ44" i="23"/>
  <c r="AR44" i="23"/>
  <c r="AS44" i="23"/>
  <c r="AT44" i="23"/>
  <c r="AU44" i="23"/>
  <c r="AV44" i="23"/>
  <c r="AW44" i="23"/>
  <c r="AX44" i="23"/>
  <c r="R100" i="5" l="1"/>
  <c r="AW3" i="23"/>
  <c r="AW38" i="5" s="1"/>
  <c r="AW95" i="5" s="1"/>
  <c r="BD3" i="23"/>
  <c r="BD38" i="5" s="1"/>
  <c r="BD95" i="5" s="1"/>
  <c r="BC3" i="23"/>
  <c r="BC38" i="5" s="1"/>
  <c r="BC95" i="5" s="1"/>
  <c r="BC100" i="5" s="1"/>
  <c r="BA3" i="23"/>
  <c r="BA38" i="5" s="1"/>
  <c r="BA95" i="5" s="1"/>
  <c r="AK4" i="23"/>
  <c r="AK39" i="5" s="1"/>
  <c r="AK95" i="5" s="1"/>
  <c r="AK100" i="5" s="1"/>
  <c r="BU99" i="5"/>
  <c r="CB99" i="5"/>
  <c r="BU94" i="5"/>
  <c r="CB94" i="5"/>
  <c r="CB93" i="5"/>
  <c r="BU93" i="5"/>
  <c r="CA97" i="5"/>
  <c r="BT97" i="5"/>
  <c r="BK94" i="5"/>
  <c r="BK99" i="5"/>
  <c r="BJ97" i="5"/>
  <c r="BM97" i="5"/>
  <c r="BM91" i="5"/>
  <c r="BK93" i="5"/>
  <c r="BM92" i="5"/>
  <c r="BM93" i="5"/>
  <c r="G37" i="12"/>
  <c r="AL100" i="5"/>
  <c r="AQ114" i="5" l="1"/>
  <c r="AS114" i="5" s="1"/>
  <c r="AQ113" i="5"/>
  <c r="AS113" i="5" s="1"/>
  <c r="BK98" i="5"/>
  <c r="BU98" i="5"/>
  <c r="CB98" i="5"/>
  <c r="AZ100" i="5"/>
  <c r="BB100" i="5"/>
  <c r="AY100" i="5"/>
  <c r="BA100" i="5"/>
  <c r="G90" i="5"/>
  <c r="H90" i="5"/>
  <c r="I90" i="5"/>
  <c r="J90" i="5"/>
  <c r="K90" i="5"/>
  <c r="M90" i="5"/>
  <c r="N90" i="5"/>
  <c r="O90" i="5"/>
  <c r="P90" i="5"/>
  <c r="T90" i="5"/>
  <c r="U90" i="5"/>
  <c r="V90" i="5"/>
  <c r="W90" i="5"/>
  <c r="X90" i="5"/>
  <c r="Y90" i="5"/>
  <c r="Z90" i="5"/>
  <c r="AA90" i="5"/>
  <c r="AB90" i="5"/>
  <c r="AC90" i="5"/>
  <c r="AD90" i="5"/>
  <c r="AE90" i="5"/>
  <c r="AF90" i="5"/>
  <c r="AG90" i="5"/>
  <c r="AH90" i="5"/>
  <c r="AI90" i="5"/>
  <c r="AJ90" i="5"/>
  <c r="AK90" i="5"/>
  <c r="AL90" i="5"/>
  <c r="AM90" i="5"/>
  <c r="AN90" i="5"/>
  <c r="AO90" i="5"/>
  <c r="AP90" i="5"/>
  <c r="AQ90" i="5"/>
  <c r="AR90" i="5"/>
  <c r="AS90" i="5"/>
  <c r="AT90" i="5"/>
  <c r="AU90" i="5"/>
  <c r="AV90" i="5"/>
  <c r="AW90" i="5"/>
  <c r="AX90" i="5"/>
  <c r="AY90" i="5"/>
  <c r="AZ90" i="5"/>
  <c r="AP126" i="5" s="1"/>
  <c r="F90" i="5"/>
  <c r="J43" i="23"/>
  <c r="J42" i="23"/>
  <c r="J41" i="23"/>
  <c r="K41" i="23"/>
  <c r="L41" i="23"/>
  <c r="M41" i="23"/>
  <c r="N41" i="23"/>
  <c r="O41" i="23"/>
  <c r="P41" i="23"/>
  <c r="Q41" i="23"/>
  <c r="R41" i="23"/>
  <c r="S41" i="23"/>
  <c r="T41" i="23"/>
  <c r="U41" i="23"/>
  <c r="V41" i="23"/>
  <c r="W41" i="23"/>
  <c r="X41" i="23"/>
  <c r="Y41" i="23"/>
  <c r="Z41" i="23"/>
  <c r="AA41" i="23"/>
  <c r="AB41" i="23"/>
  <c r="AC41" i="23"/>
  <c r="AD41" i="23"/>
  <c r="AE41" i="23"/>
  <c r="AF41" i="23"/>
  <c r="AG41" i="23"/>
  <c r="AH41" i="23"/>
  <c r="AI41" i="23"/>
  <c r="AJ41" i="23"/>
  <c r="AK41" i="23"/>
  <c r="AL41" i="23"/>
  <c r="AM41" i="23"/>
  <c r="AN41" i="23"/>
  <c r="AO41" i="23"/>
  <c r="AP41" i="23"/>
  <c r="K42" i="23"/>
  <c r="L42" i="23"/>
  <c r="M42" i="23"/>
  <c r="N42" i="23"/>
  <c r="O42" i="23"/>
  <c r="P42" i="23"/>
  <c r="Q42" i="23"/>
  <c r="R42" i="23"/>
  <c r="S42" i="23"/>
  <c r="T42" i="23"/>
  <c r="U42" i="23"/>
  <c r="V42" i="23"/>
  <c r="W42" i="23"/>
  <c r="X42" i="23"/>
  <c r="Y42" i="23"/>
  <c r="Z42" i="23"/>
  <c r="AA42" i="23"/>
  <c r="AB42" i="23"/>
  <c r="AC42" i="23"/>
  <c r="AD42" i="23"/>
  <c r="AE42" i="23"/>
  <c r="AF42" i="23"/>
  <c r="AG42" i="23"/>
  <c r="AH42" i="23"/>
  <c r="AI42" i="23"/>
  <c r="AJ42" i="23"/>
  <c r="AK42" i="23"/>
  <c r="AL42" i="23"/>
  <c r="AM42" i="23"/>
  <c r="AN42" i="23"/>
  <c r="AO42" i="23"/>
  <c r="AP42" i="23"/>
  <c r="K43" i="23"/>
  <c r="L43" i="23"/>
  <c r="M43" i="23"/>
  <c r="N43" i="23"/>
  <c r="O43" i="23"/>
  <c r="P43" i="23"/>
  <c r="Q43" i="23"/>
  <c r="R43" i="23"/>
  <c r="S43" i="23"/>
  <c r="T43" i="23"/>
  <c r="U43" i="23"/>
  <c r="V43" i="23"/>
  <c r="W43" i="23"/>
  <c r="X43" i="23"/>
  <c r="Y43" i="23"/>
  <c r="Z43" i="23"/>
  <c r="AA43" i="23"/>
  <c r="AB43" i="23"/>
  <c r="AC43" i="23"/>
  <c r="AD43" i="23"/>
  <c r="AE43" i="23"/>
  <c r="AF43" i="23"/>
  <c r="AG43" i="23"/>
  <c r="AH43" i="23"/>
  <c r="AI43" i="23"/>
  <c r="AJ43" i="23"/>
  <c r="AK43" i="23"/>
  <c r="AL43" i="23"/>
  <c r="AM43" i="23"/>
  <c r="AN43" i="23"/>
  <c r="AO43" i="23"/>
  <c r="AP43" i="23"/>
  <c r="K44" i="23"/>
  <c r="L44" i="23"/>
  <c r="M44" i="23"/>
  <c r="N44" i="23"/>
  <c r="O44" i="23"/>
  <c r="P44" i="23"/>
  <c r="Q44" i="23"/>
  <c r="R44" i="23"/>
  <c r="S44" i="23"/>
  <c r="T44" i="23"/>
  <c r="U44" i="23"/>
  <c r="V44" i="23"/>
  <c r="W44" i="23"/>
  <c r="X44" i="23"/>
  <c r="Y44" i="23"/>
  <c r="Z44" i="23"/>
  <c r="AA44" i="23"/>
  <c r="AB44" i="23"/>
  <c r="AC44" i="23"/>
  <c r="AD44" i="23"/>
  <c r="AE44" i="23"/>
  <c r="AF44" i="23"/>
  <c r="AG44" i="23"/>
  <c r="AH44" i="23"/>
  <c r="AI44" i="23"/>
  <c r="AJ44" i="23"/>
  <c r="AK44" i="23"/>
  <c r="AL44" i="23"/>
  <c r="AM44" i="23"/>
  <c r="AN44" i="23"/>
  <c r="AO44" i="23"/>
  <c r="AP44" i="23"/>
  <c r="AM9" i="23" l="1"/>
  <c r="AA9" i="23"/>
  <c r="O6" i="23"/>
  <c r="AU4" i="23"/>
  <c r="AU39" i="5" s="1"/>
  <c r="AU95" i="5" s="1"/>
  <c r="AU100" i="5" s="1"/>
  <c r="AJ4" i="23"/>
  <c r="AJ39" i="5" s="1"/>
  <c r="X4" i="23"/>
  <c r="Z9" i="23"/>
  <c r="AT4" i="23"/>
  <c r="AT39" i="5" s="1"/>
  <c r="Z3" i="23"/>
  <c r="Y4" i="23"/>
  <c r="X3" i="23"/>
  <c r="AT9" i="23"/>
  <c r="T4" i="23"/>
  <c r="AQ4" i="23"/>
  <c r="AQ39" i="5" s="1"/>
  <c r="P4" i="23"/>
  <c r="N3" i="23"/>
  <c r="N38" i="5" s="1"/>
  <c r="X9" i="23"/>
  <c r="AA6" i="23"/>
  <c r="O5" i="23"/>
  <c r="Y6" i="23"/>
  <c r="AS3" i="23"/>
  <c r="AS38" i="5" s="1"/>
  <c r="X6" i="23"/>
  <c r="AP4" i="23"/>
  <c r="AP39" i="5" s="1"/>
  <c r="AD4" i="23"/>
  <c r="O4" i="23"/>
  <c r="N4" i="23"/>
  <c r="N39" i="5" s="1"/>
  <c r="AT3" i="23"/>
  <c r="AT38" i="5" s="1"/>
  <c r="AS9" i="23"/>
  <c r="T9" i="23"/>
  <c r="Z5" i="23"/>
  <c r="N5" i="23"/>
  <c r="N40" i="5" s="1"/>
  <c r="AN9" i="23"/>
  <c r="V5" i="23"/>
  <c r="Y9" i="23"/>
  <c r="Z6" i="23"/>
  <c r="V9" i="23"/>
  <c r="V3" i="23"/>
  <c r="AQ9" i="23"/>
  <c r="P9" i="23"/>
  <c r="V6" i="23"/>
  <c r="AN4" i="23"/>
  <c r="AN39" i="5" s="1"/>
  <c r="P3" i="23"/>
  <c r="P6" i="23"/>
  <c r="N9" i="23"/>
  <c r="P5" i="23"/>
  <c r="AJ9" i="23"/>
  <c r="AP9" i="23"/>
  <c r="O9" i="23"/>
  <c r="X5" i="23"/>
  <c r="AM4" i="23"/>
  <c r="AM39" i="5" s="1"/>
  <c r="AM95" i="5" s="1"/>
  <c r="AA4" i="23"/>
  <c r="O3" i="23"/>
  <c r="Z4" i="23"/>
  <c r="AO3" i="23"/>
  <c r="AO38" i="5" s="1"/>
  <c r="AQ127" i="5"/>
  <c r="AS127" i="5" s="1"/>
  <c r="AQ126" i="5"/>
  <c r="AS126" i="5" s="1"/>
  <c r="AV100" i="5"/>
  <c r="BD100" i="5"/>
  <c r="BM98" i="5"/>
  <c r="AW100" i="5"/>
  <c r="AX100" i="5"/>
  <c r="M5" i="19"/>
  <c r="N7" i="19"/>
  <c r="N5" i="19"/>
  <c r="F7" i="19"/>
  <c r="AS95" i="5" l="1"/>
  <c r="X95" i="5"/>
  <c r="AJ95" i="5"/>
  <c r="Z95" i="5"/>
  <c r="P95" i="5"/>
  <c r="Y95" i="5"/>
  <c r="O95" i="5"/>
  <c r="BG38" i="5"/>
  <c r="AT95" i="5"/>
  <c r="AT100" i="5" s="1"/>
  <c r="AQ122" i="5" s="1"/>
  <c r="AS122" i="5" s="1"/>
  <c r="AO95" i="5"/>
  <c r="BE38" i="5"/>
  <c r="AN95" i="5"/>
  <c r="AN100" i="5" s="1"/>
  <c r="BG40" i="5"/>
  <c r="AA95" i="5"/>
  <c r="T95" i="5"/>
  <c r="AQ95" i="5"/>
  <c r="AQ100" i="5" s="1"/>
  <c r="BE4" i="23"/>
  <c r="AD39" i="5"/>
  <c r="BG39" i="5" s="1"/>
  <c r="V95" i="5"/>
  <c r="BU95" i="5" s="1"/>
  <c r="AP95" i="5"/>
  <c r="AQ123" i="5"/>
  <c r="AS123" i="5" s="1"/>
  <c r="BE9" i="23"/>
  <c r="BG3" i="23"/>
  <c r="BE3" i="23"/>
  <c r="BG5" i="23"/>
  <c r="BG9" i="23"/>
  <c r="BG4" i="23"/>
  <c r="AQ124" i="5"/>
  <c r="AS124" i="5" s="1"/>
  <c r="AQ125" i="5"/>
  <c r="AS125" i="5" s="1"/>
  <c r="L100" i="5"/>
  <c r="BS97" i="5"/>
  <c r="BZ97" i="5"/>
  <c r="AS100" i="5"/>
  <c r="CC95" i="5" l="1"/>
  <c r="BL95" i="5"/>
  <c r="BK95" i="5"/>
  <c r="CB95" i="5"/>
  <c r="BV95" i="5"/>
  <c r="AQ119" i="5"/>
  <c r="AS119" i="5" s="1"/>
  <c r="AQ116" i="5"/>
  <c r="AS116" i="5" s="1"/>
  <c r="AD95" i="5"/>
  <c r="BM95" i="5" s="1"/>
  <c r="BE39" i="5"/>
  <c r="AQ121" i="5"/>
  <c r="AS121" i="5" s="1"/>
  <c r="BG3" i="7"/>
  <c r="BJ93" i="5"/>
  <c r="CA93" i="5"/>
  <c r="BT93" i="5"/>
  <c r="BL93" i="5"/>
  <c r="CC93" i="5"/>
  <c r="BV93" i="5"/>
  <c r="S26" i="6"/>
  <c r="T26" i="6"/>
  <c r="BG9" i="7" l="1"/>
  <c r="BG6" i="7"/>
  <c r="BG4" i="7"/>
  <c r="BG7" i="7"/>
  <c r="BG8" i="7"/>
  <c r="BG5" i="7"/>
  <c r="K100" i="5"/>
  <c r="J100" i="5"/>
  <c r="I100" i="5"/>
  <c r="AI100" i="5"/>
  <c r="E26" i="6"/>
  <c r="AQ111" i="5" l="1"/>
  <c r="AS111" i="5" s="1"/>
  <c r="V100" i="5"/>
  <c r="BL92" i="5" l="1"/>
  <c r="CC92" i="5"/>
  <c r="BG18" i="5"/>
  <c r="BK92" i="5"/>
  <c r="BU92" i="5"/>
  <c r="CB92" i="5"/>
  <c r="BV92" i="5"/>
  <c r="CA99" i="5"/>
  <c r="BT99" i="5"/>
  <c r="BK96" i="5"/>
  <c r="CB96" i="5"/>
  <c r="BU96" i="5"/>
  <c r="BS96" i="5"/>
  <c r="BZ96" i="5"/>
  <c r="BU97" i="5"/>
  <c r="CB97" i="5"/>
  <c r="CC99" i="5"/>
  <c r="BV99" i="5"/>
  <c r="BZ99" i="5"/>
  <c r="BS99" i="5"/>
  <c r="BV97" i="5"/>
  <c r="CC97" i="5"/>
  <c r="CA96" i="5"/>
  <c r="BT96" i="5"/>
  <c r="BM96" i="5"/>
  <c r="BJ99" i="5"/>
  <c r="BL99" i="5"/>
  <c r="BJ96" i="5"/>
  <c r="W100" i="5"/>
  <c r="BK97" i="5"/>
  <c r="BM99" i="5"/>
  <c r="BL97" i="5"/>
  <c r="AC100" i="5"/>
  <c r="R26" i="6"/>
  <c r="C26" i="6"/>
  <c r="D26" i="6"/>
  <c r="F26" i="6"/>
  <c r="G26" i="6"/>
  <c r="H26" i="6"/>
  <c r="I26" i="6"/>
  <c r="J26" i="6"/>
  <c r="K26" i="6"/>
  <c r="L26" i="6"/>
  <c r="M26" i="6"/>
  <c r="N26" i="6"/>
  <c r="O26" i="6"/>
  <c r="P26" i="6"/>
  <c r="Q26" i="6"/>
  <c r="B26" i="6"/>
  <c r="BG15" i="5"/>
  <c r="BG17" i="5"/>
  <c r="H100" i="5" l="1"/>
  <c r="BG13" i="5"/>
  <c r="BJ92" i="5"/>
  <c r="BG11" i="5"/>
  <c r="BN97" i="5"/>
  <c r="BG16" i="5"/>
  <c r="BN99" i="5"/>
  <c r="BG12" i="5"/>
  <c r="BG14" i="5"/>
  <c r="BG10" i="5"/>
  <c r="BS92" i="5" l="1"/>
  <c r="BZ92" i="5"/>
  <c r="CA92" i="5"/>
  <c r="BT92" i="5"/>
  <c r="BN92" i="5"/>
  <c r="M100" i="5" l="1"/>
  <c r="BZ98" i="5" l="1"/>
  <c r="BS98" i="5"/>
  <c r="BL98" i="5"/>
  <c r="CC98" i="5"/>
  <c r="BV98" i="5"/>
  <c r="BT98" i="5"/>
  <c r="CA98" i="5"/>
  <c r="BJ98" i="5"/>
  <c r="AG100" i="5"/>
  <c r="AH100" i="5"/>
  <c r="AM100" i="5"/>
  <c r="AP100" i="5"/>
  <c r="AR100" i="5"/>
  <c r="AQ120" i="5" l="1"/>
  <c r="AS120" i="5" s="1"/>
  <c r="AQ118" i="5"/>
  <c r="AS118" i="5" s="1"/>
  <c r="AQ115" i="5"/>
  <c r="AS115" i="5" s="1"/>
  <c r="AQ110" i="5"/>
  <c r="AS110" i="5" s="1"/>
  <c r="AQ109" i="5"/>
  <c r="AS109" i="5" s="1"/>
  <c r="BL96" i="5"/>
  <c r="BN96" i="5" s="1"/>
  <c r="CC96" i="5"/>
  <c r="BV96" i="5"/>
  <c r="BN98" i="5"/>
  <c r="BG7" i="5"/>
  <c r="BG9" i="5"/>
  <c r="BG6" i="5"/>
  <c r="BG8" i="5"/>
  <c r="BG3" i="5"/>
  <c r="BG4" i="5"/>
  <c r="BG5" i="5"/>
  <c r="AE100" i="5"/>
  <c r="T100" i="5"/>
  <c r="AO100" i="5"/>
  <c r="Z100" i="5"/>
  <c r="Y100" i="5"/>
  <c r="AJ100" i="5"/>
  <c r="AB100" i="5"/>
  <c r="AF100" i="5"/>
  <c r="AQ117" i="5" l="1"/>
  <c r="AS117" i="5" s="1"/>
  <c r="AQ108" i="5"/>
  <c r="AS108" i="5" s="1"/>
  <c r="AQ112" i="5"/>
  <c r="AS112" i="5" s="1"/>
  <c r="AQ107" i="5"/>
  <c r="AS107" i="5" s="1"/>
  <c r="CC94" i="5"/>
  <c r="BV94" i="5"/>
  <c r="O100" i="5"/>
  <c r="CA94" i="5"/>
  <c r="BT94" i="5"/>
  <c r="BN93" i="5"/>
  <c r="BZ93" i="5"/>
  <c r="BS93" i="5"/>
  <c r="BZ94" i="5"/>
  <c r="BS94" i="5"/>
  <c r="G100" i="5"/>
  <c r="BS91" i="5"/>
  <c r="BZ91" i="5"/>
  <c r="BT91" i="5"/>
  <c r="CA91" i="5"/>
  <c r="CC91" i="5"/>
  <c r="BV91" i="5"/>
  <c r="CB91" i="5"/>
  <c r="BU91" i="5"/>
  <c r="BJ94" i="5"/>
  <c r="BL94" i="5"/>
  <c r="AD100" i="5"/>
  <c r="BM94" i="5"/>
  <c r="BM100" i="5" s="1"/>
  <c r="BJ91" i="5"/>
  <c r="BL91" i="5"/>
  <c r="BL100" i="5" s="1"/>
  <c r="U100" i="5"/>
  <c r="BK91" i="5"/>
  <c r="BK100" i="5" s="1"/>
  <c r="AA100" i="5"/>
  <c r="P100" i="5"/>
  <c r="X100" i="5"/>
  <c r="AQ106" i="5" l="1"/>
  <c r="AS106" i="5" s="1"/>
  <c r="BN94" i="5"/>
  <c r="BN91" i="5"/>
  <c r="L15" i="21" l="1"/>
  <c r="N3" i="21" l="1"/>
  <c r="BH100" i="5"/>
  <c r="F100" i="5"/>
  <c r="BS95" i="5"/>
  <c r="BZ95" i="5"/>
  <c r="BG6" i="23"/>
  <c r="N41" i="5" l="1"/>
  <c r="N95" i="5" l="1"/>
  <c r="BG41" i="5"/>
  <c r="CA95" i="5" l="1"/>
  <c r="BT95" i="5"/>
  <c r="N100" i="5"/>
  <c r="BJ95" i="5"/>
  <c r="BN95" i="5" l="1"/>
  <c r="BN100" i="5" s="1"/>
  <c r="BI101" i="5" s="1"/>
  <c r="BJ100" i="5"/>
  <c r="BJ101" i="5" l="1"/>
  <c r="BN101" i="5"/>
  <c r="BM101" i="5"/>
  <c r="BK101" i="5"/>
  <c r="BH101" i="5"/>
  <c r="BL101" i="5"/>
  <c r="BO98" i="5"/>
  <c r="BO97" i="5"/>
  <c r="BO91" i="5"/>
  <c r="BO96" i="5"/>
  <c r="BO93" i="5"/>
  <c r="BO92" i="5"/>
  <c r="BO99" i="5"/>
  <c r="BO94" i="5"/>
  <c r="BO95" i="5"/>
  <c r="BO100" i="5"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tc={FB552322-C8BC-493B-A868-2760EED44E1A}</author>
    <author>tc={63E1713B-DF43-4A6A-856E-96A2DF1F782A}</author>
    <author>tc={FE45C4F6-2986-4ED4-8A3E-1499327817E1}</author>
    <author>tc={A228F2A5-D34D-48DD-8928-F2F6C20761BA}</author>
  </authors>
  <commentList>
    <comment ref="M3" authorId="0" shapeId="0" xr:uid="{FB552322-C8BC-493B-A868-2760EED44E1A}">
      <text>
        <t>[Threaded comment]
Your version of Excel allows you to read this threaded comment; however, any edits to it will get removed if the file is opened in a newer version of Excel. Learn more: https://go.microsoft.com/fwlink/?linkid=870924
Comment:
    Bitumen</t>
      </text>
    </comment>
    <comment ref="Q3" authorId="1" shapeId="0" xr:uid="{63E1713B-DF43-4A6A-856E-96A2DF1F782A}">
      <text>
        <t>[Threaded comment]
Your version of Excel allows you to read this threaded comment; however, any edits to it will get removed if the file is opened in a newer version of Excel. Learn more: https://go.microsoft.com/fwlink/?linkid=870924
Comment:
    Classified under “Other metals (non critical)”</t>
      </text>
    </comment>
    <comment ref="R3" authorId="2" shapeId="0" xr:uid="{FE45C4F6-2986-4ED4-8A3E-1499327817E1}">
      <text>
        <t>[Threaded comment]
Your version of Excel allows you to read this threaded comment; however, any edits to it will get removed if the file is opened in a newer version of Excel. Learn more: https://go.microsoft.com/fwlink/?linkid=870924
Comment:
    Classified under “Other metals (non critical)</t>
      </text>
    </comment>
    <comment ref="J11" authorId="3" shapeId="0" xr:uid="{A228F2A5-D34D-48DD-8928-F2F6C20761BA}">
      <text>
        <t>[Threaded comment]
Your version of Excel allows you to read this threaded comment; however, any edits to it will get removed if the file is opened in a newer version of Excel. Learn more: https://go.microsoft.com/fwlink/?linkid=870924
Comment:
    Includes bitumen, gypsum, chalk stone, stone and sand, see columns Q to U. Has been redistributed over other categories in rows 3-9, with the exception of bitumen.</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tc={0D4CE306-19AA-41BF-B45C-8C6AF8195580}</author>
    <author>tc={26B61AAF-DB45-42FA-BD7E-BCC41C3F557B}</author>
    <author>tc={08685155-7697-491D-AE6C-8AD5FDFC0B81}</author>
  </authors>
  <commentList>
    <comment ref="I3" authorId="0" shapeId="0" xr:uid="{0D4CE306-19AA-41BF-B45C-8C6AF8195580}">
      <text>
        <t>[Threaded comment]
Your version of Excel allows you to read this threaded comment; however, any edits to it will get removed if the file is opened in a newer version of Excel. Learn more: https://go.microsoft.com/fwlink/?linkid=870924
Comment:
    Gravel, fill sand, clay, soil, industrial sand</t>
      </text>
    </comment>
    <comment ref="M3" authorId="1" shapeId="0" xr:uid="{26B61AAF-DB45-42FA-BD7E-BCC41C3F557B}">
      <text>
        <t>[Threaded comment]
Your version of Excel allows you to read this threaded comment; however, any edits to it will get removed if the file is opened in a newer version of Excel. Learn more: https://go.microsoft.com/fwlink/?linkid=870924
Comment:
    excipient</t>
      </text>
    </comment>
    <comment ref="T3" authorId="2" shapeId="0" xr:uid="{08685155-7697-491D-AE6C-8AD5FDFC0B81}">
      <text>
        <t>[Threaded comment]
Your version of Excel allows you to read this threaded comment; however, any edits to it will get removed if the file is opened in a newer version of Excel. Learn more: https://go.microsoft.com/fwlink/?linkid=870924
Comment:
    Overige metalen</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tc={AFC21A69-F8D3-4789-B717-B0C34F73EFEE}</author>
    <author>tc={4AE5CA6C-2488-4BD4-995C-7BF33E4DA378}</author>
  </authors>
  <commentList>
    <comment ref="I3" authorId="0" shapeId="0" xr:uid="{AFC21A69-F8D3-4789-B717-B0C34F73EFEE}">
      <text>
        <t>[Threaded comment]
Your version of Excel allows you to read this threaded comment; however, any edits to it will get removed if the file is opened in a newer version of Excel. Learn more: https://go.microsoft.com/fwlink/?linkid=870924
Comment:
    Aggregates, sand</t>
      </text>
    </comment>
    <comment ref="T3" authorId="1" shapeId="0" xr:uid="{4AE5CA6C-2488-4BD4-995C-7BF33E4DA378}">
      <text>
        <t>[Threaded comment]
Your version of Excel allows you to read this threaded comment; however, any edits to it will get removed if the file is opened in a newer version of Excel. Learn more: https://go.microsoft.com/fwlink/?linkid=870924
Comment:
    brons</t>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tc={B76BCA64-3E46-4489-BB86-D08ECC024AA8}</author>
    <author>tc={E2EA324C-6740-4597-A2E6-437747B0D7C8}</author>
    <author>tc={09AD9C59-8331-4D94-8362-068FDFEF01E1}</author>
    <author>tc={5E8F15D7-6600-4FBD-A86D-C72E03C66C7F}</author>
    <author>tc={5B2D54FD-1325-462F-94F8-DF8D90B6242E}</author>
    <author>tc={637418C6-CBCB-4A21-BBE9-C66B97ECF897}</author>
    <author>tc={1AFC6957-D780-4174-9673-6CC35D442D69}</author>
  </authors>
  <commentList>
    <comment ref="Z3" authorId="0" shapeId="0" xr:uid="{B76BCA64-3E46-4489-BB86-D08ECC024AA8}">
      <text>
        <t>[Threaded comment]
Your version of Excel allows you to read this threaded comment; however, any edits to it will get removed if the file is opened in a newer version of Excel. Learn more: https://go.microsoft.com/fwlink/?linkid=870924
Comment:
    Rubber, tapes, met bitumen geimpregneerd jute en met olie geimpregneerd papier</t>
      </text>
    </comment>
    <comment ref="S6" authorId="1" shapeId="0" xr:uid="{E2EA324C-6740-4597-A2E6-437747B0D7C8}">
      <text>
        <t>[Threaded comment]
Your version of Excel allows you to read this threaded comment; however, any edits to it will get removed if the file is opened in a newer version of Excel. Learn more: https://go.microsoft.com/fwlink/?linkid=870924
Comment:
    Mn, Cr, Mo, Ni</t>
      </text>
    </comment>
    <comment ref="S7" authorId="2" shapeId="0" xr:uid="{09AD9C59-8331-4D94-8362-068FDFEF01E1}">
      <text>
        <t>[Threaded comment]
Your version of Excel allows you to read this threaded comment; however, any edits to it will get removed if the file is opened in a newer version of Excel. Learn more: https://go.microsoft.com/fwlink/?linkid=870924
Comment:
    Cd, Sn, Te</t>
      </text>
    </comment>
    <comment ref="S8" authorId="3" shapeId="0" xr:uid="{5E8F15D7-6600-4FBD-A86D-C72E03C66C7F}">
      <text>
        <t>[Threaded comment]
Your version of Excel allows you to read this threaded comment; however, any edits to it will get removed if the file is opened in a newer version of Excel. Learn more: https://go.microsoft.com/fwlink/?linkid=870924
Comment:
    Ni, Cr</t>
      </text>
    </comment>
    <comment ref="S9" authorId="4" shapeId="0" xr:uid="{5B2D54FD-1325-462F-94F8-DF8D90B6242E}">
      <text>
        <t>[Threaded comment]
Your version of Excel allows you to read this threaded comment; however, any edits to it will get removed if the file is opened in a newer version of Excel. Learn more: https://go.microsoft.com/fwlink/?linkid=870924
Comment:
    Ni, Mn, Cr, Mo</t>
      </text>
    </comment>
    <comment ref="S10" authorId="5" shapeId="0" xr:uid="{637418C6-CBCB-4A21-BBE9-C66B97ECF897}">
      <text>
        <t>[Threaded comment]
Your version of Excel allows you to read this threaded comment; however, any edits to it will get removed if the file is opened in a newer version of Excel. Learn more: https://go.microsoft.com/fwlink/?linkid=870924
Comment:
    Ni, Cr, Cd, Mo, Sn</t>
      </text>
    </comment>
    <comment ref="S11" authorId="6" shapeId="0" xr:uid="{1AFC6957-D780-4174-9673-6CC35D442D69}">
      <text>
        <t>[Threaded comment]
Your version of Excel allows you to read this threaded comment; however, any edits to it will get removed if the file is opened in a newer version of Excel. Learn more: https://go.microsoft.com/fwlink/?linkid=870924
Comment:
    Ni, Mn, Cr, Mo</t>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tc={5ECC46F4-2B9B-4DF2-A1BB-2FFB67D2A20E}</author>
    <author>tc={DB78AF8B-133D-45F1-A415-095C45B25FE0}</author>
  </authors>
  <commentList>
    <comment ref="S3" authorId="0" shapeId="0" xr:uid="{5ECC46F4-2B9B-4DF2-A1BB-2FFB67D2A20E}">
      <text>
        <t>[Threaded comment]
Your version of Excel allows you to read this threaded comment; however, any edits to it will get removed if the file is opened in a newer version of Excel. Learn more: https://go.microsoft.com/fwlink/?linkid=870924
Comment:
    Cr, Mo, Ni, Sn</t>
      </text>
    </comment>
    <comment ref="T3" authorId="1" shapeId="0" xr:uid="{DB78AF8B-133D-45F1-A415-095C45B25FE0}">
      <text>
        <t>[Threaded comment]
Your version of Excel allows you to read this threaded comment; however, any edits to it will get removed if the file is opened in a newer version of Excel. Learn more: https://go.microsoft.com/fwlink/?linkid=870924
Comment:
    bronze, brass, “metal”</t>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tc={AADF5569-33C7-4AD3-B198-D645A9B19A1D}</author>
  </authors>
  <commentList>
    <comment ref="S3" authorId="0" shapeId="0" xr:uid="{AADF5569-33C7-4AD3-B198-D645A9B19A1D}">
      <text>
        <t>[Threaded comment]
Your version of Excel allows you to read this threaded comment; however, any edits to it will get removed if the file is opened in a newer version of Excel. Learn more: https://go.microsoft.com/fwlink/?linkid=870924
Comment:
    Mn, Mo, Cr, Sn, Ni, Cd</t>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tc={20241676-83A6-4D1F-9EC5-9E121CEEA2B0}</author>
    <author>tc={BDF11EDA-BF55-4733-9F31-BA5D33F756F0}</author>
    <author>tc={EE41229A-536B-4200-B7B8-F8DFC8E670DA}</author>
    <author>tc={E9FD0FD0-73CE-48B6-A2AA-D8F0365F6EB3}</author>
  </authors>
  <commentList>
    <comment ref="T3" authorId="0" shapeId="0" xr:uid="{20241676-83A6-4D1F-9EC5-9E121CEEA2B0}">
      <text>
        <t>[Threaded comment]
Your version of Excel allows you to read this threaded comment; however, any edits to it will get removed if the file is opened in a newer version of Excel. Learn more: https://go.microsoft.com/fwlink/?linkid=870924
Comment:
    bronze, brass, metals excl. steel &amp; aluminium</t>
      </text>
    </comment>
    <comment ref="Z3" authorId="1" shapeId="0" xr:uid="{BDF11EDA-BF55-4733-9F31-BA5D33F756F0}">
      <text>
        <t>[Threaded comment]
Your version of Excel allows you to read this threaded comment; however, any edits to it will get removed if the file is opened in a newer version of Excel. Learn more: https://go.microsoft.com/fwlink/?linkid=870924
Comment:
    rubber, silicone, coatings, chemicals, cable, electronics, for control units, epoxy resin, printed wiring board, unspecified</t>
      </text>
    </comment>
    <comment ref="P24" authorId="2" shapeId="0" xr:uid="{EE41229A-536B-4200-B7B8-F8DFC8E670DA}">
      <text>
        <t>[Threaded comment]
Your version of Excel allows you to read this threaded comment; however, any edits to it will get removed if the file is opened in a newer version of Excel. Learn more: https://go.microsoft.com/fwlink/?linkid=870924
Comment:
    Statistical data on parachutes in category “other textiles” ignored - probably mistake. We report 0 instead of 1415048.27845213 in the MateriaalMonitor</t>
      </text>
    </comment>
    <comment ref="T36" authorId="3" shapeId="0" xr:uid="{E9FD0FD0-73CE-48B6-A2AA-D8F0365F6EB3}">
      <text>
        <t>[Threaded comment]
Your version of Excel allows you to read this threaded comment; however, any edits to it will get removed if the file is opened in a newer version of Excel. Learn more: https://go.microsoft.com/fwlink/?linkid=870924
Comment:
    messing, overig metaal, brons</t>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tc={20376C23-8E9C-4F4B-839D-B7CE2098A2A6}</author>
  </authors>
  <commentList>
    <comment ref="O4" authorId="0" shapeId="0" xr:uid="{20376C23-8E9C-4F4B-839D-B7CE2098A2A6}">
      <text>
        <t>[Threaded comment]
Your version of Excel allows you to read this threaded comment; however, any edits to it will get removed if the file is opened in a newer version of Excel. Learn more: https://go.microsoft.com/fwlink/?linkid=870924
Comment:
    98% in MS en LS kabels</t>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3000000}" name="materialenInProducten_voorraad_wide1" type="6" refreshedVersion="6" background="1" saveData="1">
    <textPr codePage="850" sourceFile="H:\Circulaire_Economie\ProdCom_IH_data\data-raw\Conversie_naar_Materialen\materialenInProducten_voorraad_wide.csv" decimal="," thousands="." tab="0" semicolon="1">
      <textFields count="121">
        <textField type="text"/>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<sst xmlns="http://schemas.openxmlformats.org/spreadsheetml/2006/main" count="2297" uniqueCount="687">
  <si>
    <t>Constructiematerialen</t>
  </si>
  <si>
    <t>Metalen</t>
  </si>
  <si>
    <t>Biobased materialen</t>
  </si>
  <si>
    <t>Overige materialen</t>
  </si>
  <si>
    <t>Critical Raw materials</t>
  </si>
  <si>
    <t>Product</t>
  </si>
  <si>
    <t>Bron</t>
  </si>
  <si>
    <t>Aluminium</t>
  </si>
  <si>
    <t>Isolatiemateriaal</t>
  </si>
  <si>
    <t>Nd</t>
  </si>
  <si>
    <t>Dy</t>
  </si>
  <si>
    <t>Pr</t>
  </si>
  <si>
    <t>In</t>
  </si>
  <si>
    <t>Ga</t>
  </si>
  <si>
    <t>Ge</t>
  </si>
  <si>
    <t>Ag</t>
  </si>
  <si>
    <t>Li</t>
  </si>
  <si>
    <t>Tb</t>
  </si>
  <si>
    <t>Si</t>
  </si>
  <si>
    <t>Pd</t>
  </si>
  <si>
    <t>Co</t>
  </si>
  <si>
    <t>Au</t>
  </si>
  <si>
    <t>Pt</t>
  </si>
  <si>
    <t>Ta</t>
  </si>
  <si>
    <t>Mg</t>
  </si>
  <si>
    <t>Ti</t>
  </si>
  <si>
    <t>Graphite</t>
  </si>
  <si>
    <t>Sr</t>
  </si>
  <si>
    <t>W</t>
  </si>
  <si>
    <t>Y</t>
  </si>
  <si>
    <t>La</t>
  </si>
  <si>
    <t>Nb</t>
  </si>
  <si>
    <t>V</t>
  </si>
  <si>
    <t>Ce</t>
  </si>
  <si>
    <t>Hf</t>
  </si>
  <si>
    <t>Unspecified CRM</t>
  </si>
  <si>
    <t>CRM</t>
  </si>
  <si>
    <t>Totaal</t>
  </si>
  <si>
    <t>ton</t>
  </si>
  <si>
    <t>van Oorschot et al., 2022</t>
  </si>
  <si>
    <t>EIB &amp; Metabolic, 2022</t>
  </si>
  <si>
    <t>Tunnels</t>
  </si>
  <si>
    <t>Pieters, 2021</t>
  </si>
  <si>
    <t>van der Bent, 2022</t>
  </si>
  <si>
    <t>Zitmeubelen</t>
  </si>
  <si>
    <t>Bedrijfsmeubelen</t>
  </si>
  <si>
    <t>Keukenmeubelen</t>
  </si>
  <si>
    <t>Matrassen</t>
  </si>
  <si>
    <t>Slaapkamermeubel.</t>
  </si>
  <si>
    <t>Overige meubelen</t>
  </si>
  <si>
    <t>Sieraden/munten</t>
  </si>
  <si>
    <t>Muziekinstrum.</t>
  </si>
  <si>
    <t>Sportartik.&amp;-mater.</t>
  </si>
  <si>
    <t>Spel/speelgoed</t>
  </si>
  <si>
    <t>Bril/contactlenzen</t>
  </si>
  <si>
    <t>Medische instrum/app</t>
  </si>
  <si>
    <t>Weefsels</t>
  </si>
  <si>
    <t>Beddengoed</t>
  </si>
  <si>
    <t>Woningtextiel</t>
  </si>
  <si>
    <t>Tapijten</t>
  </si>
  <si>
    <t>Werkkleding</t>
  </si>
  <si>
    <t>Overige kleding</t>
  </si>
  <si>
    <t>Turbine/motor</t>
  </si>
  <si>
    <t>Pomp/compressor</t>
  </si>
  <si>
    <t>KraanKlepAfsluiter</t>
  </si>
  <si>
    <t>Ov.mach.v.alg.gebr.</t>
  </si>
  <si>
    <t>Takel/lier/Lift e.d.</t>
  </si>
  <si>
    <t>Kantoormachines</t>
  </si>
  <si>
    <t>Mech.handgereedsch.</t>
  </si>
  <si>
    <t>Machine koel/klimaat</t>
  </si>
  <si>
    <t>Filtertoestel</t>
  </si>
  <si>
    <t>Mach.rein./verp.fles</t>
  </si>
  <si>
    <t>Mach.v.landbouw</t>
  </si>
  <si>
    <t>Gereedschapswerktuig</t>
  </si>
  <si>
    <t>Mineralen</t>
  </si>
  <si>
    <t>Biogrondstoffen</t>
  </si>
  <si>
    <t>Fossiele grondstoffen</t>
  </si>
  <si>
    <t>SUM</t>
  </si>
  <si>
    <t xml:space="preserve">Critical Raw Materials </t>
  </si>
  <si>
    <t>Total</t>
  </si>
  <si>
    <t xml:space="preserve">EIB &amp; Metabolic (2022). Materiaalstromen in de bouw &amp; infra. https://www.eib.nl/publicaties/materiaalstromen-in-de-bouw-en-infra/ </t>
  </si>
  <si>
    <t>Copper</t>
  </si>
  <si>
    <t>Concrete</t>
  </si>
  <si>
    <t>Glass</t>
  </si>
  <si>
    <t>Plastics</t>
  </si>
  <si>
    <t>Other</t>
  </si>
  <si>
    <t>Bitumen</t>
  </si>
  <si>
    <t>&lt;1945</t>
  </si>
  <si>
    <t>1945-1970</t>
  </si>
  <si>
    <t>1970-2000</t>
  </si>
  <si>
    <t>&gt;2000</t>
  </si>
  <si>
    <t>kton</t>
  </si>
  <si>
    <t>Base year 2018</t>
  </si>
  <si>
    <t>ALL MODES</t>
  </si>
  <si>
    <t>TRAIN</t>
  </si>
  <si>
    <t>METRO</t>
  </si>
  <si>
    <t>LIGHTRAIL</t>
  </si>
  <si>
    <t>TRAM</t>
  </si>
  <si>
    <t>Average lifetime</t>
  </si>
  <si>
    <t>year</t>
  </si>
  <si>
    <t>Substance</t>
  </si>
  <si>
    <t>Unit</t>
  </si>
  <si>
    <t>TOTAL</t>
  </si>
  <si>
    <t>Tracks</t>
  </si>
  <si>
    <t>Tunnels &amp; bridges</t>
  </si>
  <si>
    <t>Power supply (traction wire only)</t>
  </si>
  <si>
    <t>Infrastructure cables</t>
  </si>
  <si>
    <t>Switches</t>
  </si>
  <si>
    <t>Switch heating</t>
  </si>
  <si>
    <t>Platforms</t>
  </si>
  <si>
    <t>Platform roofs</t>
  </si>
  <si>
    <t>Elevators &amp; Stairs</t>
  </si>
  <si>
    <t>Fencing &amp; noise barriers</t>
  </si>
  <si>
    <t>Signals</t>
  </si>
  <si>
    <t>Level Crossings</t>
  </si>
  <si>
    <t>Buffer stops</t>
  </si>
  <si>
    <t>Tracks &amp; power supply</t>
  </si>
  <si>
    <t>Notes</t>
  </si>
  <si>
    <t>Steel</t>
  </si>
  <si>
    <t>Interesting: more steel is in tunnels and bridges (long-lived constructions) than in rail bars (short-lived)</t>
  </si>
  <si>
    <t>Aggregates</t>
  </si>
  <si>
    <t>EPDM (rubber)</t>
  </si>
  <si>
    <t>HDPE</t>
  </si>
  <si>
    <t>PP</t>
  </si>
  <si>
    <t>GFRP (fiberglass)</t>
  </si>
  <si>
    <t>Timber</t>
  </si>
  <si>
    <t>Bronze</t>
  </si>
  <si>
    <t>Zinc</t>
  </si>
  <si>
    <t>Porcelain</t>
  </si>
  <si>
    <t>Epoxy</t>
  </si>
  <si>
    <t>PVC</t>
  </si>
  <si>
    <t>Stone Wool</t>
  </si>
  <si>
    <t>Sand (ex. Concrete)</t>
  </si>
  <si>
    <t>Incomplete data that is left out of the rest of the scope</t>
  </si>
  <si>
    <t>Alkyd</t>
  </si>
  <si>
    <t>Powder Coating</t>
  </si>
  <si>
    <t>Asphalt</t>
  </si>
  <si>
    <t>Left out of the scope as it is used between tram tracks for road vehicles and not for rail vehicles</t>
  </si>
  <si>
    <t>Total weight per object</t>
  </si>
  <si>
    <t>Weight share per object</t>
  </si>
  <si>
    <t>Annual stock</t>
  </si>
  <si>
    <t>Stock totals per transport mode</t>
  </si>
  <si>
    <t>Mode</t>
  </si>
  <si>
    <t>With aggregated material categories</t>
  </si>
  <si>
    <t>Percentage</t>
  </si>
  <si>
    <t>Hibernating stocks in 2018</t>
  </si>
  <si>
    <t xml:space="preserve">Hibernating stock totals </t>
  </si>
  <si>
    <t>per transport mode</t>
  </si>
  <si>
    <t>Network lengths in 2018</t>
  </si>
  <si>
    <t>Totals</t>
  </si>
  <si>
    <t>Single track</t>
  </si>
  <si>
    <t>2 tracks</t>
  </si>
  <si>
    <t>&gt;2 tracks (appr. 4)</t>
  </si>
  <si>
    <t>Percentages</t>
  </si>
  <si>
    <t>Total train/metro/light rail/tram</t>
  </si>
  <si>
    <t>km</t>
  </si>
  <si>
    <t>Train network length in 2018</t>
  </si>
  <si>
    <t>of which in use</t>
  </si>
  <si>
    <t>of which in use for passengers/freight</t>
  </si>
  <si>
    <t>of which in use for freight only</t>
  </si>
  <si>
    <t>of which in use for museum purposes</t>
  </si>
  <si>
    <t>of which unused (hibernating)</t>
  </si>
  <si>
    <t>Metro network length in 2018</t>
  </si>
  <si>
    <t>Lightrail network length in 2018</t>
  </si>
  <si>
    <t>high number due to conversion of Hoekse Lijn from train to light rail</t>
  </si>
  <si>
    <t>Tram network length in 2018</t>
  </si>
  <si>
    <t>In use for passengers &amp; freight</t>
  </si>
  <si>
    <t>Resembles 2017 data from the ProRail year report (stating 7146 km total rail tracks)</t>
  </si>
  <si>
    <t>https://www.prorail.nl/over-prorail/jaarverslagen</t>
  </si>
  <si>
    <t xml:space="preserve"> </t>
  </si>
  <si>
    <t>Share</t>
  </si>
  <si>
    <t>Weight of total stock</t>
  </si>
  <si>
    <t>Weight of total hibernating stock</t>
  </si>
  <si>
    <t>Weight of total in-use stock</t>
  </si>
  <si>
    <t>Total stock weight used for passengers</t>
  </si>
  <si>
    <t>Passenger kilometers per train in 2017</t>
  </si>
  <si>
    <t>billion</t>
  </si>
  <si>
    <t>https://www.rijksoverheid.nl/binaries/rijksoverheid/documenten/rapporten/2018/10/29/bijlage-1-kim-kerncijfers-mobiliteit-2018/bijlage-1-kim-kerncijfers-mobiliteit-2018.pdf</t>
  </si>
  <si>
    <t>Material intensity per passenger (not annual, just total stock, to be continued)</t>
  </si>
  <si>
    <t>kg/km</t>
  </si>
  <si>
    <t>Stock weight per capita in 2018</t>
  </si>
  <si>
    <t>ton/cap</t>
  </si>
  <si>
    <t>Dutch population end of 2018</t>
  </si>
  <si>
    <t>https://opendata.cbs.nl/statline/?dl=2C8D4#/CBS/nl/dataset/83474NED/table</t>
  </si>
  <si>
    <t>Notes/References</t>
  </si>
  <si>
    <t>Annual Report Data Train</t>
  </si>
  <si>
    <t>2016*</t>
  </si>
  <si>
    <t>*vanaf 2016 worden km incl HSL Zuid gerapporteerd</t>
  </si>
  <si>
    <t>Total length train tracks</t>
  </si>
  <si>
    <t>https://www.jaarverslagprorail.nl/verslag/kerncijfers</t>
  </si>
  <si>
    <t>of which replaced in financial year</t>
  </si>
  <si>
    <t>n</t>
  </si>
  <si>
    <t>of which secured</t>
  </si>
  <si>
    <t>Stations</t>
  </si>
  <si>
    <t>Movable Bridges</t>
  </si>
  <si>
    <t>https://www.jaarverslagprorail.nl/verslag/meerjarenoverzicht</t>
  </si>
  <si>
    <t>Ton kilometers</t>
  </si>
  <si>
    <t>billion tons</t>
  </si>
  <si>
    <t>of which travelers</t>
  </si>
  <si>
    <t>of which goods</t>
  </si>
  <si>
    <t>Train kilometers</t>
  </si>
  <si>
    <t>million km</t>
  </si>
  <si>
    <t>of which passenger trains</t>
  </si>
  <si>
    <t>of which freight trains</t>
  </si>
  <si>
    <t>of which other (contractors/tests)</t>
  </si>
  <si>
    <t>Travel kilometers by train</t>
  </si>
  <si>
    <t>billion km</t>
  </si>
  <si>
    <t>2000-2010</t>
  </si>
  <si>
    <t>https://www.clo.nl/indicatoren/nl2145-vervoerprestaties-openbaar-vervoer</t>
  </si>
  <si>
    <t>Travelers per driven train kilometer</t>
  </si>
  <si>
    <t>n/km</t>
  </si>
  <si>
    <t>Number of trains per kilometer track</t>
  </si>
  <si>
    <t>n/km/y</t>
  </si>
  <si>
    <t>Utilization rate</t>
  </si>
  <si>
    <t>million pkm/km</t>
  </si>
  <si>
    <t>Train seat occupancy</t>
  </si>
  <si>
    <t>%</t>
  </si>
  <si>
    <t>https://zoek.officielebekendmakingen.nl/blg-591006.pdf</t>
  </si>
  <si>
    <t>Train seat occupancy peak hours</t>
  </si>
  <si>
    <t>https://www.ns.nl/binaries/_ht_1558605332517/content/assets/ns-nl/over-ns/2018/jaarrapportage-hrn-concessie-2018.pdf</t>
  </si>
  <si>
    <t>Annual report data RET</t>
  </si>
  <si>
    <t>https://corporate.ret.nl/financi%C3%ABn/jaarverslagen</t>
  </si>
  <si>
    <t>Total length metro tracks</t>
  </si>
  <si>
    <t>https://nl.wikipedia.org/wiki/Rotterdamse_metro</t>
  </si>
  <si>
    <t>https://corporate.ret.nl/over-ret/infra</t>
  </si>
  <si>
    <t>Total length tram tracks</t>
  </si>
  <si>
    <t>Travel kilometers metro</t>
  </si>
  <si>
    <t>https://mrdh.nl/file-download/download/public/359</t>
  </si>
  <si>
    <t>Travel kilometers tram</t>
  </si>
  <si>
    <t>Travelers metro per day</t>
  </si>
  <si>
    <t>n x 1000</t>
  </si>
  <si>
    <t>https://www.treinreiziger.nl/cijfers-metro-rotterdam-beurs-is-drukste-metrostation-van-nederland/</t>
  </si>
  <si>
    <t>Annual report data GVB</t>
  </si>
  <si>
    <t>https://over.gvb.nl/organisatie/jaarverslagen/archief-jaarverslagen/</t>
  </si>
  <si>
    <t>https://nl.wikipedia.org/wiki/Amsterdamse_metro</t>
  </si>
  <si>
    <t>https://nl.wikipedia.org/wiki/Amsterdamse_tram</t>
  </si>
  <si>
    <t>Travel kms metro + tram</t>
  </si>
  <si>
    <t>https://www.vervoerregio.nl/ov-dashboard</t>
  </si>
  <si>
    <t>Travelers metro+tram per year</t>
  </si>
  <si>
    <t>n x million</t>
  </si>
  <si>
    <t>Average distance traveled per journey</t>
  </si>
  <si>
    <t>Annual report data HTM</t>
  </si>
  <si>
    <t>https://www.htm.nl/ov-dashboard</t>
  </si>
  <si>
    <t>Length of tram network</t>
  </si>
  <si>
    <t>Annual Reports HTM</t>
  </si>
  <si>
    <t>Length of light rail network</t>
  </si>
  <si>
    <t>Average daily tram/light rail travelers</t>
  </si>
  <si>
    <t>Travelers per year</t>
  </si>
  <si>
    <t>Utrecht Lightrail ('sneltram) length</t>
  </si>
  <si>
    <t>https://nl.wikipedia.org/wiki/Utrechtse_sneltram</t>
  </si>
  <si>
    <t>https://www.provincie-utrecht.nl/media/4797</t>
  </si>
  <si>
    <t>Bulk metalen</t>
  </si>
  <si>
    <t>Al</t>
  </si>
  <si>
    <t>As</t>
  </si>
  <si>
    <t>Bi</t>
  </si>
  <si>
    <t>Cd</t>
  </si>
  <si>
    <t>Cr</t>
  </si>
  <si>
    <t>Cu</t>
  </si>
  <si>
    <t>Fe</t>
  </si>
  <si>
    <t>Mn</t>
  </si>
  <si>
    <t>Mo</t>
  </si>
  <si>
    <t>Ni</t>
  </si>
  <si>
    <t>Pb</t>
  </si>
  <si>
    <t>Sn</t>
  </si>
  <si>
    <t>Zn</t>
  </si>
  <si>
    <t>Zr</t>
  </si>
  <si>
    <t>MM_code</t>
  </si>
  <si>
    <t>Ba</t>
  </si>
  <si>
    <t>B</t>
  </si>
  <si>
    <t>Be</t>
  </si>
  <si>
    <t>Bo</t>
  </si>
  <si>
    <t>C</t>
  </si>
  <si>
    <t>Eu</t>
  </si>
  <si>
    <t>Gd</t>
  </si>
  <si>
    <t>Ir</t>
  </si>
  <si>
    <t>Os</t>
  </si>
  <si>
    <t>P</t>
  </si>
  <si>
    <t>Re</t>
  </si>
  <si>
    <t>Rh</t>
  </si>
  <si>
    <t>Ru</t>
  </si>
  <si>
    <t>Sb</t>
  </si>
  <si>
    <t>Sc</t>
  </si>
  <si>
    <t>Se</t>
  </si>
  <si>
    <t>Sm</t>
  </si>
  <si>
    <t>Te</t>
  </si>
  <si>
    <t>U</t>
  </si>
  <si>
    <t>Yb</t>
  </si>
  <si>
    <t>metals, precious, unspecified</t>
  </si>
  <si>
    <t>Rare Earth Elements</t>
  </si>
  <si>
    <t>aluminium, alloy</t>
  </si>
  <si>
    <t>Steel, low alloy</t>
  </si>
  <si>
    <t>steel, reinforcing</t>
  </si>
  <si>
    <t>steel, unalloyed</t>
  </si>
  <si>
    <t>Chromium steel</t>
  </si>
  <si>
    <t>Metals excl. Steel &amp; Aluminium</t>
  </si>
  <si>
    <t>graphite</t>
  </si>
  <si>
    <t>LiPF6</t>
  </si>
  <si>
    <t>LiMn2O4</t>
  </si>
  <si>
    <t>lithium compounds</t>
  </si>
  <si>
    <t>PE</t>
  </si>
  <si>
    <t>PC</t>
  </si>
  <si>
    <t>PS</t>
  </si>
  <si>
    <t>PU/PUR</t>
  </si>
  <si>
    <t>plastic, other polymers</t>
  </si>
  <si>
    <t>GFRP or CFRP</t>
  </si>
  <si>
    <t>Rubber</t>
  </si>
  <si>
    <t>asbest cement</t>
  </si>
  <si>
    <t>building minerals, unspecified</t>
  </si>
  <si>
    <t>Clay, Bentonite</t>
  </si>
  <si>
    <t>Clay, Kaoline</t>
  </si>
  <si>
    <t>cement</t>
  </si>
  <si>
    <t>concrete</t>
  </si>
  <si>
    <t>Diatomite</t>
  </si>
  <si>
    <t>glass</t>
  </si>
  <si>
    <t>Graphite, natural</t>
  </si>
  <si>
    <t>Gypsum</t>
  </si>
  <si>
    <t>Feldspar</t>
  </si>
  <si>
    <t>Fluorspar</t>
  </si>
  <si>
    <t>Limestone</t>
  </si>
  <si>
    <t>Perlite</t>
  </si>
  <si>
    <t>sand, Silicasand</t>
  </si>
  <si>
    <t>stone, granulate</t>
  </si>
  <si>
    <t>textiles and leather</t>
  </si>
  <si>
    <t>biomass, unspecified</t>
  </si>
  <si>
    <t>food</t>
  </si>
  <si>
    <t>wood</t>
  </si>
  <si>
    <t>MDF</t>
  </si>
  <si>
    <t>paper and cardboard</t>
  </si>
  <si>
    <t>chemicals</t>
  </si>
  <si>
    <t>coatings</t>
  </si>
  <si>
    <t>Coking/ coal</t>
  </si>
  <si>
    <t>cable</t>
  </si>
  <si>
    <t>electronics, for control units</t>
  </si>
  <si>
    <t>epoxy resin</t>
  </si>
  <si>
    <t>printed wiring board</t>
  </si>
  <si>
    <t>silicone</t>
  </si>
  <si>
    <t>unspecified</t>
  </si>
  <si>
    <t>1320000</t>
  </si>
  <si>
    <t>2019</t>
  </si>
  <si>
    <t>EAP</t>
  </si>
  <si>
    <t>1392110</t>
  </si>
  <si>
    <t>1392500</t>
  </si>
  <si>
    <t>1393000</t>
  </si>
  <si>
    <t>1395100</t>
  </si>
  <si>
    <t>Textielvlies</t>
  </si>
  <si>
    <t>Geen bron beschikbaar</t>
  </si>
  <si>
    <t>1399000</t>
  </si>
  <si>
    <t>Ov.textielwaren</t>
  </si>
  <si>
    <t>PANORAMA</t>
  </si>
  <si>
    <t>1412000</t>
  </si>
  <si>
    <t>1413939</t>
  </si>
  <si>
    <t>Bovenkleding/Trui</t>
  </si>
  <si>
    <t>1414931</t>
  </si>
  <si>
    <t>Onderkleding/Sok</t>
  </si>
  <si>
    <t>1419000</t>
  </si>
  <si>
    <t>2752000</t>
  </si>
  <si>
    <t>Hh.VerwKook(nt-elek)</t>
  </si>
  <si>
    <t>2020</t>
  </si>
  <si>
    <t>2811000</t>
  </si>
  <si>
    <t>ECOINVENT</t>
  </si>
  <si>
    <t>2812000</t>
  </si>
  <si>
    <t>2814000</t>
  </si>
  <si>
    <t>2820900</t>
  </si>
  <si>
    <t>2822100</t>
  </si>
  <si>
    <t>2823000</t>
  </si>
  <si>
    <t>2824000</t>
  </si>
  <si>
    <t>2825000</t>
  </si>
  <si>
    <t>2829129</t>
  </si>
  <si>
    <t>2829210</t>
  </si>
  <si>
    <t>2830000</t>
  </si>
  <si>
    <t>2840000</t>
  </si>
  <si>
    <t>3100100</t>
  </si>
  <si>
    <t>UrbanMine</t>
  </si>
  <si>
    <t>3101000</t>
  </si>
  <si>
    <t>3102000</t>
  </si>
  <si>
    <t>3103000</t>
  </si>
  <si>
    <t>3109120</t>
  </si>
  <si>
    <t>3109900</t>
  </si>
  <si>
    <t>3210000</t>
  </si>
  <si>
    <t>3220000</t>
  </si>
  <si>
    <t>3230000</t>
  </si>
  <si>
    <t>3240000</t>
  </si>
  <si>
    <t>3250400</t>
  </si>
  <si>
    <t>3250900</t>
  </si>
  <si>
    <t>3299010</t>
  </si>
  <si>
    <t>Teken-/schrijfartik.</t>
  </si>
  <si>
    <t>3299020</t>
  </si>
  <si>
    <t>Ov.artikelen neg</t>
  </si>
  <si>
    <t>Li in LiMn2O4</t>
  </si>
  <si>
    <t>Li in LiPF6</t>
  </si>
  <si>
    <t>bicycle</t>
  </si>
  <si>
    <t>ebicycle</t>
  </si>
  <si>
    <t>moped</t>
  </si>
  <si>
    <t>emoped</t>
  </si>
  <si>
    <t>bus</t>
  </si>
  <si>
    <t>ptrain</t>
  </si>
  <si>
    <t>ev</t>
  </si>
  <si>
    <t>evan</t>
  </si>
  <si>
    <t>icev</t>
  </si>
  <si>
    <t>icevan</t>
  </si>
  <si>
    <t>hev</t>
  </si>
  <si>
    <t>A330</t>
  </si>
  <si>
    <t>B777</t>
  </si>
  <si>
    <t>B787</t>
  </si>
  <si>
    <t>balloon</t>
  </si>
  <si>
    <t>B747</t>
  </si>
  <si>
    <t>hmax</t>
  </si>
  <si>
    <t>hmaxin</t>
  </si>
  <si>
    <t>tanker</t>
  </si>
  <si>
    <t>bulker</t>
  </si>
  <si>
    <t>lorry16t</t>
  </si>
  <si>
    <t>lorry28t</t>
  </si>
  <si>
    <t>lorry40t</t>
  </si>
  <si>
    <t>locomotive</t>
  </si>
  <si>
    <t>wagon</t>
  </si>
  <si>
    <t>ftrain</t>
  </si>
  <si>
    <t>XLPE</t>
  </si>
  <si>
    <t>Tapes</t>
  </si>
  <si>
    <t>MS 2018</t>
  </si>
  <si>
    <t>LS 2018</t>
  </si>
  <si>
    <t>Stock calculation kg</t>
  </si>
  <si>
    <t>kg</t>
  </si>
  <si>
    <t>Stock calculation ton, aggregated</t>
  </si>
  <si>
    <t xml:space="preserve">SPVC + </t>
  </si>
  <si>
    <t>Cement</t>
  </si>
  <si>
    <t>Bosch et al. (2019). Materiaalvraag voor elektrisch vervoer. Copper8, Metabolic, Universiteit Leiden</t>
  </si>
  <si>
    <t xml:space="preserve">USGS (2022). Mineral commodity summaries 2022. </t>
  </si>
  <si>
    <t>Globenewswire. (2022). Silicon Market Report: Size, Manufacturers, Trade and Forecast to 2030 - IndexBox. https://www.globenewswire.com/en/news-release/2022/04/25/2428469/0/en/Silicon-Market-Report-Size-Manufacturers-Trade-and-Forecast-to-2030-IndexBox.html</t>
  </si>
  <si>
    <t>Pieters, 2022</t>
  </si>
  <si>
    <t>Achtergrondgegevens uit van der Zaag, 2019</t>
  </si>
  <si>
    <r>
      <t>Verhagen, T. J., Cetinay, H., Van Der Voet, E., &amp; Sprecher, B. (2022b). Transitioning to low-carbon residential heating: the impacts of material-related emissions. </t>
    </r>
    <r>
      <rPr>
        <i/>
        <sz val="10"/>
        <color rgb="FF222222"/>
        <rFont val="Avenir Next LT Pro"/>
        <family val="2"/>
      </rPr>
      <t>Environmental science &amp; technology</t>
    </r>
    <r>
      <rPr>
        <sz val="10"/>
        <color rgb="FF222222"/>
        <rFont val="Avenir Next LT Pro"/>
        <family val="2"/>
      </rPr>
      <t>, </t>
    </r>
    <r>
      <rPr>
        <i/>
        <sz val="10"/>
        <color rgb="FF222222"/>
        <rFont val="Avenir Next LT Pro"/>
        <family val="2"/>
      </rPr>
      <t>56</t>
    </r>
    <r>
      <rPr>
        <sz val="10"/>
        <color rgb="FF222222"/>
        <rFont val="Avenir Next LT Pro"/>
        <family val="2"/>
      </rPr>
      <t>(12), 8561-8570.</t>
    </r>
  </si>
  <si>
    <t>Verhagen et al., 2022a</t>
  </si>
  <si>
    <t>lentech (n.d.). https://www.lenntech.com/periodic/elements/tb.htm#:~:text=The%20main%20mining%20areas%20are,is%2010%20tonnes%20a%20year.</t>
  </si>
  <si>
    <t>Buildings</t>
  </si>
  <si>
    <t>Energy system</t>
  </si>
  <si>
    <t>Machinery</t>
  </si>
  <si>
    <t>Consumer electronics</t>
  </si>
  <si>
    <t>Year</t>
  </si>
  <si>
    <t>Source</t>
  </si>
  <si>
    <t>Brick</t>
  </si>
  <si>
    <t>Sand, gravel, clay</t>
  </si>
  <si>
    <t>Stone</t>
  </si>
  <si>
    <t>Recycling granulate</t>
  </si>
  <si>
    <t>Other construction materials</t>
  </si>
  <si>
    <t>Iron and steel</t>
  </si>
  <si>
    <t>Lead</t>
  </si>
  <si>
    <t>Alloying elements (non critical)</t>
  </si>
  <si>
    <t>Other metals (non critical)</t>
  </si>
  <si>
    <t>Wood</t>
  </si>
  <si>
    <t>Other biobased materials</t>
  </si>
  <si>
    <t>Textile, biobased</t>
  </si>
  <si>
    <t>Insulation materials</t>
  </si>
  <si>
    <t>Other materials</t>
  </si>
  <si>
    <t>Ceramics</t>
  </si>
  <si>
    <t>Textile, unspec.</t>
  </si>
  <si>
    <t>Critical raw materials (CRM)</t>
  </si>
  <si>
    <t>Construction minerals</t>
  </si>
  <si>
    <t>Metals</t>
  </si>
  <si>
    <t>Biobased materials</t>
  </si>
  <si>
    <t>Total CRM</t>
  </si>
  <si>
    <t>% of total</t>
  </si>
  <si>
    <t>According to CBS classification</t>
  </si>
  <si>
    <t>With sand, gravel, clay</t>
  </si>
  <si>
    <t>Minerals</t>
  </si>
  <si>
    <t>Bio-resources</t>
  </si>
  <si>
    <t>Fossil resources</t>
  </si>
  <si>
    <t>Vehicles</t>
  </si>
  <si>
    <t>Detached houses</t>
  </si>
  <si>
    <t>Serial houses</t>
  </si>
  <si>
    <t>Apartments</t>
  </si>
  <si>
    <t>Shops</t>
  </si>
  <si>
    <t>Commercial buildings</t>
  </si>
  <si>
    <t>Office buildings</t>
  </si>
  <si>
    <t>Service buildings</t>
  </si>
  <si>
    <t>Bridges</t>
  </si>
  <si>
    <t>Pumping stations</t>
  </si>
  <si>
    <t>Non-asphalt road surface</t>
  </si>
  <si>
    <t>Sluices</t>
  </si>
  <si>
    <t>Roads</t>
  </si>
  <si>
    <t>Viaducts</t>
  </si>
  <si>
    <t>Coastal defense</t>
  </si>
  <si>
    <t>Railway tracks</t>
  </si>
  <si>
    <t>Electriticy cables</t>
  </si>
  <si>
    <t>Substations and transformers</t>
  </si>
  <si>
    <t>High voltage masts</t>
  </si>
  <si>
    <t>Wind turbines</t>
  </si>
  <si>
    <t>Solar panels</t>
  </si>
  <si>
    <t>Gas fired powerplants</t>
  </si>
  <si>
    <t>Coal fired power plants</t>
  </si>
  <si>
    <t>Nuclear power plants</t>
  </si>
  <si>
    <t>Biomass / waste incinerators</t>
  </si>
  <si>
    <t>Gas pipes</t>
  </si>
  <si>
    <t>boilers</t>
  </si>
  <si>
    <t>Ships</t>
  </si>
  <si>
    <t>Trains</t>
  </si>
  <si>
    <t>Lorries, vans and trucks</t>
  </si>
  <si>
    <t>Turbines / motors</t>
  </si>
  <si>
    <t>Pumps / compressors</t>
  </si>
  <si>
    <t>Taps and valves</t>
  </si>
  <si>
    <t>Other machinery for general usage</t>
  </si>
  <si>
    <t>Office equipments</t>
  </si>
  <si>
    <t>Mechanical tools</t>
  </si>
  <si>
    <t>Climate control machines</t>
  </si>
  <si>
    <t>Bottle cleaning equipment</t>
  </si>
  <si>
    <t>Agricultural equipment</t>
  </si>
  <si>
    <t>Electric tools</t>
  </si>
  <si>
    <t>Filtering equipment</t>
  </si>
  <si>
    <t>Equipment for hoisting, winching, lifting</t>
  </si>
  <si>
    <t>Fabrics</t>
  </si>
  <si>
    <t>Bed linen</t>
  </si>
  <si>
    <t>Carpets</t>
  </si>
  <si>
    <t>Fleece</t>
  </si>
  <si>
    <t>Other textile</t>
  </si>
  <si>
    <t>Uniforms</t>
  </si>
  <si>
    <t>Upper garments</t>
  </si>
  <si>
    <t>Undergarments</t>
  </si>
  <si>
    <t>Other clothing</t>
  </si>
  <si>
    <t>Drapery and chair clothing</t>
  </si>
  <si>
    <t>Temperature control equipment</t>
  </si>
  <si>
    <t>Screens, monitors</t>
  </si>
  <si>
    <t>Lamps</t>
  </si>
  <si>
    <t>Large equipment</t>
  </si>
  <si>
    <t>Small equipment</t>
  </si>
  <si>
    <t>Small IT and telecom equipment</t>
  </si>
  <si>
    <t>Cookery equipment</t>
  </si>
  <si>
    <t>Chairs and couches</t>
  </si>
  <si>
    <t>Office furniture</t>
  </si>
  <si>
    <t>Kitchen furniture</t>
  </si>
  <si>
    <t>Matrasses</t>
  </si>
  <si>
    <t>Bedroom furniture</t>
  </si>
  <si>
    <t>Other furniture</t>
  </si>
  <si>
    <t>Jewelry and coins</t>
  </si>
  <si>
    <t>Musical instruments</t>
  </si>
  <si>
    <t>Sports equipment</t>
  </si>
  <si>
    <t>Toys and games</t>
  </si>
  <si>
    <t>Spectacles / contact lenses</t>
  </si>
  <si>
    <t>Medical equipment</t>
  </si>
  <si>
    <t>Writing/drawing utensils</t>
  </si>
  <si>
    <t>Category</t>
  </si>
  <si>
    <t>Road, rail and waterways infrastructure</t>
  </si>
  <si>
    <t>Stock</t>
  </si>
  <si>
    <t>Annual global production</t>
  </si>
  <si>
    <t>Stock/annual global production</t>
  </si>
  <si>
    <t>Drinking and sewage water infrastructure</t>
  </si>
  <si>
    <t>Buses</t>
  </si>
  <si>
    <t>Other metals</t>
  </si>
  <si>
    <t>Electricity system</t>
  </si>
  <si>
    <t>Type of building</t>
  </si>
  <si>
    <t>Construction year</t>
  </si>
  <si>
    <t>Iron &amp; steel</t>
  </si>
  <si>
    <t>Bricks</t>
  </si>
  <si>
    <t>Insulation materials nec</t>
  </si>
  <si>
    <t>Chalk stone</t>
  </si>
  <si>
    <t>Sand</t>
  </si>
  <si>
    <t>tons</t>
  </si>
  <si>
    <t>Sewage pipes</t>
  </si>
  <si>
    <t>Railroads</t>
  </si>
  <si>
    <t>Construction materials</t>
  </si>
  <si>
    <t>Gravel</t>
  </si>
  <si>
    <t>Industrial recyclates</t>
  </si>
  <si>
    <t>Industral sand</t>
  </si>
  <si>
    <t>Steel (construction)</t>
  </si>
  <si>
    <t>Steel (reinforcement)</t>
  </si>
  <si>
    <t>Soil</t>
  </si>
  <si>
    <t>Clay</t>
  </si>
  <si>
    <t>Construction sand</t>
  </si>
  <si>
    <t>3. Hibernating stocks</t>
  </si>
  <si>
    <t>Table of contents</t>
  </si>
  <si>
    <t>1. Overview of the Dutch urban mine</t>
  </si>
  <si>
    <t>2. In-use stocks per sector</t>
  </si>
  <si>
    <t xml:space="preserve">   2.1. Buildings</t>
  </si>
  <si>
    <t xml:space="preserve">   2.5. Drinking water and sewage infrastructure</t>
  </si>
  <si>
    <t xml:space="preserve">   2.7. Consumer electronics</t>
  </si>
  <si>
    <t>Reading guide</t>
  </si>
  <si>
    <t>4. Data sources</t>
  </si>
  <si>
    <t>Sewage treatment plants</t>
  </si>
  <si>
    <t>Railways</t>
  </si>
  <si>
    <t>Textile, organic</t>
  </si>
  <si>
    <t>Textile nec</t>
  </si>
  <si>
    <t>Switches (incl heating)</t>
  </si>
  <si>
    <t>Platforms (incl roofs)</t>
  </si>
  <si>
    <t>Elevators and stairs</t>
  </si>
  <si>
    <t>Fences and noise barriers</t>
  </si>
  <si>
    <t>Background data, from Pieters (2022):</t>
  </si>
  <si>
    <t>Material composition</t>
  </si>
  <si>
    <t>Medium voltage cables</t>
  </si>
  <si>
    <t>Low voltage cables</t>
  </si>
  <si>
    <t>plastics cables</t>
  </si>
  <si>
    <t>armoured paper-lead cables</t>
  </si>
  <si>
    <t>Bitumen impregnated jute</t>
  </si>
  <si>
    <t>Oil impregnated paper</t>
  </si>
  <si>
    <t>Heating system</t>
  </si>
  <si>
    <t>gas pipes</t>
  </si>
  <si>
    <t>Gas infrastructure</t>
  </si>
  <si>
    <t>Boilers</t>
  </si>
  <si>
    <t>Brass</t>
  </si>
  <si>
    <t>Cast iron</t>
  </si>
  <si>
    <t>Asbestos cement</t>
  </si>
  <si>
    <t>Concrete &amp; cement</t>
  </si>
  <si>
    <t>Aggregated material categories</t>
  </si>
  <si>
    <t>Drinking water production plants</t>
  </si>
  <si>
    <t>Water pipes</t>
  </si>
  <si>
    <t>Sewage pumps</t>
  </si>
  <si>
    <t>Natural gas production plants</t>
  </si>
  <si>
    <t>Aeroplanes</t>
  </si>
  <si>
    <t>(motor) bikes</t>
  </si>
  <si>
    <t>Passenger cars</t>
  </si>
  <si>
    <t>(Motor)bikes</t>
  </si>
  <si>
    <t>Lorries, trucks and vans</t>
  </si>
  <si>
    <t>Totals (2017) per material</t>
  </si>
  <si>
    <t>Alloyed zinc</t>
  </si>
  <si>
    <t>Alloyed aluminium</t>
  </si>
  <si>
    <t>Alloyed copper</t>
  </si>
  <si>
    <t>Alloyed chromium</t>
  </si>
  <si>
    <t>Alloyed nickel</t>
  </si>
  <si>
    <t>Stainless steel</t>
  </si>
  <si>
    <t>Total materials</t>
  </si>
  <si>
    <t>Total product</t>
  </si>
  <si>
    <t>Totals (2017) per element</t>
  </si>
  <si>
    <t>Total elements</t>
  </si>
  <si>
    <t>Alloyed tungsten</t>
  </si>
  <si>
    <t>Material</t>
  </si>
  <si>
    <t>Weight (ton)</t>
  </si>
  <si>
    <t>Textiles</t>
  </si>
  <si>
    <t>Background data from CBS Materiaalmonitor</t>
  </si>
  <si>
    <t>MM_description (Dutch)</t>
  </si>
  <si>
    <t>Stock (unit?)</t>
  </si>
  <si>
    <t>Source for material intensity</t>
  </si>
  <si>
    <t>brass</t>
  </si>
  <si>
    <t>bronze</t>
  </si>
  <si>
    <t>Talcum</t>
  </si>
  <si>
    <t>Monopiles</t>
  </si>
  <si>
    <t>NB: the values in this table are highly uncertain</t>
  </si>
  <si>
    <t>Water infrastructure</t>
  </si>
  <si>
    <t>Water and sewage pipes</t>
  </si>
  <si>
    <t>Electricity cables</t>
  </si>
  <si>
    <t>Rail infrastructure</t>
  </si>
  <si>
    <t>Road- rail- and waterways infrastructure: railways</t>
  </si>
  <si>
    <t>Road- rail- and waterways infrastructure</t>
  </si>
  <si>
    <t>Data from Verhagen et al., 2022</t>
  </si>
  <si>
    <t>Recycling granulate &amp; industrial residuals</t>
  </si>
  <si>
    <t>Insulation material nec</t>
  </si>
  <si>
    <t>Textile, unspecified</t>
  </si>
  <si>
    <t>Alloying elements</t>
  </si>
  <si>
    <t>Vehicle category</t>
  </si>
  <si>
    <t>Hbernating stocks</t>
  </si>
  <si>
    <t>Total (ton)</t>
  </si>
  <si>
    <t>Total (%)</t>
  </si>
  <si>
    <t xml:space="preserve">   2.2. Road, rail and waterways infrastructure</t>
  </si>
  <si>
    <t xml:space="preserve">   2.6. Vehicles</t>
  </si>
  <si>
    <r>
      <t xml:space="preserve">Van der Bent, E. (2021). Urban mining for a circular economy: A dynamic material flow analysis of the urban mine of the Dutch water cycle infrastructure. MSc thesis report, </t>
    </r>
    <r>
      <rPr>
        <sz val="10"/>
        <color rgb="FF000000"/>
        <rFont val="Avenir Next LT Pro"/>
        <family val="2"/>
      </rPr>
      <t>Universiteit Leiden &amp; Technische Universiteit Delft.</t>
    </r>
  </si>
  <si>
    <r>
      <t xml:space="preserve">Van der Zaag, J. (2020). </t>
    </r>
    <r>
      <rPr>
        <sz val="10"/>
        <color rgb="FF000000"/>
        <rFont val="Avenir Next LT Pro"/>
        <family val="2"/>
      </rPr>
      <t>Material stocks and flows in the circular economy: a prospective material flow analysis for vehicles in the Netherlands for 2000-2050. MSc thesis report, Universiteit Leiden &amp; Technische Universiteit Delft. https://repository.tudelft.nl/islandora/object/uuid%3A7dfc5c37-8200-47dc-b413-a8be3b03d140</t>
    </r>
  </si>
  <si>
    <t>Sources</t>
  </si>
  <si>
    <r>
      <t xml:space="preserve">Pieters, L. I. (2021). Towards a Circular Economy: Material Changes in the Dutch Railway Infrastructure until 2050. MSc thesis, </t>
    </r>
    <r>
      <rPr>
        <sz val="10"/>
        <color rgb="FF000000"/>
        <rFont val="Avenir Next LT Pro"/>
        <family val="2"/>
      </rPr>
      <t xml:space="preserve">Universiteit Leiden &amp; Technische Universiteit Delft. </t>
    </r>
    <r>
      <rPr>
        <sz val="10"/>
        <color theme="1"/>
        <rFont val="Avenir Next LT Pro"/>
        <family val="2"/>
      </rPr>
      <t xml:space="preserve"> </t>
    </r>
  </si>
  <si>
    <t>Material stocks in Dutch railway infrastructure in 2018</t>
  </si>
  <si>
    <t>van Oorschot et al., 2020; van Oorschot et al., 2021; van Straalen et al., 2022</t>
  </si>
  <si>
    <t>Verhagen et al., 2022a; van Straalen et al., 2022</t>
  </si>
  <si>
    <t>van Oorschot, J., J. van der Zaag, E. van der Voet, V. van Straalen &amp; R. Delahaye (2020a). Voorraden in de maatschappij; de grondstoffenbasis voor een circulaire economie. Universiteit Leiden en Centraal Bureau voor de Statistiek, januari 2020</t>
  </si>
  <si>
    <t>van Oorschot, J., Sprecher, B., Roelofs, B., van der Horst - Verschelling, J., &amp; van der Voet, E. (2022). Towards a low-carbon and circular economy: Scenarios for metal stocks and flows in the Dutch electricity system. Resources, Conservation and Recycling, 178, 106105.</t>
  </si>
  <si>
    <t>van Oorschot et al., 2020b</t>
  </si>
  <si>
    <t>van Oorschot et al., 2020a; Van Oorschot et al., 2020b</t>
  </si>
  <si>
    <t>van Oorschot et al., 2020a; van der Zaag, 2020</t>
  </si>
  <si>
    <t>van Oorschot et al., 2020b; van Straalen et al., 2022</t>
  </si>
  <si>
    <t>van Oorschot et al., 2020a</t>
  </si>
  <si>
    <t xml:space="preserve">Summary main categories </t>
  </si>
  <si>
    <t>van Oorschot et al., 2020b; van Oorschot et al., 2022</t>
  </si>
  <si>
    <t xml:space="preserve">Verhagen, J., Pieters, L., van der Voet, V., van Straalen, V. &amp; Tunn, V. (2022a). Voorraden in de maatschappij: de gronstoffenbasis voor een circulaire economie deel III, met case studies op het gebied van het gassysteem, de spoorinfrastructuur en consumentengoederen. Universiteit Leiden, centrum voor Milieuwetenschappen &amp; Centraal Bureau voor de Statistiek, februari 2022. </t>
  </si>
  <si>
    <t xml:space="preserve">van Oorschot, J., E. van der Voet, V. van Straalen, V.S.C. Tunn &amp; R. Delahaye (2020b). Voorraden in de maatschappij: de grondstoffenbasis voor een circulaire economie deel II, met case studies op gebied van gebouwen, electronische machines en textiel. Universiteit Leiden CML en Centraal Bureau voor de Statistiek, december 2020. </t>
  </si>
  <si>
    <t xml:space="preserve">van Oorschot et al., 2022; van Oorschot et al., 2020a </t>
  </si>
  <si>
    <t>van Oorschot et al., 2020b; van Oorschot et al., 2022; van Straalen et al., 2022</t>
  </si>
  <si>
    <t>Van Straalen, V., R. Delahaye &amp; K. Kersten (2022). Voorraden project. Conversie naar materialen - methodebeschrijving. Centraal Bureau voor de Statistiek, april 2022.</t>
  </si>
  <si>
    <t>(Motor)cycles</t>
  </si>
  <si>
    <t>Backgroundinformation from van Oorschot et al., 2020a</t>
  </si>
  <si>
    <t>van Oorschot et al., 2021; van Straalen et al., 2022</t>
  </si>
  <si>
    <t>With sand, gravel clay; without coastal defense</t>
  </si>
  <si>
    <t>Other textiles</t>
  </si>
  <si>
    <t>Rails and overhead power lines</t>
  </si>
  <si>
    <t>Railway crossings</t>
  </si>
  <si>
    <t xml:space="preserve">   2.3. Electricity system</t>
  </si>
  <si>
    <t xml:space="preserve">   2.4. Heating system</t>
  </si>
  <si>
    <t xml:space="preserve">   2.8. Machinery, textiles, other consumer goods</t>
  </si>
  <si>
    <t>Additional data on medium and low voltage transmission system, van Oorschot et al., 2020, 2022, including plastics, steel, lead and other materials</t>
  </si>
  <si>
    <t>In this preadsheet we present an overview of the in-use stocks in the Netherlands around 2020, specified per category of application and per material. In tab page 1, the totals can be found. In tab pages 2.1 to 2.8 a further specification is provided of the categories of applications, and the conversion from source data to the format of tab page 1 is provided. In tab page 3, an estimate is provided of the so-called hibernating stocks. Tab page 4 contains the references. Most references are to reports in Dutch, compiled for the Dutch urban mine project. Further references can be found in these reports, and especially in the annexes and the databases that go with them. All can be found at the project website: https://www.universiteitleiden.nl/en/research/research-projects/science/cml-urban-mine-of-the-netherlands</t>
  </si>
  <si>
    <t>Other consumer goods</t>
  </si>
  <si>
    <t>Recycled CDW</t>
  </si>
  <si>
    <t>Pressurised sewage pipes</t>
  </si>
  <si>
    <t>Gully pots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</si>
</sst>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9" x14ac:knownFonts="1">
    <font>
      <sz val="11"/>
      <color theme="1"/>
      <name val="Calibri"/>
      <family val="2"/>
      <scheme val="minor"/>
    </font>
    <font>
      <sz val="11"/>
      <color theme="1"/>
      <name val="Avenir Next LT Pro"/>
      <family val="2"/>
    </font>
    <font>
      <b/>
      <sz val="11"/>
      <color theme="1"/>
      <name val="Avenir Next LT Pro"/>
      <family val="2"/>
    </font>
    <font>
      <sz val="10"/>
      <color theme="1"/>
      <name val="Avenir Next LT Pro"/>
      <family val="2"/>
    </font>
    <font>
      <sz val="9"/>
      <color theme="1"/>
      <name val="Avenir Next LT Pro"/>
      <family val="2"/>
    </font>
    <font>
      <b/>
      <sz val="9"/>
      <color theme="1"/>
      <name val="Avenir Next LT Pro"/>
      <family val="2"/>
    </font>
    <font>
      <sz val="9"/>
      <color rgb="FF000000"/>
      <name val="Avenir Next LT Pro"/>
      <family val="2"/>
    </font>
    <font>
      <i/>
      <sz val="9"/>
      <color rgb="FF000000"/>
      <name val="Avenir Next LT Pro"/>
      <family val="2"/>
    </font>
    <font>
      <i/>
      <sz val="9"/>
      <color theme="4" tint="-0.249977111117893"/>
      <name val="Avenir Next LT Pro"/>
      <family val="2"/>
    </font>
    <font>
      <sz val="11"/>
      <name val="Avenir Next LT Pro"/>
      <family val="2"/>
    </font>
    <font>
      <b/>
      <sz val="8"/>
      <color theme="1"/>
      <name val="Arial"/>
      <family val="2"/>
    </font>
    <font>
      <sz val="8"/>
      <color theme="1"/>
      <name val="Arial"/>
      <family val="2"/>
    </font>
    <font>
      <i/>
      <sz val="8"/>
      <color theme="1"/>
      <name val="Arial"/>
      <family val="2"/>
    </font>
    <font>
      <sz val="10"/>
      <name val="Avenir Next LT Pro"/>
      <family val="2"/>
    </font>
    <font>
      <b/>
      <i/>
      <sz val="10"/>
      <color theme="1"/>
      <name val="Avenir Next LT Pro"/>
      <family val="2"/>
    </font>
    <font>
      <sz val="11"/>
      <color theme="1"/>
      <name val="Calibri"/>
      <family val="2"/>
      <scheme val="minor"/>
    </font>
    <font>
      <sz val="9"/>
      <name val="Avenir Next LT Pro"/>
      <family val="2"/>
    </font>
    <font>
      <sz val="11"/>
      <color rgb="FFFF0000"/>
      <name val="Avenir Next LT Pro"/>
      <family val="2"/>
    </font>
    <font>
      <b/>
      <sz val="10"/>
      <color theme="1"/>
      <name val="Avenir Next LT Pro"/>
      <family val="2"/>
    </font>
    <font>
      <b/>
      <sz val="10"/>
      <name val="Avenir Next LT Pro"/>
      <family val="2"/>
    </font>
    <font>
      <b/>
      <i/>
      <sz val="12"/>
      <name val="Avenir Next LT Pro"/>
      <family val="2"/>
    </font>
    <font>
      <i/>
      <sz val="9"/>
      <color theme="4" tint="-0.249977111117893"/>
      <name val="Avenir Next LT Pro"/>
      <family val="2"/>
    </font>
    <font>
      <i/>
      <sz val="10"/>
      <color theme="0" tint="-0.499984740745262"/>
      <name val="Avenir Next LT Pro"/>
      <family val="2"/>
    </font>
    <font>
      <sz val="10"/>
      <color rgb="FF000000"/>
      <name val="Avenir Next LT Pro"/>
      <family val="2"/>
    </font>
    <font>
      <u/>
      <sz val="11"/>
      <color theme="10"/>
      <name val="Calibri"/>
      <family val="2"/>
      <scheme val="minor"/>
    </font>
    <font>
      <sz val="12"/>
      <color theme="1"/>
      <name val="Avenir Next LT Pro"/>
      <family val="2"/>
    </font>
    <font>
      <sz val="8"/>
      <color theme="1"/>
      <name val="Avenir Next LT Pro"/>
      <family val="2"/>
    </font>
    <font>
      <i/>
      <sz val="8"/>
      <color rgb="FFFF0000"/>
      <name val="Avenir Next LT Pro"/>
      <family val="2"/>
    </font>
    <font>
      <i/>
      <sz val="8"/>
      <color rgb="FF0070C0"/>
      <name val="Avenir Next LT Pro"/>
      <family val="2"/>
    </font>
    <font>
      <i/>
      <sz val="8"/>
      <color rgb="FF009999"/>
      <name val="Avenir Next LT Pro"/>
      <family val="2"/>
    </font>
    <font>
      <i/>
      <sz val="9"/>
      <color theme="7" tint="-0.249977111117893"/>
      <name val="Avenir Next LT Pro"/>
      <family val="2"/>
    </font>
    <font>
      <sz val="8"/>
      <name val="Avenir Next LT Pro"/>
      <family val="2"/>
    </font>
    <font>
      <i/>
      <sz val="9"/>
      <color theme="1"/>
      <name val="Avenir Next LT Pro"/>
      <family val="2"/>
    </font>
    <font>
      <i/>
      <sz val="9"/>
      <name val="Avenir Next LT Pro"/>
      <family val="2"/>
    </font>
    <font>
      <sz val="9"/>
      <color rgb="FFFF0000"/>
      <name val="Avenir Next LT Pro"/>
      <family val="2"/>
    </font>
    <font>
      <sz val="9"/>
      <color theme="0" tint="-0.499984740745262"/>
      <name val="Avenir Next LT Pro"/>
      <family val="2"/>
    </font>
    <font>
      <i/>
      <sz val="9"/>
      <color theme="0" tint="-0.499984740745262"/>
      <name val="Avenir Next LT Pro"/>
      <family val="2"/>
    </font>
    <font>
      <sz val="9"/>
      <color theme="1"/>
      <name val="Calibri"/>
      <family val="2"/>
      <scheme val="minor"/>
    </font>
    <font>
      <b/>
      <sz val="9"/>
      <color theme="1"/>
      <name val="Calibri"/>
      <family val="2"/>
      <scheme val="minor"/>
    </font>
    <font>
      <sz val="9"/>
      <name val="Calibri"/>
      <family val="2"/>
      <scheme val="minor"/>
    </font>
    <font>
      <sz val="10"/>
      <color rgb="FF222222"/>
      <name val="Avenir Next LT Pro"/>
      <family val="2"/>
    </font>
    <font>
      <i/>
      <sz val="10"/>
      <color rgb="FF222222"/>
      <name val="Avenir Next LT Pro"/>
      <family val="2"/>
    </font>
    <font>
      <b/>
      <sz val="11"/>
      <name val="Avenir Next LT Pro"/>
      <family val="2"/>
    </font>
    <font>
      <sz val="8"/>
      <name val="Calibri"/>
      <family val="2"/>
      <scheme val="minor"/>
    </font>
    <font>
      <b/>
      <i/>
      <sz val="9"/>
      <name val="Avenir Next LT Pro"/>
      <family val="2"/>
    </font>
    <font>
      <b/>
      <i/>
      <sz val="8"/>
      <color theme="1"/>
      <name val="Avenir Next LT Pro"/>
      <family val="2"/>
    </font>
    <font>
      <i/>
      <sz val="8"/>
      <color theme="4" tint="-0.249977111117893"/>
      <name val="Avenir Next LT Pro"/>
      <family val="2"/>
    </font>
    <font>
      <b/>
      <sz val="14"/>
      <name val="Calibri"/>
      <family val="2"/>
      <scheme val="minor"/>
    </font>
    <font>
      <b/>
      <sz val="9"/>
      <name val="Avenir Next LT Pro"/>
      <family val="2"/>
    </font>
  </fonts>
  <fills count="18">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7" tint="0.59999389629810485"/>
        <bgColor indexed="64"/>
      </patternFill>
    </fill>
    <fill>
      <patternFill patternType="solid">
        <fgColor theme="0" tint="-4.9989318521683403E-2"/>
        <bgColor indexed="64"/>
      </patternFill>
    </fill>
    <fill>
      <patternFill patternType="solid">
        <fgColor theme="9" tint="0.59999389629810485"/>
        <bgColor indexed="64"/>
      </patternFill>
    </fill>
    <fill>
      <patternFill patternType="solid">
        <fgColor theme="4" tint="0.39997558519241921"/>
        <bgColor indexed="64"/>
      </patternFill>
    </fill>
    <fill>
      <patternFill patternType="solid">
        <fgColor rgb="FF9BBFB7"/>
        <bgColor indexed="64"/>
      </patternFill>
    </fill>
    <fill>
      <patternFill patternType="solid">
        <fgColor theme="7" tint="0.39997558519241921"/>
        <bgColor indexed="64"/>
      </patternFill>
    </fill>
    <fill>
      <patternFill patternType="solid">
        <fgColor rgb="FFD5ABAB"/>
        <bgColor indexed="64"/>
      </patternFill>
    </fill>
    <fill>
      <patternFill patternType="solid">
        <fgColor rgb="FFFFFF00"/>
        <bgColor indexed="64"/>
      </patternFill>
    </fill>
    <fill>
      <patternFill patternType="solid">
        <fgColor theme="4" tint="0.59999389629810485"/>
        <bgColor indexed="64"/>
      </patternFill>
    </fill>
    <fill>
      <patternFill patternType="solid">
        <fgColor rgb="FF009999"/>
        <bgColor indexed="64"/>
      </patternFill>
    </fill>
    <fill>
      <patternFill patternType="solid">
        <fgColor theme="5" tint="0.39997558519241921"/>
        <bgColor indexed="64"/>
      </patternFill>
    </fill>
    <fill>
      <patternFill patternType="solid">
        <fgColor rgb="FFCCDEDA"/>
        <bgColor indexed="64"/>
      </patternFill>
    </fill>
    <fill>
      <patternFill patternType="solid">
        <fgColor theme="2" tint="-0.249977111117893"/>
        <bgColor indexed="64"/>
      </patternFill>
    </fill>
    <fill>
      <patternFill patternType="solid">
        <fgColor rgb="FFFFA7AB"/>
        <bgColor indexed="64"/>
      </patternFill>
    </fill>
  </fills>
  <borders count="53">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3">
    <xf numFmtId="0" fontId="0" fillId="0" borderId="0"/>
    <xf numFmtId="9" fontId="15" fillId="0" borderId="0" applyFont="0" applyFill="0" applyBorder="0" applyAlignment="0" applyProtection="0"/>
    <xf numFmtId="0" fontId="24" fillId="0" borderId="0" applyNumberFormat="0" applyFill="0" applyBorder="0" applyAlignment="0" applyProtection="0"/>
  </cellStyleXfs>
  <cellXfs count="689">
    <xf numFmtId="0" fontId="0" fillId="0" borderId="0" xfId="0"/>
    <xf numFmtId="0" fontId="1" fillId="0" borderId="2" xfId="0" applyFont="1" applyBorder="1"/>
    <xf numFmtId="0" fontId="1" fillId="0" borderId="5" xfId="0" applyFont="1" applyBorder="1"/>
    <xf numFmtId="0" fontId="1" fillId="0" borderId="3" xfId="0" applyFont="1" applyBorder="1"/>
    <xf numFmtId="0" fontId="1" fillId="0" borderId="7" xfId="0" applyFont="1" applyBorder="1"/>
    <xf numFmtId="0" fontId="1" fillId="0" borderId="0" xfId="0" applyFont="1"/>
    <xf numFmtId="0" fontId="1" fillId="0" borderId="11" xfId="0" applyFont="1" applyBorder="1"/>
    <xf numFmtId="0" fontId="0" fillId="0" borderId="5" xfId="0" applyBorder="1"/>
    <xf numFmtId="11" fontId="0" fillId="0" borderId="0" xfId="0" applyNumberFormat="1"/>
    <xf numFmtId="0" fontId="1" fillId="0" borderId="3" xfId="0" applyFont="1" applyBorder="1" applyAlignment="1">
      <alignment horizontal="center" vertical="center" wrapText="1"/>
    </xf>
    <xf numFmtId="0" fontId="2" fillId="2" borderId="9" xfId="0" applyFont="1" applyFill="1" applyBorder="1"/>
    <xf numFmtId="0" fontId="2" fillId="2" borderId="14" xfId="0" applyFont="1" applyFill="1" applyBorder="1"/>
    <xf numFmtId="0" fontId="2" fillId="2" borderId="15" xfId="0" applyFont="1" applyFill="1" applyBorder="1"/>
    <xf numFmtId="0" fontId="2" fillId="2" borderId="16" xfId="0" applyFont="1" applyFill="1" applyBorder="1" applyAlignment="1">
      <alignment horizontal="center" vertical="center" wrapText="1"/>
    </xf>
    <xf numFmtId="0" fontId="4" fillId="0" borderId="0" xfId="0" applyFont="1"/>
    <xf numFmtId="0" fontId="4" fillId="0" borderId="3" xfId="0" applyFont="1" applyBorder="1"/>
    <xf numFmtId="0" fontId="4" fillId="0" borderId="7" xfId="0" applyFont="1" applyBorder="1"/>
    <xf numFmtId="0" fontId="8" fillId="0" borderId="0" xfId="0" applyFont="1"/>
    <xf numFmtId="0" fontId="1" fillId="3" borderId="2" xfId="0" applyFont="1" applyFill="1" applyBorder="1"/>
    <xf numFmtId="0" fontId="1" fillId="3" borderId="0" xfId="0" applyFont="1" applyFill="1"/>
    <xf numFmtId="0" fontId="1" fillId="3" borderId="5" xfId="0" applyFont="1" applyFill="1" applyBorder="1"/>
    <xf numFmtId="0" fontId="8" fillId="3" borderId="0" xfId="0" applyFont="1" applyFill="1"/>
    <xf numFmtId="0" fontId="1" fillId="3" borderId="0" xfId="0" applyFont="1" applyFill="1" applyAlignment="1">
      <alignment horizontal="center" vertical="center" wrapText="1"/>
    </xf>
    <xf numFmtId="11" fontId="3" fillId="0" borderId="1" xfId="0" applyNumberFormat="1" applyFont="1" applyBorder="1"/>
    <xf numFmtId="11" fontId="3" fillId="0" borderId="2" xfId="0" applyNumberFormat="1" applyFont="1" applyBorder="1"/>
    <xf numFmtId="11" fontId="3" fillId="0" borderId="6" xfId="0" applyNumberFormat="1" applyFont="1" applyBorder="1"/>
    <xf numFmtId="11" fontId="3" fillId="0" borderId="3" xfId="0" applyNumberFormat="1" applyFont="1" applyBorder="1"/>
    <xf numFmtId="11" fontId="3" fillId="0" borderId="0" xfId="0" applyNumberFormat="1" applyFont="1"/>
    <xf numFmtId="11" fontId="3" fillId="0" borderId="7" xfId="0" applyNumberFormat="1" applyFont="1" applyBorder="1"/>
    <xf numFmtId="11" fontId="3" fillId="0" borderId="4" xfId="0" applyNumberFormat="1" applyFont="1" applyBorder="1"/>
    <xf numFmtId="11" fontId="3" fillId="0" borderId="5" xfId="0" applyNumberFormat="1" applyFont="1" applyBorder="1"/>
    <xf numFmtId="11" fontId="3" fillId="0" borderId="8" xfId="0" applyNumberFormat="1" applyFont="1" applyBorder="1"/>
    <xf numFmtId="0" fontId="8" fillId="3" borderId="0" xfId="0" applyFont="1" applyFill="1" applyAlignment="1">
      <alignment horizontal="center" vertical="center" wrapText="1"/>
    </xf>
    <xf numFmtId="0" fontId="3" fillId="0" borderId="5" xfId="0" applyFont="1" applyBorder="1"/>
    <xf numFmtId="0" fontId="3" fillId="0" borderId="0" xfId="0" applyFont="1"/>
    <xf numFmtId="0" fontId="1" fillId="3" borderId="3" xfId="0" applyFont="1" applyFill="1" applyBorder="1"/>
    <xf numFmtId="0" fontId="1" fillId="3" borderId="7" xfId="0" applyFont="1" applyFill="1" applyBorder="1"/>
    <xf numFmtId="0" fontId="2" fillId="2" borderId="9" xfId="0" applyFont="1" applyFill="1" applyBorder="1" applyAlignment="1">
      <alignment wrapText="1"/>
    </xf>
    <xf numFmtId="0" fontId="1" fillId="3" borderId="0" xfId="0" applyFont="1" applyFill="1" applyAlignment="1">
      <alignment wrapText="1"/>
    </xf>
    <xf numFmtId="0" fontId="1" fillId="0" borderId="11" xfId="0" applyFont="1" applyBorder="1" applyAlignment="1">
      <alignment wrapText="1"/>
    </xf>
    <xf numFmtId="0" fontId="0" fillId="0" borderId="15" xfId="0" applyBorder="1"/>
    <xf numFmtId="11" fontId="4" fillId="0" borderId="14" xfId="0" applyNumberFormat="1" applyFont="1" applyBorder="1"/>
    <xf numFmtId="0" fontId="1" fillId="0" borderId="21" xfId="0" applyFont="1" applyBorder="1"/>
    <xf numFmtId="0" fontId="4" fillId="3" borderId="0" xfId="0" applyFont="1" applyFill="1"/>
    <xf numFmtId="11" fontId="4" fillId="3" borderId="0" xfId="0" applyNumberFormat="1" applyFont="1" applyFill="1"/>
    <xf numFmtId="0" fontId="4" fillId="0" borderId="1" xfId="0" applyFont="1" applyBorder="1"/>
    <xf numFmtId="0" fontId="4" fillId="0" borderId="2" xfId="0" applyFont="1" applyBorder="1"/>
    <xf numFmtId="11" fontId="4" fillId="0" borderId="2" xfId="0" applyNumberFormat="1" applyFont="1" applyBorder="1"/>
    <xf numFmtId="11" fontId="4" fillId="0" borderId="0" xfId="0" applyNumberFormat="1" applyFont="1"/>
    <xf numFmtId="0" fontId="4" fillId="0" borderId="4" xfId="0" applyFont="1" applyBorder="1"/>
    <xf numFmtId="0" fontId="4" fillId="0" borderId="5" xfId="0" applyFont="1" applyBorder="1"/>
    <xf numFmtId="11" fontId="4" fillId="0" borderId="5" xfId="0" applyNumberFormat="1" applyFont="1" applyBorder="1"/>
    <xf numFmtId="0" fontId="16" fillId="0" borderId="0" xfId="0" applyFont="1"/>
    <xf numFmtId="11" fontId="16" fillId="0" borderId="0" xfId="0" applyNumberFormat="1" applyFont="1"/>
    <xf numFmtId="0" fontId="17" fillId="3" borderId="0" xfId="0" applyFont="1" applyFill="1"/>
    <xf numFmtId="0" fontId="17" fillId="0" borderId="0" xfId="0" applyFont="1"/>
    <xf numFmtId="0" fontId="3" fillId="0" borderId="11" xfId="0" applyFont="1" applyBorder="1"/>
    <xf numFmtId="0" fontId="3" fillId="0" borderId="2" xfId="0" applyFont="1" applyBorder="1"/>
    <xf numFmtId="0" fontId="9" fillId="3" borderId="0" xfId="0" applyFont="1" applyFill="1"/>
    <xf numFmtId="0" fontId="1" fillId="3" borderId="5"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8" fillId="3" borderId="2" xfId="0" applyFont="1" applyFill="1" applyBorder="1"/>
    <xf numFmtId="0" fontId="8" fillId="3" borderId="2" xfId="0" applyFont="1" applyFill="1" applyBorder="1" applyAlignment="1">
      <alignment horizontal="center" vertical="center" wrapText="1"/>
    </xf>
    <xf numFmtId="0" fontId="8" fillId="0" borderId="2" xfId="0" applyFont="1" applyBorder="1"/>
    <xf numFmtId="0" fontId="17" fillId="3" borderId="5" xfId="0" applyFont="1" applyFill="1" applyBorder="1"/>
    <xf numFmtId="0" fontId="8" fillId="8" borderId="15" xfId="0" applyFont="1" applyFill="1" applyBorder="1"/>
    <xf numFmtId="0" fontId="8" fillId="8" borderId="15" xfId="0" applyFont="1" applyFill="1" applyBorder="1" applyAlignment="1">
      <alignment horizontal="center" vertical="center" wrapText="1"/>
    </xf>
    <xf numFmtId="11" fontId="1" fillId="8" borderId="15" xfId="0" applyNumberFormat="1" applyFont="1" applyFill="1" applyBorder="1"/>
    <xf numFmtId="0" fontId="1" fillId="8" borderId="15" xfId="0" applyFont="1" applyFill="1" applyBorder="1" applyAlignment="1">
      <alignment horizontal="center" vertical="center" wrapText="1"/>
    </xf>
    <xf numFmtId="0" fontId="1" fillId="8" borderId="15" xfId="0" applyFont="1" applyFill="1" applyBorder="1"/>
    <xf numFmtId="11" fontId="1" fillId="3" borderId="11" xfId="0" applyNumberFormat="1" applyFont="1" applyFill="1" applyBorder="1"/>
    <xf numFmtId="0" fontId="1" fillId="3" borderId="11" xfId="0" applyFont="1" applyFill="1" applyBorder="1" applyAlignment="1">
      <alignment horizontal="center" vertical="center" wrapText="1"/>
    </xf>
    <xf numFmtId="11" fontId="1" fillId="8" borderId="9" xfId="0" applyNumberFormat="1" applyFont="1" applyFill="1" applyBorder="1"/>
    <xf numFmtId="0" fontId="1" fillId="3" borderId="10" xfId="0" applyFont="1" applyFill="1" applyBorder="1" applyAlignment="1">
      <alignment horizontal="center" vertical="center" wrapText="1"/>
    </xf>
    <xf numFmtId="0" fontId="1" fillId="3" borderId="11" xfId="0" applyFont="1" applyFill="1" applyBorder="1"/>
    <xf numFmtId="0" fontId="2" fillId="2" borderId="10" xfId="0" applyFont="1" applyFill="1" applyBorder="1"/>
    <xf numFmtId="0" fontId="4" fillId="0" borderId="3" xfId="0" applyFont="1" applyBorder="1" applyAlignment="1">
      <alignment wrapText="1"/>
    </xf>
    <xf numFmtId="0" fontId="4" fillId="0" borderId="1" xfId="0" applyFont="1" applyBorder="1" applyAlignment="1">
      <alignment wrapText="1"/>
    </xf>
    <xf numFmtId="0" fontId="4" fillId="0" borderId="6" xfId="0" applyFont="1" applyBorder="1"/>
    <xf numFmtId="0" fontId="4" fillId="0" borderId="4" xfId="0" applyFont="1" applyBorder="1" applyAlignment="1">
      <alignment wrapText="1"/>
    </xf>
    <xf numFmtId="0" fontId="4" fillId="0" borderId="8" xfId="0" applyFont="1" applyBorder="1"/>
    <xf numFmtId="0" fontId="3" fillId="0" borderId="3" xfId="0" applyFont="1" applyBorder="1"/>
    <xf numFmtId="0" fontId="3" fillId="0" borderId="4" xfId="0" applyFont="1" applyBorder="1"/>
    <xf numFmtId="0" fontId="3" fillId="0" borderId="10" xfId="0" applyFont="1" applyBorder="1"/>
    <xf numFmtId="0" fontId="3" fillId="0" borderId="12" xfId="0" applyFont="1" applyBorder="1"/>
    <xf numFmtId="0" fontId="3" fillId="9" borderId="15" xfId="0" applyFont="1" applyFill="1" applyBorder="1" applyAlignment="1">
      <alignment horizontal="center" vertical="center" wrapText="1"/>
    </xf>
    <xf numFmtId="11" fontId="4" fillId="0" borderId="1" xfId="0" applyNumberFormat="1" applyFont="1" applyBorder="1"/>
    <xf numFmtId="11" fontId="4" fillId="0" borderId="6" xfId="0" applyNumberFormat="1" applyFont="1" applyBorder="1"/>
    <xf numFmtId="11" fontId="4" fillId="0" borderId="3" xfId="0" applyNumberFormat="1" applyFont="1" applyBorder="1"/>
    <xf numFmtId="11" fontId="4" fillId="0" borderId="7" xfId="0" applyNumberFormat="1" applyFont="1" applyBorder="1"/>
    <xf numFmtId="11" fontId="4" fillId="0" borderId="4" xfId="0" applyNumberFormat="1" applyFont="1" applyBorder="1"/>
    <xf numFmtId="11" fontId="4" fillId="0" borderId="8" xfId="0" applyNumberFormat="1" applyFont="1" applyBorder="1"/>
    <xf numFmtId="0" fontId="22" fillId="0" borderId="0" xfId="0" applyFont="1"/>
    <xf numFmtId="9" fontId="8" fillId="3" borderId="0" xfId="1" applyFont="1" applyFill="1" applyBorder="1" applyAlignment="1">
      <alignment horizontal="center" vertical="center" wrapText="1"/>
    </xf>
    <xf numFmtId="11" fontId="4" fillId="3" borderId="1" xfId="0" applyNumberFormat="1" applyFont="1" applyFill="1" applyBorder="1"/>
    <xf numFmtId="9" fontId="4" fillId="3" borderId="6" xfId="1" applyFont="1" applyFill="1" applyBorder="1"/>
    <xf numFmtId="11" fontId="4" fillId="3" borderId="3" xfId="0" applyNumberFormat="1" applyFont="1" applyFill="1" applyBorder="1"/>
    <xf numFmtId="9" fontId="4" fillId="3" borderId="7" xfId="1" applyFont="1" applyFill="1" applyBorder="1"/>
    <xf numFmtId="11" fontId="4" fillId="3" borderId="4" xfId="0" applyNumberFormat="1" applyFont="1" applyFill="1" applyBorder="1"/>
    <xf numFmtId="9" fontId="4" fillId="3" borderId="8" xfId="1" applyFont="1" applyFill="1" applyBorder="1"/>
    <xf numFmtId="0" fontId="3" fillId="0" borderId="0" xfId="0" applyFont="1" applyAlignment="1">
      <alignment vertical="center"/>
    </xf>
    <xf numFmtId="0" fontId="3" fillId="0" borderId="0" xfId="0" applyFont="1" applyAlignment="1">
      <alignment horizontal="center" vertical="center" wrapText="1"/>
    </xf>
    <xf numFmtId="0" fontId="3" fillId="0" borderId="6" xfId="0" applyFont="1" applyBorder="1"/>
    <xf numFmtId="0" fontId="3" fillId="0" borderId="7" xfId="0" applyFont="1" applyBorder="1"/>
    <xf numFmtId="0" fontId="3" fillId="0" borderId="8" xfId="0" applyFont="1" applyBorder="1"/>
    <xf numFmtId="11" fontId="8" fillId="3" borderId="0" xfId="0" applyNumberFormat="1" applyFont="1" applyFill="1" applyAlignment="1">
      <alignment horizontal="center" vertical="center" wrapText="1"/>
    </xf>
    <xf numFmtId="0" fontId="18" fillId="0" borderId="0" xfId="0" applyFont="1"/>
    <xf numFmtId="0" fontId="2" fillId="0" borderId="0" xfId="0" applyFont="1"/>
    <xf numFmtId="11" fontId="26" fillId="3" borderId="35" xfId="0" applyNumberFormat="1" applyFont="1" applyFill="1" applyBorder="1" applyAlignment="1">
      <alignment horizontal="center" vertical="center" wrapText="1"/>
    </xf>
    <xf numFmtId="11" fontId="26" fillId="3" borderId="25" xfId="0" applyNumberFormat="1" applyFont="1" applyFill="1" applyBorder="1" applyAlignment="1">
      <alignment horizontal="center" vertical="center" wrapText="1"/>
    </xf>
    <xf numFmtId="11" fontId="26" fillId="3" borderId="28" xfId="0" applyNumberFormat="1" applyFont="1" applyFill="1" applyBorder="1" applyAlignment="1">
      <alignment horizontal="center" vertical="center" wrapText="1"/>
    </xf>
    <xf numFmtId="11" fontId="26" fillId="3" borderId="0" xfId="0" applyNumberFormat="1" applyFont="1" applyFill="1" applyAlignment="1">
      <alignment horizontal="center" vertical="center" wrapText="1"/>
    </xf>
    <xf numFmtId="11" fontId="26" fillId="3" borderId="28" xfId="0" applyNumberFormat="1" applyFont="1" applyFill="1" applyBorder="1" applyAlignment="1">
      <alignment horizontal="center" vertical="center"/>
    </xf>
    <xf numFmtId="11" fontId="26" fillId="3" borderId="0" xfId="0" applyNumberFormat="1" applyFont="1" applyFill="1" applyAlignment="1">
      <alignment horizontal="center" vertical="center"/>
    </xf>
    <xf numFmtId="11" fontId="26" fillId="3" borderId="29" xfId="0" applyNumberFormat="1" applyFont="1" applyFill="1" applyBorder="1" applyAlignment="1">
      <alignment horizontal="center" vertical="center"/>
    </xf>
    <xf numFmtId="11" fontId="26" fillId="3" borderId="30" xfId="0" applyNumberFormat="1" applyFont="1" applyFill="1" applyBorder="1" applyAlignment="1">
      <alignment horizontal="center" vertical="center"/>
    </xf>
    <xf numFmtId="0" fontId="8" fillId="8" borderId="2" xfId="0" applyFont="1" applyFill="1" applyBorder="1" applyAlignment="1">
      <alignment horizontal="center" vertical="center" wrapText="1"/>
    </xf>
    <xf numFmtId="0" fontId="4" fillId="3" borderId="17" xfId="0" applyFont="1" applyFill="1" applyBorder="1" applyAlignment="1">
      <alignment horizontal="center" vertical="center" wrapText="1"/>
    </xf>
    <xf numFmtId="0" fontId="4" fillId="3" borderId="20" xfId="0" applyFont="1" applyFill="1" applyBorder="1" applyAlignment="1">
      <alignment horizontal="center" vertical="center" wrapText="1"/>
    </xf>
    <xf numFmtId="0" fontId="4" fillId="3" borderId="20" xfId="0" applyFont="1" applyFill="1" applyBorder="1" applyAlignment="1">
      <alignment horizontal="center" vertical="center"/>
    </xf>
    <xf numFmtId="0" fontId="4" fillId="3" borderId="19" xfId="0" applyFont="1" applyFill="1" applyBorder="1" applyAlignment="1">
      <alignment horizontal="center" vertical="center"/>
    </xf>
    <xf numFmtId="0" fontId="8" fillId="3" borderId="35" xfId="0" applyFont="1" applyFill="1" applyBorder="1" applyAlignment="1">
      <alignment horizontal="center" vertical="center" wrapText="1"/>
    </xf>
    <xf numFmtId="0" fontId="8" fillId="3" borderId="28" xfId="0" applyFont="1" applyFill="1" applyBorder="1" applyAlignment="1">
      <alignment horizontal="center" vertical="center" wrapText="1"/>
    </xf>
    <xf numFmtId="164" fontId="26" fillId="3" borderId="27" xfId="1" applyNumberFormat="1" applyFont="1" applyFill="1" applyBorder="1" applyAlignment="1">
      <alignment horizontal="center" vertical="center" wrapText="1"/>
    </xf>
    <xf numFmtId="164" fontId="26" fillId="3" borderId="31" xfId="1" applyNumberFormat="1" applyFont="1" applyFill="1" applyBorder="1" applyAlignment="1">
      <alignment horizontal="center" vertical="center" wrapText="1"/>
    </xf>
    <xf numFmtId="164" fontId="26" fillId="3" borderId="32" xfId="1" applyNumberFormat="1" applyFont="1" applyFill="1" applyBorder="1" applyAlignment="1">
      <alignment horizontal="center" vertical="center" wrapText="1"/>
    </xf>
    <xf numFmtId="0" fontId="27" fillId="3" borderId="2" xfId="0" applyFont="1" applyFill="1" applyBorder="1" applyAlignment="1">
      <alignment horizontal="left" vertical="top"/>
    </xf>
    <xf numFmtId="0" fontId="28" fillId="3" borderId="0" xfId="0" applyFont="1" applyFill="1" applyAlignment="1">
      <alignment horizontal="left" vertical="top"/>
    </xf>
    <xf numFmtId="0" fontId="29" fillId="3" borderId="0" xfId="0" applyFont="1" applyFill="1" applyAlignment="1">
      <alignment horizontal="left" vertical="top"/>
    </xf>
    <xf numFmtId="0" fontId="30" fillId="3" borderId="0" xfId="0" applyFont="1" applyFill="1" applyAlignment="1">
      <alignment horizontal="left" vertical="top"/>
    </xf>
    <xf numFmtId="164" fontId="31" fillId="0" borderId="31" xfId="1" applyNumberFormat="1" applyFont="1" applyFill="1" applyBorder="1" applyAlignment="1">
      <alignment horizontal="center" vertical="center" wrapText="1"/>
    </xf>
    <xf numFmtId="0" fontId="1" fillId="4" borderId="0" xfId="0" applyFont="1" applyFill="1" applyAlignment="1">
      <alignment horizontal="center" vertical="center" wrapText="1"/>
    </xf>
    <xf numFmtId="0" fontId="5" fillId="4" borderId="11" xfId="0" applyFont="1" applyFill="1" applyBorder="1" applyAlignment="1">
      <alignment horizontal="center" vertical="center" wrapText="1"/>
    </xf>
    <xf numFmtId="0" fontId="5" fillId="4" borderId="7" xfId="0" applyFont="1" applyFill="1" applyBorder="1" applyAlignment="1">
      <alignment horizontal="center" vertical="center" wrapText="1"/>
    </xf>
    <xf numFmtId="0" fontId="5" fillId="4" borderId="0" xfId="0" applyFont="1" applyFill="1" applyAlignment="1">
      <alignment horizontal="center" vertical="center"/>
    </xf>
    <xf numFmtId="0" fontId="5" fillId="4" borderId="11" xfId="0" applyFont="1" applyFill="1" applyBorder="1" applyAlignment="1">
      <alignment horizontal="center" vertical="center"/>
    </xf>
    <xf numFmtId="0" fontId="5" fillId="4" borderId="3" xfId="0" applyFont="1" applyFill="1" applyBorder="1" applyAlignment="1">
      <alignment horizontal="center" vertical="center" wrapText="1"/>
    </xf>
    <xf numFmtId="0" fontId="32" fillId="4" borderId="3" xfId="0" applyFont="1" applyFill="1" applyBorder="1" applyAlignment="1">
      <alignment horizontal="center" vertical="center" wrapText="1"/>
    </xf>
    <xf numFmtId="0" fontId="32" fillId="4" borderId="0" xfId="0" applyFont="1" applyFill="1" applyAlignment="1">
      <alignment horizontal="center" vertical="center" wrapText="1"/>
    </xf>
    <xf numFmtId="0" fontId="32" fillId="4" borderId="7" xfId="0" applyFont="1" applyFill="1" applyBorder="1" applyAlignment="1">
      <alignment horizontal="center" vertical="center" wrapText="1"/>
    </xf>
    <xf numFmtId="0" fontId="33" fillId="4" borderId="0" xfId="0" applyFont="1" applyFill="1" applyAlignment="1">
      <alignment horizontal="center" vertical="center" wrapText="1"/>
    </xf>
    <xf numFmtId="0" fontId="4" fillId="4" borderId="11" xfId="0" applyFont="1" applyFill="1" applyBorder="1" applyAlignment="1">
      <alignment horizontal="center" vertical="center" wrapText="1"/>
    </xf>
    <xf numFmtId="0" fontId="4" fillId="4" borderId="0" xfId="0" applyFont="1" applyFill="1" applyAlignment="1">
      <alignment horizontal="center" vertical="center" wrapText="1"/>
    </xf>
    <xf numFmtId="0" fontId="4" fillId="4" borderId="12" xfId="0" applyFont="1" applyFill="1" applyBorder="1" applyAlignment="1">
      <alignment horizontal="center" vertical="center" wrapText="1"/>
    </xf>
    <xf numFmtId="11" fontId="16" fillId="0" borderId="2" xfId="0" applyNumberFormat="1" applyFont="1" applyBorder="1"/>
    <xf numFmtId="11" fontId="34" fillId="0" borderId="2" xfId="0" applyNumberFormat="1" applyFont="1" applyBorder="1"/>
    <xf numFmtId="11" fontId="4" fillId="3" borderId="10" xfId="0" applyNumberFormat="1" applyFont="1" applyFill="1" applyBorder="1"/>
    <xf numFmtId="11" fontId="4" fillId="0" borderId="10" xfId="0" applyNumberFormat="1" applyFont="1" applyBorder="1"/>
    <xf numFmtId="11" fontId="34" fillId="0" borderId="0" xfId="0" applyNumberFormat="1" applyFont="1"/>
    <xf numFmtId="11" fontId="4" fillId="3" borderId="11" xfId="0" applyNumberFormat="1" applyFont="1" applyFill="1" applyBorder="1"/>
    <xf numFmtId="11" fontId="4" fillId="0" borderId="11" xfId="0" applyNumberFormat="1" applyFont="1" applyBorder="1"/>
    <xf numFmtId="11" fontId="16" fillId="0" borderId="5" xfId="0" applyNumberFormat="1" applyFont="1" applyBorder="1"/>
    <xf numFmtId="11" fontId="34" fillId="0" borderId="5" xfId="0" applyNumberFormat="1" applyFont="1" applyBorder="1"/>
    <xf numFmtId="11" fontId="4" fillId="3" borderId="12" xfId="0" applyNumberFormat="1" applyFont="1" applyFill="1" applyBorder="1"/>
    <xf numFmtId="11" fontId="4" fillId="0" borderId="12" xfId="0" applyNumberFormat="1" applyFont="1" applyBorder="1"/>
    <xf numFmtId="11" fontId="4" fillId="0" borderId="3" xfId="0" applyNumberFormat="1" applyFont="1" applyBorder="1" applyAlignment="1">
      <alignment vertical="center"/>
    </xf>
    <xf numFmtId="11" fontId="4" fillId="0" borderId="0" xfId="0" applyNumberFormat="1" applyFont="1" applyAlignment="1">
      <alignment vertical="center"/>
    </xf>
    <xf numFmtId="11" fontId="16" fillId="0" borderId="0" xfId="0" applyNumberFormat="1" applyFont="1" applyAlignment="1">
      <alignment vertical="center"/>
    </xf>
    <xf numFmtId="11" fontId="16" fillId="0" borderId="7" xfId="0" applyNumberFormat="1" applyFont="1" applyBorder="1" applyAlignment="1">
      <alignment vertical="center"/>
    </xf>
    <xf numFmtId="0" fontId="4" fillId="0" borderId="23" xfId="0" applyFont="1" applyBorder="1" applyAlignment="1">
      <alignment horizontal="center" vertical="center"/>
    </xf>
    <xf numFmtId="11" fontId="4" fillId="0" borderId="24" xfId="0" applyNumberFormat="1" applyFont="1" applyBorder="1" applyAlignment="1">
      <alignment vertical="center"/>
    </xf>
    <xf numFmtId="11" fontId="4" fillId="0" borderId="25" xfId="0" applyNumberFormat="1" applyFont="1" applyBorder="1" applyAlignment="1">
      <alignment vertical="center"/>
    </xf>
    <xf numFmtId="11" fontId="4" fillId="0" borderId="25" xfId="0" applyNumberFormat="1" applyFont="1" applyBorder="1"/>
    <xf numFmtId="11" fontId="4" fillId="0" borderId="26" xfId="0" applyNumberFormat="1" applyFont="1" applyBorder="1"/>
    <xf numFmtId="11" fontId="4" fillId="0" borderId="21" xfId="0" applyNumberFormat="1" applyFont="1" applyBorder="1"/>
    <xf numFmtId="0" fontId="4" fillId="0" borderId="21" xfId="0" applyFont="1" applyBorder="1"/>
    <xf numFmtId="11" fontId="4" fillId="0" borderId="1" xfId="0" applyNumberFormat="1" applyFont="1" applyBorder="1" applyAlignment="1">
      <alignment horizontal="center" vertical="center"/>
    </xf>
    <xf numFmtId="11" fontId="4" fillId="0" borderId="2" xfId="0" applyNumberFormat="1" applyFont="1" applyBorder="1" applyAlignment="1">
      <alignment horizontal="center" vertical="center"/>
    </xf>
    <xf numFmtId="11" fontId="4" fillId="0" borderId="6" xfId="0" applyNumberFormat="1" applyFont="1" applyBorder="1" applyAlignment="1">
      <alignment horizontal="center" vertical="center"/>
    </xf>
    <xf numFmtId="11" fontId="4" fillId="0" borderId="3" xfId="0" applyNumberFormat="1" applyFont="1" applyBorder="1" applyAlignment="1">
      <alignment horizontal="center" vertical="center"/>
    </xf>
    <xf numFmtId="11" fontId="4" fillId="0" borderId="7" xfId="0" applyNumberFormat="1" applyFont="1" applyBorder="1" applyAlignment="1">
      <alignment horizontal="center" vertical="center"/>
    </xf>
    <xf numFmtId="11" fontId="4" fillId="0" borderId="4" xfId="0" applyNumberFormat="1" applyFont="1" applyBorder="1" applyAlignment="1">
      <alignment horizontal="center" vertical="center"/>
    </xf>
    <xf numFmtId="11" fontId="4" fillId="0" borderId="5" xfId="0" applyNumberFormat="1" applyFont="1" applyBorder="1" applyAlignment="1">
      <alignment horizontal="center" vertical="center"/>
    </xf>
    <xf numFmtId="11" fontId="4" fillId="0" borderId="8" xfId="0" applyNumberFormat="1" applyFont="1" applyBorder="1" applyAlignment="1">
      <alignment horizontal="center" vertical="center"/>
    </xf>
    <xf numFmtId="11" fontId="16" fillId="0" borderId="1" xfId="0" applyNumberFormat="1" applyFont="1" applyBorder="1"/>
    <xf numFmtId="11" fontId="16" fillId="0" borderId="6" xfId="0" applyNumberFormat="1" applyFont="1" applyBorder="1"/>
    <xf numFmtId="11" fontId="16" fillId="0" borderId="3" xfId="0" applyNumberFormat="1" applyFont="1" applyBorder="1"/>
    <xf numFmtId="11" fontId="16" fillId="0" borderId="7" xfId="0" applyNumberFormat="1" applyFont="1" applyBorder="1"/>
    <xf numFmtId="11" fontId="16" fillId="0" borderId="4" xfId="0" applyNumberFormat="1" applyFont="1" applyBorder="1"/>
    <xf numFmtId="11" fontId="16" fillId="0" borderId="8" xfId="0" applyNumberFormat="1" applyFont="1" applyBorder="1"/>
    <xf numFmtId="0" fontId="4" fillId="3" borderId="0" xfId="0" applyFont="1" applyFill="1" applyAlignment="1">
      <alignment wrapText="1"/>
    </xf>
    <xf numFmtId="0" fontId="4" fillId="3" borderId="0" xfId="0" applyFont="1" applyFill="1" applyAlignment="1">
      <alignment horizontal="center" vertical="center" wrapText="1"/>
    </xf>
    <xf numFmtId="11" fontId="4" fillId="3" borderId="7" xfId="0" applyNumberFormat="1" applyFont="1" applyFill="1" applyBorder="1"/>
    <xf numFmtId="11" fontId="34" fillId="3" borderId="0" xfId="0" applyNumberFormat="1" applyFont="1" applyFill="1"/>
    <xf numFmtId="0" fontId="34" fillId="3" borderId="0" xfId="0" applyFont="1" applyFill="1"/>
    <xf numFmtId="0" fontId="5" fillId="6" borderId="14" xfId="0" applyFont="1" applyFill="1" applyBorder="1" applyAlignment="1">
      <alignment horizontal="center"/>
    </xf>
    <xf numFmtId="0" fontId="4" fillId="3" borderId="11" xfId="0" applyFont="1" applyFill="1" applyBorder="1" applyAlignment="1">
      <alignment horizontal="center" vertical="center" wrapText="1"/>
    </xf>
    <xf numFmtId="0" fontId="4" fillId="11" borderId="34" xfId="0" applyFont="1" applyFill="1" applyBorder="1"/>
    <xf numFmtId="0" fontId="32" fillId="6" borderId="3" xfId="0" applyFont="1" applyFill="1" applyBorder="1" applyAlignment="1">
      <alignment horizontal="center" vertical="center" wrapText="1"/>
    </xf>
    <xf numFmtId="0" fontId="5" fillId="7" borderId="1" xfId="0" applyFont="1" applyFill="1" applyBorder="1" applyAlignment="1">
      <alignment horizontal="center" vertical="center" wrapText="1"/>
    </xf>
    <xf numFmtId="0" fontId="5" fillId="7" borderId="2" xfId="0" applyFont="1" applyFill="1" applyBorder="1" applyAlignment="1">
      <alignment horizontal="center" vertical="center" wrapText="1"/>
    </xf>
    <xf numFmtId="0" fontId="5" fillId="7" borderId="2" xfId="0" applyFont="1" applyFill="1" applyBorder="1" applyAlignment="1">
      <alignment vertical="center" wrapText="1"/>
    </xf>
    <xf numFmtId="0" fontId="5" fillId="7" borderId="6" xfId="0" applyFont="1" applyFill="1" applyBorder="1" applyAlignment="1">
      <alignment vertical="center" wrapText="1"/>
    </xf>
    <xf numFmtId="0" fontId="5" fillId="10" borderId="16" xfId="0" applyFont="1" applyFill="1" applyBorder="1" applyAlignment="1">
      <alignment horizontal="center" vertical="center" wrapText="1"/>
    </xf>
    <xf numFmtId="0" fontId="5" fillId="10" borderId="14" xfId="0" applyFont="1" applyFill="1" applyBorder="1" applyAlignment="1">
      <alignment horizontal="center" vertical="center" wrapText="1"/>
    </xf>
    <xf numFmtId="0" fontId="32" fillId="3" borderId="33" xfId="0" applyFont="1" applyFill="1" applyBorder="1" applyAlignment="1">
      <alignment horizontal="center" vertical="center" wrapText="1"/>
    </xf>
    <xf numFmtId="0" fontId="4" fillId="3" borderId="36" xfId="0" applyFont="1" applyFill="1" applyBorder="1" applyAlignment="1">
      <alignment horizontal="center" vertical="center" wrapText="1"/>
    </xf>
    <xf numFmtId="0" fontId="4" fillId="3" borderId="34" xfId="0" applyFont="1" applyFill="1" applyBorder="1" applyAlignment="1">
      <alignment horizontal="center" vertical="center" wrapText="1"/>
    </xf>
    <xf numFmtId="9" fontId="4" fillId="3" borderId="0" xfId="1" applyFont="1" applyFill="1" applyBorder="1" applyAlignment="1">
      <alignment wrapText="1"/>
    </xf>
    <xf numFmtId="0" fontId="4" fillId="3" borderId="28" xfId="0" applyFont="1" applyFill="1" applyBorder="1"/>
    <xf numFmtId="11" fontId="4" fillId="3" borderId="31" xfId="0" applyNumberFormat="1" applyFont="1" applyFill="1" applyBorder="1"/>
    <xf numFmtId="11" fontId="4" fillId="0" borderId="0" xfId="0" applyNumberFormat="1" applyFont="1" applyAlignment="1">
      <alignment horizontal="center" vertical="center" wrapText="1"/>
    </xf>
    <xf numFmtId="0" fontId="4" fillId="3" borderId="3" xfId="0" applyFont="1" applyFill="1" applyBorder="1" applyAlignment="1">
      <alignment horizontal="left" vertical="top"/>
    </xf>
    <xf numFmtId="0" fontId="4" fillId="3" borderId="0" xfId="0" applyFont="1" applyFill="1" applyAlignment="1">
      <alignment horizontal="left" vertical="top"/>
    </xf>
    <xf numFmtId="0" fontId="4" fillId="3" borderId="29" xfId="0" applyFont="1" applyFill="1" applyBorder="1"/>
    <xf numFmtId="11" fontId="4" fillId="3" borderId="30" xfId="0" applyNumberFormat="1" applyFont="1" applyFill="1" applyBorder="1"/>
    <xf numFmtId="11" fontId="4" fillId="3" borderId="32" xfId="0" applyNumberFormat="1" applyFont="1" applyFill="1" applyBorder="1"/>
    <xf numFmtId="0" fontId="35" fillId="3" borderId="0" xfId="0" applyFont="1" applyFill="1" applyAlignment="1">
      <alignment wrapText="1"/>
    </xf>
    <xf numFmtId="11" fontId="36" fillId="3" borderId="16" xfId="0" applyNumberFormat="1" applyFont="1" applyFill="1" applyBorder="1"/>
    <xf numFmtId="11" fontId="36" fillId="3" borderId="15" xfId="0" applyNumberFormat="1" applyFont="1" applyFill="1" applyBorder="1"/>
    <xf numFmtId="11" fontId="36" fillId="3" borderId="14" xfId="0" applyNumberFormat="1" applyFont="1" applyFill="1" applyBorder="1"/>
    <xf numFmtId="0" fontId="35" fillId="3" borderId="11" xfId="0" applyFont="1" applyFill="1" applyBorder="1" applyAlignment="1">
      <alignment horizontal="center" vertical="center" wrapText="1"/>
    </xf>
    <xf numFmtId="0" fontId="36" fillId="3" borderId="0" xfId="0" applyFont="1" applyFill="1"/>
    <xf numFmtId="11" fontId="4" fillId="3" borderId="37" xfId="0" applyNumberFormat="1" applyFont="1" applyFill="1" applyBorder="1"/>
    <xf numFmtId="11" fontId="4" fillId="0" borderId="37" xfId="0" applyNumberFormat="1" applyFont="1" applyBorder="1"/>
    <xf numFmtId="0" fontId="2" fillId="2" borderId="10" xfId="0" applyFont="1" applyFill="1" applyBorder="1" applyAlignment="1">
      <alignment wrapText="1"/>
    </xf>
    <xf numFmtId="0" fontId="2" fillId="2" borderId="6" xfId="0" applyFont="1" applyFill="1" applyBorder="1"/>
    <xf numFmtId="0" fontId="2" fillId="2" borderId="2" xfId="0" applyFont="1" applyFill="1" applyBorder="1"/>
    <xf numFmtId="0" fontId="2" fillId="2" borderId="1" xfId="0" applyFont="1" applyFill="1" applyBorder="1" applyAlignment="1">
      <alignment horizontal="center" vertical="center" wrapText="1"/>
    </xf>
    <xf numFmtId="0" fontId="5" fillId="4" borderId="9" xfId="0" applyFont="1" applyFill="1" applyBorder="1" applyAlignment="1">
      <alignment horizontal="center" vertical="center" wrapText="1"/>
    </xf>
    <xf numFmtId="0" fontId="5" fillId="4" borderId="14" xfId="0" applyFont="1" applyFill="1" applyBorder="1" applyAlignment="1">
      <alignment horizontal="center" vertical="center" wrapText="1"/>
    </xf>
    <xf numFmtId="0" fontId="5" fillId="4" borderId="15" xfId="0" applyFont="1" applyFill="1" applyBorder="1" applyAlignment="1">
      <alignment horizontal="center" vertical="center"/>
    </xf>
    <xf numFmtId="0" fontId="5" fillId="4" borderId="9" xfId="0" applyFont="1" applyFill="1" applyBorder="1" applyAlignment="1">
      <alignment horizontal="center" vertical="center"/>
    </xf>
    <xf numFmtId="0" fontId="5" fillId="4" borderId="16" xfId="0" applyFont="1" applyFill="1" applyBorder="1" applyAlignment="1">
      <alignment horizontal="center" vertical="center" wrapText="1"/>
    </xf>
    <xf numFmtId="0" fontId="4" fillId="0" borderId="15" xfId="0" applyFont="1" applyBorder="1"/>
    <xf numFmtId="0" fontId="4" fillId="8" borderId="3" xfId="0" applyFont="1" applyFill="1" applyBorder="1" applyAlignment="1">
      <alignment horizontal="center" vertical="center" wrapText="1"/>
    </xf>
    <xf numFmtId="0" fontId="4" fillId="8" borderId="7" xfId="0" applyFont="1" applyFill="1" applyBorder="1" applyAlignment="1">
      <alignment horizontal="center" vertical="center" wrapText="1"/>
    </xf>
    <xf numFmtId="0" fontId="4" fillId="8" borderId="0" xfId="0" applyFont="1" applyFill="1" applyAlignment="1">
      <alignment horizontal="center" vertical="center" wrapText="1"/>
    </xf>
    <xf numFmtId="0" fontId="4" fillId="0" borderId="0" xfId="0" applyFont="1" applyAlignment="1">
      <alignment horizontal="center" vertical="center" wrapText="1"/>
    </xf>
    <xf numFmtId="0" fontId="16" fillId="3" borderId="16" xfId="0" applyFont="1" applyFill="1" applyBorder="1" applyAlignment="1">
      <alignment horizontal="center" vertical="center" wrapText="1"/>
    </xf>
    <xf numFmtId="0" fontId="4" fillId="0" borderId="15" xfId="0" applyFont="1" applyBorder="1" applyAlignment="1">
      <alignment horizontal="center" vertical="center"/>
    </xf>
    <xf numFmtId="0" fontId="4" fillId="0" borderId="15" xfId="0" applyFont="1" applyBorder="1" applyAlignment="1">
      <alignment horizontal="center" vertical="center" wrapText="1"/>
    </xf>
    <xf numFmtId="11" fontId="4" fillId="0" borderId="15" xfId="0" applyNumberFormat="1" applyFont="1" applyBorder="1"/>
    <xf numFmtId="11" fontId="16" fillId="0" borderId="15" xfId="0" applyNumberFormat="1" applyFont="1" applyBorder="1"/>
    <xf numFmtId="11" fontId="34" fillId="0" borderId="15" xfId="0" applyNumberFormat="1" applyFont="1" applyBorder="1"/>
    <xf numFmtId="11" fontId="4" fillId="3" borderId="15" xfId="0" applyNumberFormat="1" applyFont="1" applyFill="1" applyBorder="1"/>
    <xf numFmtId="0" fontId="1" fillId="0" borderId="15" xfId="0" applyFont="1" applyBorder="1"/>
    <xf numFmtId="0" fontId="4" fillId="0" borderId="16" xfId="0" applyFont="1" applyBorder="1" applyAlignment="1">
      <alignment horizontal="center" vertical="center" wrapText="1"/>
    </xf>
    <xf numFmtId="0" fontId="4" fillId="0" borderId="14" xfId="0" applyFont="1" applyBorder="1" applyAlignment="1">
      <alignment horizontal="center" vertical="center" wrapText="1"/>
    </xf>
    <xf numFmtId="0" fontId="4" fillId="8" borderId="9" xfId="0" applyFont="1" applyFill="1" applyBorder="1" applyAlignment="1">
      <alignment horizontal="center" vertical="center" wrapText="1"/>
    </xf>
    <xf numFmtId="0" fontId="4" fillId="0" borderId="9" xfId="0" applyFont="1" applyBorder="1" applyAlignment="1">
      <alignment horizontal="center" vertical="center" wrapText="1"/>
    </xf>
    <xf numFmtId="0" fontId="3" fillId="0" borderId="15" xfId="0" applyFont="1" applyBorder="1"/>
    <xf numFmtId="0" fontId="4" fillId="0" borderId="25" xfId="0" applyFont="1" applyBorder="1"/>
    <xf numFmtId="0" fontId="5" fillId="2" borderId="10" xfId="0" applyFont="1" applyFill="1" applyBorder="1" applyAlignment="1">
      <alignment wrapText="1"/>
    </xf>
    <xf numFmtId="0" fontId="5" fillId="2" borderId="6" xfId="0" applyFont="1" applyFill="1" applyBorder="1"/>
    <xf numFmtId="0" fontId="5" fillId="2" borderId="2" xfId="0" applyFont="1" applyFill="1" applyBorder="1"/>
    <xf numFmtId="0" fontId="5" fillId="2" borderId="10" xfId="0" applyFont="1" applyFill="1" applyBorder="1"/>
    <xf numFmtId="0" fontId="5" fillId="2" borderId="1" xfId="0" applyFont="1" applyFill="1" applyBorder="1" applyAlignment="1">
      <alignment horizontal="center" vertical="center" wrapText="1"/>
    </xf>
    <xf numFmtId="0" fontId="4" fillId="8" borderId="10" xfId="0" applyFont="1" applyFill="1" applyBorder="1" applyAlignment="1">
      <alignment horizontal="center" vertical="center" wrapText="1"/>
    </xf>
    <xf numFmtId="0" fontId="4" fillId="8" borderId="5" xfId="0" applyFont="1" applyFill="1" applyBorder="1" applyAlignment="1">
      <alignment horizontal="center" vertical="center" wrapText="1"/>
    </xf>
    <xf numFmtId="0" fontId="4" fillId="8" borderId="5" xfId="0" applyFont="1" applyFill="1" applyBorder="1" applyAlignment="1">
      <alignment vertical="center" wrapText="1"/>
    </xf>
    <xf numFmtId="0" fontId="4" fillId="8" borderId="8" xfId="0" applyFont="1" applyFill="1" applyBorder="1" applyAlignment="1">
      <alignment horizontal="center" vertical="center" wrapText="1"/>
    </xf>
    <xf numFmtId="0" fontId="32" fillId="0" borderId="9" xfId="0" applyFont="1" applyBorder="1" applyAlignment="1">
      <alignment horizontal="center" vertical="center" wrapText="1"/>
    </xf>
    <xf numFmtId="0" fontId="4" fillId="0" borderId="5" xfId="0" applyFont="1" applyBorder="1" applyAlignment="1">
      <alignment horizontal="center" vertical="center" wrapText="1"/>
    </xf>
    <xf numFmtId="11" fontId="4" fillId="0" borderId="2" xfId="0" applyNumberFormat="1" applyFont="1" applyBorder="1" applyAlignment="1">
      <alignment wrapText="1"/>
    </xf>
    <xf numFmtId="11" fontId="4" fillId="0" borderId="6" xfId="0" applyNumberFormat="1" applyFont="1" applyBorder="1" applyAlignment="1">
      <alignment wrapText="1"/>
    </xf>
    <xf numFmtId="0" fontId="4" fillId="0" borderId="0" xfId="0" applyFont="1" applyAlignment="1">
      <alignment wrapText="1"/>
    </xf>
    <xf numFmtId="0" fontId="4" fillId="0" borderId="9" xfId="0" applyFont="1" applyBorder="1" applyAlignment="1">
      <alignment horizontal="center"/>
    </xf>
    <xf numFmtId="11" fontId="37" fillId="0" borderId="0" xfId="0" applyNumberFormat="1" applyFont="1"/>
    <xf numFmtId="11" fontId="5" fillId="2" borderId="9" xfId="0" applyNumberFormat="1" applyFont="1" applyFill="1" applyBorder="1" applyAlignment="1">
      <alignment wrapText="1"/>
    </xf>
    <xf numFmtId="11" fontId="5" fillId="2" borderId="14" xfId="0" applyNumberFormat="1" applyFont="1" applyFill="1" applyBorder="1"/>
    <xf numFmtId="11" fontId="5" fillId="2" borderId="15" xfId="0" applyNumberFormat="1" applyFont="1" applyFill="1" applyBorder="1"/>
    <xf numFmtId="11" fontId="5" fillId="2" borderId="9" xfId="0" applyNumberFormat="1" applyFont="1" applyFill="1" applyBorder="1"/>
    <xf numFmtId="11" fontId="5" fillId="2" borderId="16" xfId="0" applyNumberFormat="1" applyFont="1" applyFill="1" applyBorder="1" applyAlignment="1">
      <alignment horizontal="center" vertical="center" wrapText="1"/>
    </xf>
    <xf numFmtId="11" fontId="5" fillId="2" borderId="14" xfId="0" applyNumberFormat="1" applyFont="1" applyFill="1" applyBorder="1" applyAlignment="1">
      <alignment horizontal="center"/>
    </xf>
    <xf numFmtId="11" fontId="4" fillId="8" borderId="10" xfId="0" applyNumberFormat="1" applyFont="1" applyFill="1" applyBorder="1" applyAlignment="1">
      <alignment horizontal="center" vertical="center" wrapText="1"/>
    </xf>
    <xf numFmtId="11" fontId="4" fillId="8" borderId="6" xfId="0" applyNumberFormat="1" applyFont="1" applyFill="1" applyBorder="1" applyAlignment="1">
      <alignment horizontal="center" vertical="center" wrapText="1"/>
    </xf>
    <xf numFmtId="11" fontId="4" fillId="8" borderId="2" xfId="0" applyNumberFormat="1" applyFont="1" applyFill="1" applyBorder="1" applyAlignment="1">
      <alignment horizontal="center" vertical="center"/>
    </xf>
    <xf numFmtId="11" fontId="4" fillId="8" borderId="10" xfId="0" applyNumberFormat="1" applyFont="1" applyFill="1" applyBorder="1" applyAlignment="1">
      <alignment horizontal="center" vertical="center"/>
    </xf>
    <xf numFmtId="11" fontId="32" fillId="8" borderId="0" xfId="0" applyNumberFormat="1" applyFont="1" applyFill="1" applyAlignment="1">
      <alignment horizontal="center" vertical="center" wrapText="1"/>
    </xf>
    <xf numFmtId="11" fontId="32" fillId="8" borderId="3" xfId="0" applyNumberFormat="1" applyFont="1" applyFill="1" applyBorder="1" applyAlignment="1">
      <alignment horizontal="center" vertical="center" wrapText="1"/>
    </xf>
    <xf numFmtId="11" fontId="32" fillId="8" borderId="7" xfId="0" applyNumberFormat="1" applyFont="1" applyFill="1" applyBorder="1" applyAlignment="1">
      <alignment horizontal="center" vertical="center" wrapText="1"/>
    </xf>
    <xf numFmtId="11" fontId="37" fillId="0" borderId="1" xfId="0" applyNumberFormat="1" applyFont="1" applyBorder="1"/>
    <xf numFmtId="11" fontId="37" fillId="0" borderId="2" xfId="0" applyNumberFormat="1" applyFont="1" applyBorder="1"/>
    <xf numFmtId="11" fontId="37" fillId="0" borderId="3" xfId="0" applyNumberFormat="1" applyFont="1" applyBorder="1"/>
    <xf numFmtId="11" fontId="37" fillId="0" borderId="4" xfId="0" applyNumberFormat="1" applyFont="1" applyBorder="1"/>
    <xf numFmtId="11" fontId="37" fillId="0" borderId="5" xfId="0" applyNumberFormat="1" applyFont="1" applyBorder="1"/>
    <xf numFmtId="11" fontId="37" fillId="3" borderId="16" xfId="0" applyNumberFormat="1" applyFont="1" applyFill="1" applyBorder="1"/>
    <xf numFmtId="11" fontId="37" fillId="3" borderId="15" xfId="0" applyNumberFormat="1" applyFont="1" applyFill="1" applyBorder="1"/>
    <xf numFmtId="11" fontId="37" fillId="3" borderId="14" xfId="0" applyNumberFormat="1" applyFont="1" applyFill="1" applyBorder="1"/>
    <xf numFmtId="11" fontId="38" fillId="3" borderId="16" xfId="0" applyNumberFormat="1" applyFont="1" applyFill="1" applyBorder="1"/>
    <xf numFmtId="11" fontId="38" fillId="3" borderId="15" xfId="0" applyNumberFormat="1" applyFont="1" applyFill="1" applyBorder="1"/>
    <xf numFmtId="11" fontId="38" fillId="3" borderId="14" xfId="0" applyNumberFormat="1" applyFont="1" applyFill="1" applyBorder="1"/>
    <xf numFmtId="11" fontId="39" fillId="8" borderId="5" xfId="0" applyNumberFormat="1" applyFont="1" applyFill="1" applyBorder="1"/>
    <xf numFmtId="11" fontId="37" fillId="8" borderId="5" xfId="0" applyNumberFormat="1" applyFont="1" applyFill="1" applyBorder="1"/>
    <xf numFmtId="11" fontId="37" fillId="5" borderId="0" xfId="0" applyNumberFormat="1" applyFont="1" applyFill="1"/>
    <xf numFmtId="11" fontId="39" fillId="8" borderId="0" xfId="0" applyNumberFormat="1" applyFont="1" applyFill="1" applyAlignment="1">
      <alignment horizontal="center" vertical="center"/>
    </xf>
    <xf numFmtId="11" fontId="32" fillId="8" borderId="1" xfId="0" applyNumberFormat="1" applyFont="1" applyFill="1" applyBorder="1" applyAlignment="1">
      <alignment horizontal="center" vertical="center" wrapText="1"/>
    </xf>
    <xf numFmtId="11" fontId="32" fillId="8" borderId="2" xfId="0" applyNumberFormat="1" applyFont="1" applyFill="1" applyBorder="1" applyAlignment="1">
      <alignment horizontal="center" vertical="center" wrapText="1"/>
    </xf>
    <xf numFmtId="11" fontId="32" fillId="8" borderId="6" xfId="0" applyNumberFormat="1" applyFont="1" applyFill="1" applyBorder="1" applyAlignment="1">
      <alignment horizontal="center" vertical="center" wrapText="1"/>
    </xf>
    <xf numFmtId="0" fontId="0" fillId="8" borderId="15" xfId="0" applyFill="1" applyBorder="1"/>
    <xf numFmtId="0" fontId="4" fillId="0" borderId="10" xfId="0" applyFont="1" applyBorder="1" applyAlignment="1">
      <alignment vertical="center" wrapText="1"/>
    </xf>
    <xf numFmtId="0" fontId="4" fillId="0" borderId="11" xfId="0" applyFont="1" applyBorder="1" applyAlignment="1">
      <alignment vertical="center" wrapText="1"/>
    </xf>
    <xf numFmtId="0" fontId="4" fillId="0" borderId="12" xfId="0" applyFont="1" applyBorder="1" applyAlignment="1">
      <alignment vertical="center" wrapText="1"/>
    </xf>
    <xf numFmtId="11" fontId="16" fillId="0" borderId="2" xfId="1" applyNumberFormat="1" applyFont="1" applyBorder="1"/>
    <xf numFmtId="11" fontId="16" fillId="0" borderId="0" xfId="1" applyNumberFormat="1" applyFont="1" applyBorder="1"/>
    <xf numFmtId="11" fontId="16" fillId="0" borderId="5" xfId="1" applyNumberFormat="1" applyFont="1" applyBorder="1"/>
    <xf numFmtId="0" fontId="4" fillId="15" borderId="0" xfId="0" applyFont="1" applyFill="1" applyAlignment="1">
      <alignment horizontal="center" vertical="center" wrapText="1"/>
    </xf>
    <xf numFmtId="11" fontId="37" fillId="0" borderId="15" xfId="0" applyNumberFormat="1" applyFont="1" applyBorder="1"/>
    <xf numFmtId="11" fontId="4" fillId="0" borderId="16" xfId="0" applyNumberFormat="1" applyFont="1" applyBorder="1" applyAlignment="1">
      <alignment vertical="center"/>
    </xf>
    <xf numFmtId="11" fontId="4" fillId="0" borderId="15" xfId="0" applyNumberFormat="1" applyFont="1" applyBorder="1" applyAlignment="1">
      <alignment vertical="center"/>
    </xf>
    <xf numFmtId="11" fontId="16" fillId="0" borderId="15" xfId="0" applyNumberFormat="1" applyFont="1" applyBorder="1" applyAlignment="1">
      <alignment vertical="center"/>
    </xf>
    <xf numFmtId="11" fontId="16" fillId="0" borderId="14" xfId="0" applyNumberFormat="1" applyFont="1" applyBorder="1" applyAlignment="1">
      <alignment vertical="center"/>
    </xf>
    <xf numFmtId="0" fontId="4" fillId="0" borderId="8" xfId="0" applyFont="1" applyBorder="1" applyAlignment="1">
      <alignment horizontal="center" vertical="center"/>
    </xf>
    <xf numFmtId="11" fontId="34" fillId="0" borderId="6" xfId="0" applyNumberFormat="1" applyFont="1" applyBorder="1"/>
    <xf numFmtId="11" fontId="34" fillId="0" borderId="7" xfId="0" applyNumberFormat="1" applyFont="1" applyBorder="1"/>
    <xf numFmtId="11" fontId="34" fillId="0" borderId="8" xfId="0" applyNumberFormat="1" applyFont="1" applyBorder="1"/>
    <xf numFmtId="0" fontId="5" fillId="8" borderId="14" xfId="0" applyFont="1" applyFill="1" applyBorder="1" applyAlignment="1">
      <alignment vertical="center" wrapText="1"/>
    </xf>
    <xf numFmtId="0" fontId="6" fillId="8" borderId="15" xfId="0" applyFont="1" applyFill="1" applyBorder="1" applyAlignment="1">
      <alignment vertical="center" wrapText="1"/>
    </xf>
    <xf numFmtId="0" fontId="4" fillId="8" borderId="15" xfId="0" applyFont="1" applyFill="1" applyBorder="1" applyAlignment="1">
      <alignment wrapText="1"/>
    </xf>
    <xf numFmtId="0" fontId="4" fillId="8" borderId="9" xfId="0" applyFont="1" applyFill="1" applyBorder="1" applyAlignment="1">
      <alignment vertical="top" wrapText="1"/>
    </xf>
    <xf numFmtId="0" fontId="6" fillId="8" borderId="16" xfId="0" applyFont="1" applyFill="1" applyBorder="1" applyAlignment="1">
      <alignment vertical="center" wrapText="1"/>
    </xf>
    <xf numFmtId="0" fontId="7" fillId="8" borderId="14" xfId="0" applyFont="1" applyFill="1" applyBorder="1" applyAlignment="1">
      <alignment vertical="center" wrapText="1"/>
    </xf>
    <xf numFmtId="0" fontId="4" fillId="0" borderId="11" xfId="0" applyFont="1" applyBorder="1"/>
    <xf numFmtId="11" fontId="6" fillId="0" borderId="2" xfId="0" applyNumberFormat="1" applyFont="1" applyBorder="1" applyAlignment="1">
      <alignment horizontal="right" vertical="center"/>
    </xf>
    <xf numFmtId="11" fontId="4" fillId="0" borderId="2" xfId="0" applyNumberFormat="1" applyFont="1" applyBorder="1" applyAlignment="1">
      <alignment vertical="top"/>
    </xf>
    <xf numFmtId="11" fontId="6" fillId="0" borderId="1" xfId="0" applyNumberFormat="1" applyFont="1" applyBorder="1" applyAlignment="1">
      <alignment horizontal="right" vertical="center"/>
    </xf>
    <xf numFmtId="11" fontId="7" fillId="0" borderId="6" xfId="0" applyNumberFormat="1" applyFont="1" applyBorder="1" applyAlignment="1">
      <alignment horizontal="right" vertical="center"/>
    </xf>
    <xf numFmtId="11" fontId="6" fillId="0" borderId="0" xfId="0" applyNumberFormat="1" applyFont="1" applyAlignment="1">
      <alignment horizontal="right" vertical="center"/>
    </xf>
    <xf numFmtId="11" fontId="4" fillId="0" borderId="0" xfId="0" applyNumberFormat="1" applyFont="1" applyAlignment="1">
      <alignment vertical="top"/>
    </xf>
    <xf numFmtId="11" fontId="6" fillId="0" borderId="3" xfId="0" applyNumberFormat="1" applyFont="1" applyBorder="1" applyAlignment="1">
      <alignment horizontal="right" vertical="center"/>
    </xf>
    <xf numFmtId="11" fontId="7" fillId="0" borderId="7" xfId="0" applyNumberFormat="1" applyFont="1" applyBorder="1" applyAlignment="1">
      <alignment horizontal="right" vertical="center"/>
    </xf>
    <xf numFmtId="11" fontId="4" fillId="0" borderId="0" xfId="0" applyNumberFormat="1" applyFont="1" applyAlignment="1">
      <alignment horizontal="right" vertical="center"/>
    </xf>
    <xf numFmtId="0" fontId="11" fillId="0" borderId="0" xfId="0" applyFont="1"/>
    <xf numFmtId="3" fontId="11" fillId="0" borderId="0" xfId="0" applyNumberFormat="1" applyFont="1"/>
    <xf numFmtId="0" fontId="12" fillId="0" borderId="0" xfId="0" applyFont="1"/>
    <xf numFmtId="0" fontId="1" fillId="0" borderId="0" xfId="0" applyFont="1" applyAlignment="1">
      <alignment horizontal="center" vertical="center" wrapText="1"/>
    </xf>
    <xf numFmtId="3" fontId="16" fillId="0" borderId="3" xfId="0" applyNumberFormat="1" applyFont="1" applyBorder="1"/>
    <xf numFmtId="0" fontId="1" fillId="4" borderId="15" xfId="0" applyFont="1" applyFill="1" applyBorder="1" applyAlignment="1">
      <alignment horizontal="center" vertical="center" wrapText="1"/>
    </xf>
    <xf numFmtId="49" fontId="10" fillId="8" borderId="16" xfId="0" applyNumberFormat="1" applyFont="1" applyFill="1" applyBorder="1" applyAlignment="1">
      <alignment wrapText="1"/>
    </xf>
    <xf numFmtId="49" fontId="10" fillId="8" borderId="15" xfId="0" applyNumberFormat="1" applyFont="1" applyFill="1" applyBorder="1" applyAlignment="1">
      <alignment wrapText="1"/>
    </xf>
    <xf numFmtId="49" fontId="10" fillId="8" borderId="15" xfId="0" applyNumberFormat="1" applyFont="1" applyFill="1" applyBorder="1" applyAlignment="1">
      <alignment horizontal="center" wrapText="1"/>
    </xf>
    <xf numFmtId="49" fontId="10" fillId="0" borderId="16" xfId="0" applyNumberFormat="1" applyFont="1" applyBorder="1" applyAlignment="1">
      <alignment wrapText="1"/>
    </xf>
    <xf numFmtId="49" fontId="10" fillId="0" borderId="15" xfId="0" applyNumberFormat="1" applyFont="1" applyBorder="1" applyAlignment="1">
      <alignment wrapText="1"/>
    </xf>
    <xf numFmtId="0" fontId="16" fillId="0" borderId="0" xfId="0" applyFont="1" applyAlignment="1">
      <alignment horizontal="center" vertical="center" wrapText="1"/>
    </xf>
    <xf numFmtId="0" fontId="16" fillId="0" borderId="0" xfId="0" applyFont="1" applyAlignment="1">
      <alignment horizontal="center" vertical="center"/>
    </xf>
    <xf numFmtId="0" fontId="16" fillId="3" borderId="0" xfId="0" applyFont="1" applyFill="1" applyAlignment="1">
      <alignment horizontal="center" vertical="center" wrapText="1"/>
    </xf>
    <xf numFmtId="0" fontId="4" fillId="0" borderId="0" xfId="0" applyFont="1" applyAlignment="1">
      <alignment horizontal="center" vertical="center"/>
    </xf>
    <xf numFmtId="0" fontId="4" fillId="0" borderId="10" xfId="0" applyFont="1" applyBorder="1"/>
    <xf numFmtId="0" fontId="4" fillId="0" borderId="12" xfId="0" applyFont="1" applyBorder="1"/>
    <xf numFmtId="0" fontId="34" fillId="0" borderId="1" xfId="0" applyFont="1" applyBorder="1"/>
    <xf numFmtId="0" fontId="1" fillId="0" borderId="2" xfId="0" applyFont="1" applyBorder="1" applyAlignment="1">
      <alignment horizontal="center" vertical="center" wrapText="1"/>
    </xf>
    <xf numFmtId="0" fontId="1" fillId="0" borderId="5" xfId="0" applyFont="1" applyBorder="1" applyAlignment="1">
      <alignment horizontal="center" vertical="center" wrapText="1"/>
    </xf>
    <xf numFmtId="11" fontId="4" fillId="0" borderId="9" xfId="0" applyNumberFormat="1" applyFont="1" applyBorder="1"/>
    <xf numFmtId="49" fontId="11" fillId="0" borderId="1" xfId="0" applyNumberFormat="1" applyFont="1" applyBorder="1"/>
    <xf numFmtId="0" fontId="11" fillId="0" borderId="2" xfId="0" applyFont="1" applyBorder="1"/>
    <xf numFmtId="3" fontId="11" fillId="0" borderId="2" xfId="0" applyNumberFormat="1" applyFont="1" applyBorder="1"/>
    <xf numFmtId="0" fontId="0" fillId="0" borderId="2" xfId="0" applyBorder="1"/>
    <xf numFmtId="49" fontId="11" fillId="0" borderId="3" xfId="0" applyNumberFormat="1" applyFont="1" applyBorder="1"/>
    <xf numFmtId="49" fontId="11" fillId="0" borderId="4" xfId="0" applyNumberFormat="1" applyFont="1" applyBorder="1"/>
    <xf numFmtId="0" fontId="11" fillId="0" borderId="5" xfId="0" applyFont="1" applyBorder="1"/>
    <xf numFmtId="3" fontId="11" fillId="0" borderId="5" xfId="0" applyNumberFormat="1" applyFont="1" applyBorder="1"/>
    <xf numFmtId="0" fontId="3" fillId="8" borderId="15" xfId="0" applyFont="1" applyFill="1" applyBorder="1" applyAlignment="1">
      <alignment horizontal="center" vertical="center" wrapText="1"/>
    </xf>
    <xf numFmtId="0" fontId="3" fillId="3" borderId="9" xfId="0" applyFont="1" applyFill="1" applyBorder="1" applyAlignment="1">
      <alignment horizontal="center" vertical="center" wrapText="1"/>
    </xf>
    <xf numFmtId="11" fontId="4" fillId="0" borderId="0" xfId="0" applyNumberFormat="1" applyFont="1" applyAlignment="1">
      <alignment horizontal="center" vertical="center"/>
    </xf>
    <xf numFmtId="0" fontId="3" fillId="8" borderId="12" xfId="0" applyFont="1" applyFill="1" applyBorder="1"/>
    <xf numFmtId="0" fontId="3" fillId="8" borderId="5" xfId="0" applyFont="1" applyFill="1" applyBorder="1"/>
    <xf numFmtId="0" fontId="3" fillId="0" borderId="11" xfId="0" applyFont="1" applyBorder="1" applyAlignment="1">
      <alignment horizontal="center" vertical="center"/>
    </xf>
    <xf numFmtId="11" fontId="36" fillId="0" borderId="0" xfId="0" applyNumberFormat="1" applyFont="1"/>
    <xf numFmtId="0" fontId="3" fillId="8" borderId="0" xfId="0" applyFont="1" applyFill="1"/>
    <xf numFmtId="0" fontId="3" fillId="0" borderId="16" xfId="0" applyFont="1" applyBorder="1"/>
    <xf numFmtId="0" fontId="3" fillId="0" borderId="14" xfId="0" applyFont="1" applyBorder="1"/>
    <xf numFmtId="0" fontId="3" fillId="8" borderId="1" xfId="0" applyFont="1" applyFill="1" applyBorder="1"/>
    <xf numFmtId="0" fontId="3" fillId="8" borderId="2" xfId="0" applyFont="1" applyFill="1" applyBorder="1"/>
    <xf numFmtId="0" fontId="3" fillId="8" borderId="2" xfId="0" applyFont="1" applyFill="1" applyBorder="1" applyAlignment="1">
      <alignment wrapText="1"/>
    </xf>
    <xf numFmtId="0" fontId="3" fillId="8" borderId="6" xfId="0" applyFont="1" applyFill="1" applyBorder="1" applyAlignment="1">
      <alignment wrapText="1"/>
    </xf>
    <xf numFmtId="0" fontId="3" fillId="15" borderId="3" xfId="0" applyFont="1" applyFill="1" applyBorder="1"/>
    <xf numFmtId="0" fontId="3" fillId="15" borderId="0" xfId="0" applyFont="1" applyFill="1"/>
    <xf numFmtId="0" fontId="3" fillId="15" borderId="7" xfId="0" applyFont="1" applyFill="1" applyBorder="1"/>
    <xf numFmtId="0" fontId="14" fillId="0" borderId="4" xfId="0" applyFont="1" applyBorder="1"/>
    <xf numFmtId="0" fontId="14" fillId="0" borderId="5" xfId="0" applyFont="1" applyBorder="1"/>
    <xf numFmtId="11" fontId="14" fillId="0" borderId="5" xfId="0" applyNumberFormat="1" applyFont="1" applyBorder="1"/>
    <xf numFmtId="11" fontId="14" fillId="0" borderId="8" xfId="0" applyNumberFormat="1" applyFont="1" applyBorder="1"/>
    <xf numFmtId="0" fontId="14" fillId="0" borderId="3" xfId="0" applyFont="1" applyBorder="1"/>
    <xf numFmtId="0" fontId="14" fillId="0" borderId="0" xfId="0" applyFont="1"/>
    <xf numFmtId="11" fontId="14" fillId="0" borderId="0" xfId="0" applyNumberFormat="1" applyFont="1"/>
    <xf numFmtId="11" fontId="14" fillId="0" borderId="7" xfId="0" applyNumberFormat="1" applyFont="1" applyBorder="1"/>
    <xf numFmtId="0" fontId="3" fillId="8" borderId="1" xfId="0" applyFont="1" applyFill="1" applyBorder="1" applyAlignment="1">
      <alignment wrapText="1"/>
    </xf>
    <xf numFmtId="11" fontId="14" fillId="0" borderId="4" xfId="0" applyNumberFormat="1" applyFont="1" applyBorder="1"/>
    <xf numFmtId="0" fontId="3" fillId="8" borderId="3" xfId="0" applyFont="1" applyFill="1" applyBorder="1"/>
    <xf numFmtId="0" fontId="3" fillId="8" borderId="7" xfId="0" applyFont="1" applyFill="1" applyBorder="1"/>
    <xf numFmtId="0" fontId="18" fillId="0" borderId="16" xfId="0" applyFont="1" applyBorder="1"/>
    <xf numFmtId="0" fontId="3" fillId="8" borderId="16" xfId="0" applyFont="1" applyFill="1" applyBorder="1" applyAlignment="1">
      <alignment wrapText="1"/>
    </xf>
    <xf numFmtId="0" fontId="3" fillId="8" borderId="15" xfId="0" applyFont="1" applyFill="1" applyBorder="1" applyAlignment="1">
      <alignment wrapText="1"/>
    </xf>
    <xf numFmtId="0" fontId="3" fillId="8" borderId="14" xfId="0" applyFont="1" applyFill="1" applyBorder="1" applyAlignment="1">
      <alignment wrapText="1"/>
    </xf>
    <xf numFmtId="0" fontId="5" fillId="2" borderId="15" xfId="0" applyFont="1" applyFill="1" applyBorder="1"/>
    <xf numFmtId="0" fontId="4" fillId="0" borderId="0" xfId="0" applyFont="1" applyAlignment="1">
      <alignment vertical="center" wrapText="1"/>
    </xf>
    <xf numFmtId="0" fontId="4" fillId="8" borderId="0" xfId="0" applyFont="1" applyFill="1"/>
    <xf numFmtId="0" fontId="6" fillId="8" borderId="2" xfId="0" applyFont="1" applyFill="1" applyBorder="1" applyAlignment="1">
      <alignment horizontal="center" vertical="center"/>
    </xf>
    <xf numFmtId="0" fontId="6" fillId="8" borderId="5" xfId="0" applyFont="1" applyFill="1" applyBorder="1" applyAlignment="1">
      <alignment horizontal="center" vertical="center"/>
    </xf>
    <xf numFmtId="0" fontId="6" fillId="0" borderId="2" xfId="0" applyFont="1" applyBorder="1" applyAlignment="1">
      <alignment horizontal="center" vertical="center"/>
    </xf>
    <xf numFmtId="0" fontId="6" fillId="0" borderId="6" xfId="0" applyFont="1" applyBorder="1" applyAlignment="1">
      <alignment horizontal="center" vertical="center"/>
    </xf>
    <xf numFmtId="0" fontId="6" fillId="0" borderId="12" xfId="0" applyFont="1" applyBorder="1" applyAlignment="1">
      <alignment horizontal="center" vertical="center"/>
    </xf>
    <xf numFmtId="11" fontId="6" fillId="0" borderId="2" xfId="0" applyNumberFormat="1" applyFont="1" applyBorder="1" applyAlignment="1">
      <alignment horizontal="center" vertical="center"/>
    </xf>
    <xf numFmtId="11" fontId="6" fillId="0" borderId="2" xfId="0" applyNumberFormat="1" applyFont="1" applyBorder="1" applyAlignment="1">
      <alignment horizontal="center" vertical="center" wrapText="1"/>
    </xf>
    <xf numFmtId="11" fontId="6" fillId="0" borderId="6" xfId="0" applyNumberFormat="1" applyFont="1" applyBorder="1" applyAlignment="1">
      <alignment horizontal="center" vertical="center"/>
    </xf>
    <xf numFmtId="11" fontId="6" fillId="0" borderId="0" xfId="0" applyNumberFormat="1" applyFont="1" applyAlignment="1">
      <alignment horizontal="center" vertical="center"/>
    </xf>
    <xf numFmtId="11" fontId="6" fillId="0" borderId="0" xfId="0" applyNumberFormat="1" applyFont="1" applyAlignment="1">
      <alignment horizontal="center" vertical="center" wrapText="1"/>
    </xf>
    <xf numFmtId="11" fontId="6" fillId="0" borderId="7" xfId="0" applyNumberFormat="1" applyFont="1" applyBorder="1" applyAlignment="1">
      <alignment horizontal="center" vertical="center"/>
    </xf>
    <xf numFmtId="11" fontId="4" fillId="0" borderId="7" xfId="0" applyNumberFormat="1" applyFont="1" applyBorder="1" applyAlignment="1">
      <alignment vertical="top"/>
    </xf>
    <xf numFmtId="11" fontId="6" fillId="0" borderId="15" xfId="0" applyNumberFormat="1" applyFont="1" applyBorder="1" applyAlignment="1">
      <alignment horizontal="center" vertical="center"/>
    </xf>
    <xf numFmtId="11" fontId="6" fillId="0" borderId="15" xfId="0" applyNumberFormat="1" applyFont="1" applyBorder="1" applyAlignment="1">
      <alignment horizontal="center" vertical="center" wrapText="1"/>
    </xf>
    <xf numFmtId="11" fontId="6" fillId="0" borderId="14" xfId="0" applyNumberFormat="1" applyFont="1" applyBorder="1" applyAlignment="1">
      <alignment horizontal="center" vertical="center"/>
    </xf>
    <xf numFmtId="0" fontId="6" fillId="0" borderId="1" xfId="0" applyFont="1" applyBorder="1" applyAlignment="1">
      <alignment horizontal="center" vertical="center"/>
    </xf>
    <xf numFmtId="11" fontId="6" fillId="0" borderId="1" xfId="0" applyNumberFormat="1" applyFont="1" applyBorder="1" applyAlignment="1">
      <alignment horizontal="center" vertical="center"/>
    </xf>
    <xf numFmtId="11" fontId="6" fillId="0" borderId="3" xfId="0" applyNumberFormat="1" applyFont="1" applyBorder="1" applyAlignment="1">
      <alignment horizontal="center" vertical="center"/>
    </xf>
    <xf numFmtId="0" fontId="16" fillId="0" borderId="11" xfId="0" applyFont="1" applyBorder="1"/>
    <xf numFmtId="0" fontId="16" fillId="0" borderId="7" xfId="0" applyFont="1" applyBorder="1"/>
    <xf numFmtId="0" fontId="1" fillId="14" borderId="20" xfId="0" applyFont="1" applyFill="1" applyBorder="1"/>
    <xf numFmtId="0" fontId="2" fillId="12" borderId="17" xfId="0" applyFont="1" applyFill="1" applyBorder="1"/>
    <xf numFmtId="0" fontId="2" fillId="14" borderId="17" xfId="0" applyFont="1" applyFill="1" applyBorder="1"/>
    <xf numFmtId="0" fontId="4" fillId="0" borderId="38" xfId="0" applyFont="1" applyBorder="1" applyAlignment="1">
      <alignment horizontal="center" vertical="center" wrapText="1"/>
    </xf>
    <xf numFmtId="11" fontId="4" fillId="0" borderId="1" xfId="0" applyNumberFormat="1" applyFont="1" applyBorder="1" applyAlignment="1">
      <alignment vertical="center"/>
    </xf>
    <xf numFmtId="11" fontId="4" fillId="0" borderId="2" xfId="0" applyNumberFormat="1" applyFont="1" applyBorder="1" applyAlignment="1">
      <alignment vertical="center"/>
    </xf>
    <xf numFmtId="11" fontId="4" fillId="0" borderId="6" xfId="0" applyNumberFormat="1" applyFont="1" applyBorder="1" applyAlignment="1">
      <alignment vertical="center"/>
    </xf>
    <xf numFmtId="11" fontId="4" fillId="0" borderId="7" xfId="0" applyNumberFormat="1" applyFont="1" applyBorder="1" applyAlignment="1">
      <alignment vertical="center"/>
    </xf>
    <xf numFmtId="11" fontId="4" fillId="0" borderId="22" xfId="0" applyNumberFormat="1" applyFont="1" applyBorder="1"/>
    <xf numFmtId="0" fontId="16" fillId="0" borderId="23" xfId="0" applyFont="1" applyBorder="1"/>
    <xf numFmtId="11" fontId="4" fillId="0" borderId="38" xfId="0" applyNumberFormat="1" applyFont="1" applyBorder="1" applyAlignment="1">
      <alignment vertical="center"/>
    </xf>
    <xf numFmtId="11" fontId="4" fillId="0" borderId="21" xfId="0" applyNumberFormat="1" applyFont="1" applyBorder="1" applyAlignment="1">
      <alignment vertical="center"/>
    </xf>
    <xf numFmtId="11" fontId="4" fillId="0" borderId="22" xfId="0" applyNumberFormat="1" applyFont="1" applyBorder="1" applyAlignment="1">
      <alignment vertical="center"/>
    </xf>
    <xf numFmtId="0" fontId="4" fillId="0" borderId="13" xfId="0" applyFont="1" applyBorder="1"/>
    <xf numFmtId="11" fontId="4" fillId="0" borderId="24" xfId="0" applyNumberFormat="1" applyFont="1" applyBorder="1"/>
    <xf numFmtId="0" fontId="4" fillId="0" borderId="26" xfId="0" applyFont="1" applyBorder="1"/>
    <xf numFmtId="11" fontId="4" fillId="0" borderId="26" xfId="0" applyNumberFormat="1" applyFont="1" applyBorder="1" applyAlignment="1">
      <alignment vertical="center"/>
    </xf>
    <xf numFmtId="0" fontId="4" fillId="3" borderId="3" xfId="0" applyFont="1" applyFill="1" applyBorder="1" applyAlignment="1">
      <alignment horizontal="center" vertical="center" wrapText="1"/>
    </xf>
    <xf numFmtId="0" fontId="4" fillId="3" borderId="1" xfId="0" applyFont="1" applyFill="1" applyBorder="1"/>
    <xf numFmtId="0" fontId="4" fillId="3" borderId="2" xfId="0" applyFont="1" applyFill="1" applyBorder="1"/>
    <xf numFmtId="0" fontId="4" fillId="11" borderId="39" xfId="0" applyFont="1" applyFill="1" applyBorder="1"/>
    <xf numFmtId="0" fontId="32" fillId="3" borderId="39" xfId="0" applyFont="1" applyFill="1" applyBorder="1" applyAlignment="1">
      <alignment horizontal="center" vertical="center" wrapText="1"/>
    </xf>
    <xf numFmtId="0" fontId="4" fillId="3" borderId="3" xfId="0" applyFont="1" applyFill="1" applyBorder="1"/>
    <xf numFmtId="0" fontId="4" fillId="3" borderId="40" xfId="0" applyFont="1" applyFill="1" applyBorder="1"/>
    <xf numFmtId="0" fontId="36" fillId="3" borderId="3" xfId="0" applyFont="1" applyFill="1" applyBorder="1"/>
    <xf numFmtId="0" fontId="8" fillId="3" borderId="3" xfId="0" applyFont="1" applyFill="1" applyBorder="1"/>
    <xf numFmtId="0" fontId="8" fillId="3" borderId="4" xfId="0" applyFont="1" applyFill="1" applyBorder="1"/>
    <xf numFmtId="0" fontId="8" fillId="3" borderId="5" xfId="0" applyFont="1" applyFill="1" applyBorder="1"/>
    <xf numFmtId="0" fontId="40" fillId="0" borderId="0" xfId="0" applyFont="1"/>
    <xf numFmtId="0" fontId="13" fillId="0" borderId="0" xfId="2" applyFont="1" applyAlignment="1">
      <alignment vertical="center"/>
    </xf>
    <xf numFmtId="0" fontId="42" fillId="13" borderId="18" xfId="0" applyFont="1" applyFill="1" applyBorder="1"/>
    <xf numFmtId="0" fontId="42" fillId="16" borderId="35" xfId="0" applyFont="1" applyFill="1" applyBorder="1"/>
    <xf numFmtId="0" fontId="42" fillId="0" borderId="35" xfId="0" applyFont="1" applyBorder="1"/>
    <xf numFmtId="0" fontId="3" fillId="0" borderId="3" xfId="0" applyFont="1" applyBorder="1" applyAlignment="1">
      <alignment horizontal="center" vertical="center" wrapText="1"/>
    </xf>
    <xf numFmtId="0" fontId="18" fillId="8" borderId="1" xfId="0" applyFont="1" applyFill="1" applyBorder="1" applyAlignment="1">
      <alignment horizontal="center" vertical="center" wrapText="1"/>
    </xf>
    <xf numFmtId="0" fontId="18" fillId="8" borderId="2" xfId="0" applyFont="1" applyFill="1" applyBorder="1" applyAlignment="1">
      <alignment horizontal="center" vertical="center" wrapText="1"/>
    </xf>
    <xf numFmtId="0" fontId="18" fillId="8" borderId="6" xfId="0" applyFont="1" applyFill="1" applyBorder="1" applyAlignment="1">
      <alignment horizontal="center" vertical="center" wrapText="1"/>
    </xf>
    <xf numFmtId="0" fontId="19" fillId="8" borderId="2" xfId="0" applyFont="1" applyFill="1" applyBorder="1" applyAlignment="1">
      <alignment horizontal="center" vertical="center" wrapText="1"/>
    </xf>
    <xf numFmtId="0" fontId="22" fillId="8" borderId="2" xfId="0" applyFont="1" applyFill="1" applyBorder="1" applyAlignment="1">
      <alignment horizontal="center" vertical="center" wrapText="1"/>
    </xf>
    <xf numFmtId="0" fontId="3" fillId="8" borderId="2" xfId="0" applyFont="1" applyFill="1" applyBorder="1" applyAlignment="1">
      <alignment horizontal="center" vertical="center" wrapText="1"/>
    </xf>
    <xf numFmtId="0" fontId="3" fillId="0" borderId="16"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4" xfId="0" applyFont="1" applyBorder="1" applyAlignment="1">
      <alignment horizontal="center" vertical="center" wrapText="1"/>
    </xf>
    <xf numFmtId="0" fontId="16" fillId="8" borderId="4" xfId="0" applyFont="1" applyFill="1" applyBorder="1" applyAlignment="1">
      <alignment horizontal="left" vertical="top"/>
    </xf>
    <xf numFmtId="0" fontId="4" fillId="8" borderId="5" xfId="0" applyFont="1" applyFill="1" applyBorder="1"/>
    <xf numFmtId="0" fontId="5" fillId="4" borderId="6" xfId="0" applyFont="1" applyFill="1" applyBorder="1" applyAlignment="1">
      <alignment horizontal="center" vertical="center" wrapText="1"/>
    </xf>
    <xf numFmtId="0" fontId="5" fillId="4" borderId="2" xfId="0" applyFont="1" applyFill="1" applyBorder="1" applyAlignment="1">
      <alignment horizontal="center" vertical="center"/>
    </xf>
    <xf numFmtId="0" fontId="5" fillId="4" borderId="10" xfId="0" applyFont="1" applyFill="1" applyBorder="1" applyAlignment="1">
      <alignment horizontal="center" vertical="center"/>
    </xf>
    <xf numFmtId="0" fontId="5" fillId="4" borderId="1" xfId="0" applyFont="1" applyFill="1" applyBorder="1" applyAlignment="1">
      <alignment horizontal="center" vertical="center" wrapText="1"/>
    </xf>
    <xf numFmtId="0" fontId="1" fillId="4" borderId="2" xfId="0" applyFont="1" applyFill="1" applyBorder="1" applyAlignment="1">
      <alignment horizontal="center" vertical="center" wrapText="1"/>
    </xf>
    <xf numFmtId="0" fontId="4" fillId="8" borderId="15" xfId="0" applyFont="1" applyFill="1" applyBorder="1" applyAlignment="1">
      <alignment horizontal="center" vertical="center" wrapText="1"/>
    </xf>
    <xf numFmtId="0" fontId="4" fillId="8" borderId="14" xfId="0" applyFont="1" applyFill="1" applyBorder="1" applyAlignment="1">
      <alignment horizontal="center" vertical="center" wrapText="1"/>
    </xf>
    <xf numFmtId="0" fontId="21" fillId="3" borderId="0" xfId="0" applyFont="1" applyFill="1"/>
    <xf numFmtId="11" fontId="13" fillId="0" borderId="0" xfId="0" applyNumberFormat="1" applyFont="1"/>
    <xf numFmtId="11" fontId="13" fillId="0" borderId="1" xfId="0" applyNumberFormat="1" applyFont="1" applyBorder="1"/>
    <xf numFmtId="11" fontId="13" fillId="0" borderId="2" xfId="0" applyNumberFormat="1" applyFont="1" applyBorder="1"/>
    <xf numFmtId="11" fontId="13" fillId="0" borderId="3" xfId="0" applyNumberFormat="1" applyFont="1" applyBorder="1"/>
    <xf numFmtId="11" fontId="13" fillId="0" borderId="5" xfId="0" applyNumberFormat="1" applyFont="1" applyBorder="1"/>
    <xf numFmtId="11" fontId="34" fillId="0" borderId="25" xfId="0" applyNumberFormat="1" applyFont="1" applyBorder="1"/>
    <xf numFmtId="11" fontId="27" fillId="3" borderId="2" xfId="0" applyNumberFormat="1" applyFont="1" applyFill="1" applyBorder="1" applyAlignment="1">
      <alignment horizontal="center" vertical="center" wrapText="1"/>
    </xf>
    <xf numFmtId="11" fontId="46" fillId="3" borderId="2" xfId="0" applyNumberFormat="1" applyFont="1" applyFill="1" applyBorder="1" applyAlignment="1">
      <alignment horizontal="center" vertical="center" wrapText="1"/>
    </xf>
    <xf numFmtId="11" fontId="29" fillId="3" borderId="2" xfId="0" applyNumberFormat="1" applyFont="1" applyFill="1" applyBorder="1" applyAlignment="1">
      <alignment horizontal="center" vertical="center" wrapText="1"/>
    </xf>
    <xf numFmtId="11" fontId="28" fillId="3" borderId="2" xfId="0" applyNumberFormat="1" applyFont="1" applyFill="1" applyBorder="1" applyAlignment="1">
      <alignment horizontal="center" vertical="center" wrapText="1"/>
    </xf>
    <xf numFmtId="11" fontId="46" fillId="3" borderId="6" xfId="0" applyNumberFormat="1" applyFont="1" applyFill="1" applyBorder="1" applyAlignment="1">
      <alignment horizontal="center" vertical="center" wrapText="1"/>
    </xf>
    <xf numFmtId="9" fontId="46" fillId="3" borderId="21" xfId="1" applyFont="1" applyFill="1" applyBorder="1" applyAlignment="1">
      <alignment horizontal="center" vertical="center" wrapText="1"/>
    </xf>
    <xf numFmtId="9" fontId="46" fillId="3" borderId="22" xfId="1" applyFont="1" applyFill="1" applyBorder="1" applyAlignment="1">
      <alignment horizontal="center" vertical="center" wrapText="1"/>
    </xf>
    <xf numFmtId="0" fontId="0" fillId="8" borderId="0" xfId="0" applyFill="1"/>
    <xf numFmtId="11" fontId="7" fillId="0" borderId="14" xfId="0" applyNumberFormat="1" applyFont="1" applyBorder="1" applyAlignment="1">
      <alignment horizontal="right" vertical="center"/>
    </xf>
    <xf numFmtId="0" fontId="32" fillId="0" borderId="16" xfId="0" applyFont="1" applyBorder="1"/>
    <xf numFmtId="0" fontId="32" fillId="0" borderId="9" xfId="0" applyFont="1" applyBorder="1" applyAlignment="1">
      <alignment vertical="center" wrapText="1"/>
    </xf>
    <xf numFmtId="11" fontId="7" fillId="0" borderId="16" xfId="0" applyNumberFormat="1" applyFont="1" applyBorder="1" applyAlignment="1">
      <alignment horizontal="right" vertical="center"/>
    </xf>
    <xf numFmtId="11" fontId="7" fillId="0" borderId="15" xfId="0" applyNumberFormat="1" applyFont="1" applyBorder="1" applyAlignment="1">
      <alignment horizontal="right" vertical="center"/>
    </xf>
    <xf numFmtId="0" fontId="32" fillId="0" borderId="9" xfId="0" applyFont="1" applyBorder="1"/>
    <xf numFmtId="0" fontId="32" fillId="0" borderId="15" xfId="0" applyFont="1" applyBorder="1"/>
    <xf numFmtId="0" fontId="16" fillId="3" borderId="0" xfId="0" applyFont="1" applyFill="1" applyAlignment="1">
      <alignment horizontal="left" vertical="center" wrapText="1"/>
    </xf>
    <xf numFmtId="0" fontId="4" fillId="0" borderId="11" xfId="0" applyFont="1" applyBorder="1" applyAlignment="1">
      <alignment horizontal="left" vertical="top"/>
    </xf>
    <xf numFmtId="0" fontId="4" fillId="0" borderId="12" xfId="0" applyFont="1" applyBorder="1" applyAlignment="1">
      <alignment horizontal="left" vertical="top"/>
    </xf>
    <xf numFmtId="0" fontId="32" fillId="8" borderId="3" xfId="0" applyFont="1" applyFill="1" applyBorder="1" applyAlignment="1">
      <alignment horizontal="center" vertical="center" wrapText="1"/>
    </xf>
    <xf numFmtId="0" fontId="32" fillId="8" borderId="0" xfId="0" applyFont="1" applyFill="1" applyAlignment="1">
      <alignment horizontal="center" vertical="center" wrapText="1"/>
    </xf>
    <xf numFmtId="0" fontId="5" fillId="4" borderId="10" xfId="0" applyFont="1" applyFill="1" applyBorder="1" applyAlignment="1">
      <alignment horizontal="center" vertical="center" wrapText="1"/>
    </xf>
    <xf numFmtId="11" fontId="37" fillId="0" borderId="16" xfId="0" applyNumberFormat="1" applyFont="1" applyBorder="1" applyAlignment="1">
      <alignment wrapText="1"/>
    </xf>
    <xf numFmtId="11" fontId="37" fillId="0" borderId="14" xfId="0" applyNumberFormat="1" applyFont="1" applyBorder="1" applyAlignment="1">
      <alignment horizontal="center" vertical="center" wrapText="1"/>
    </xf>
    <xf numFmtId="11" fontId="37" fillId="0" borderId="9" xfId="0" applyNumberFormat="1" applyFont="1" applyBorder="1" applyAlignment="1">
      <alignment horizontal="center" vertical="center"/>
    </xf>
    <xf numFmtId="0" fontId="37" fillId="0" borderId="9" xfId="0" applyFont="1" applyBorder="1" applyAlignment="1">
      <alignment horizontal="center" vertical="center" wrapText="1"/>
    </xf>
    <xf numFmtId="11" fontId="37" fillId="0" borderId="9" xfId="0" applyNumberFormat="1" applyFont="1" applyBorder="1" applyAlignment="1">
      <alignment horizontal="left" vertical="center"/>
    </xf>
    <xf numFmtId="0" fontId="3" fillId="11" borderId="3" xfId="0" applyFont="1" applyFill="1" applyBorder="1"/>
    <xf numFmtId="0" fontId="3" fillId="11" borderId="0" xfId="0" applyFont="1" applyFill="1"/>
    <xf numFmtId="11" fontId="3" fillId="11" borderId="0" xfId="0" applyNumberFormat="1" applyFont="1" applyFill="1"/>
    <xf numFmtId="0" fontId="3" fillId="11" borderId="4" xfId="0" applyFont="1" applyFill="1" applyBorder="1"/>
    <xf numFmtId="11" fontId="3" fillId="11" borderId="5" xfId="0" applyNumberFormat="1" applyFont="1" applyFill="1" applyBorder="1"/>
    <xf numFmtId="0" fontId="3" fillId="11" borderId="5" xfId="0" applyFont="1" applyFill="1" applyBorder="1"/>
    <xf numFmtId="11" fontId="4" fillId="0" borderId="18" xfId="0" applyNumberFormat="1" applyFont="1" applyBorder="1"/>
    <xf numFmtId="11" fontId="4" fillId="0" borderId="19" xfId="0" applyNumberFormat="1" applyFont="1" applyBorder="1"/>
    <xf numFmtId="11" fontId="36" fillId="0" borderId="5" xfId="0" applyNumberFormat="1" applyFont="1" applyBorder="1"/>
    <xf numFmtId="11" fontId="4" fillId="0" borderId="44" xfId="0" applyNumberFormat="1" applyFont="1" applyBorder="1"/>
    <xf numFmtId="11" fontId="4" fillId="0" borderId="32" xfId="0" applyNumberFormat="1" applyFont="1" applyBorder="1"/>
    <xf numFmtId="11" fontId="4" fillId="0" borderId="34" xfId="0" applyNumberFormat="1" applyFont="1" applyBorder="1"/>
    <xf numFmtId="11" fontId="4" fillId="0" borderId="45" xfId="0" applyNumberFormat="1" applyFont="1" applyBorder="1"/>
    <xf numFmtId="11" fontId="4" fillId="0" borderId="46" xfId="0" applyNumberFormat="1" applyFont="1" applyBorder="1"/>
    <xf numFmtId="11" fontId="4" fillId="0" borderId="47" xfId="0" applyNumberFormat="1" applyFont="1" applyBorder="1"/>
    <xf numFmtId="11" fontId="4" fillId="0" borderId="48" xfId="0" applyNumberFormat="1" applyFont="1" applyBorder="1"/>
    <xf numFmtId="11" fontId="4" fillId="0" borderId="49" xfId="0" applyNumberFormat="1" applyFont="1" applyBorder="1"/>
    <xf numFmtId="11" fontId="4" fillId="0" borderId="50" xfId="0" applyNumberFormat="1" applyFont="1" applyBorder="1"/>
    <xf numFmtId="11" fontId="4" fillId="0" borderId="51" xfId="0" applyNumberFormat="1" applyFont="1" applyBorder="1"/>
    <xf numFmtId="11" fontId="4" fillId="0" borderId="52" xfId="0" applyNumberFormat="1" applyFont="1" applyBorder="1"/>
    <xf numFmtId="49" fontId="10" fillId="11" borderId="15" xfId="0" applyNumberFormat="1" applyFont="1" applyFill="1" applyBorder="1" applyAlignment="1">
      <alignment wrapText="1"/>
    </xf>
    <xf numFmtId="11" fontId="3" fillId="0" borderId="15" xfId="0" applyNumberFormat="1" applyFont="1" applyBorder="1"/>
    <xf numFmtId="0" fontId="4" fillId="8" borderId="0" xfId="0" applyFont="1" applyFill="1" applyAlignment="1">
      <alignment horizontal="left"/>
    </xf>
    <xf numFmtId="0" fontId="4" fillId="0" borderId="10" xfId="0" applyFont="1" applyBorder="1" applyAlignment="1">
      <alignment horizontal="left" vertical="top"/>
    </xf>
    <xf numFmtId="0" fontId="6" fillId="0" borderId="11" xfId="0" applyFont="1" applyBorder="1" applyAlignment="1">
      <alignment horizontal="left" vertical="center"/>
    </xf>
    <xf numFmtId="0" fontId="6" fillId="0" borderId="9" xfId="0" applyFont="1" applyBorder="1" applyAlignment="1">
      <alignment horizontal="left" vertical="center"/>
    </xf>
    <xf numFmtId="0" fontId="4" fillId="0" borderId="11" xfId="0" applyFont="1" applyBorder="1" applyAlignment="1">
      <alignment horizontal="left"/>
    </xf>
    <xf numFmtId="0" fontId="4" fillId="0" borderId="16" xfId="0" applyFont="1" applyBorder="1" applyAlignment="1">
      <alignment horizontal="left" vertical="center" wrapText="1"/>
    </xf>
    <xf numFmtId="0" fontId="4" fillId="0" borderId="10" xfId="0" applyFont="1" applyBorder="1" applyAlignment="1">
      <alignment horizontal="left"/>
    </xf>
    <xf numFmtId="0" fontId="6" fillId="0" borderId="12" xfId="0" applyFont="1" applyBorder="1" applyAlignment="1">
      <alignment horizontal="left" vertical="center"/>
    </xf>
    <xf numFmtId="0" fontId="47" fillId="0" borderId="0" xfId="0" applyFont="1"/>
    <xf numFmtId="0" fontId="18" fillId="0" borderId="1" xfId="0" applyFont="1" applyBorder="1"/>
    <xf numFmtId="0" fontId="4" fillId="3" borderId="0" xfId="0" applyFont="1" applyFill="1" applyAlignment="1">
      <alignment horizontal="center" vertical="center"/>
    </xf>
    <xf numFmtId="0" fontId="5" fillId="3" borderId="0" xfId="0" applyFont="1" applyFill="1" applyAlignment="1">
      <alignment wrapText="1"/>
    </xf>
    <xf numFmtId="0" fontId="4" fillId="3" borderId="15" xfId="0" applyFont="1" applyFill="1" applyBorder="1" applyAlignment="1">
      <alignment horizontal="center" vertical="center" wrapText="1"/>
    </xf>
    <xf numFmtId="9" fontId="4" fillId="3" borderId="15" xfId="1" applyFont="1" applyFill="1" applyBorder="1" applyAlignment="1">
      <alignment horizontal="center" vertical="center" wrapText="1"/>
    </xf>
    <xf numFmtId="9" fontId="4" fillId="3" borderId="14" xfId="1" applyFont="1" applyFill="1" applyBorder="1" applyAlignment="1">
      <alignment horizontal="center" vertical="center" wrapText="1"/>
    </xf>
    <xf numFmtId="9" fontId="4" fillId="3" borderId="16" xfId="1" applyFont="1" applyFill="1" applyBorder="1" applyAlignment="1">
      <alignment horizontal="center" vertical="center" wrapText="1"/>
    </xf>
    <xf numFmtId="0" fontId="8" fillId="3" borderId="14" xfId="0" applyFont="1" applyFill="1" applyBorder="1"/>
    <xf numFmtId="0" fontId="5" fillId="3" borderId="1" xfId="0" applyFont="1" applyFill="1" applyBorder="1" applyAlignment="1">
      <alignment vertical="top"/>
    </xf>
    <xf numFmtId="0" fontId="5" fillId="3" borderId="3" xfId="0" applyFont="1" applyFill="1" applyBorder="1" applyAlignment="1">
      <alignment vertical="top"/>
    </xf>
    <xf numFmtId="0" fontId="5" fillId="3" borderId="4" xfId="0" applyFont="1" applyFill="1" applyBorder="1" applyAlignment="1">
      <alignment vertical="top"/>
    </xf>
    <xf numFmtId="0" fontId="48" fillId="3" borderId="0" xfId="0" applyFont="1" applyFill="1" applyAlignment="1">
      <alignment horizontal="left" vertical="center" wrapText="1"/>
    </xf>
    <xf numFmtId="11" fontId="5" fillId="3" borderId="16" xfId="0" applyNumberFormat="1" applyFont="1" applyFill="1" applyBorder="1"/>
    <xf numFmtId="11" fontId="48" fillId="3" borderId="0" xfId="0" applyNumberFormat="1" applyFont="1" applyFill="1" applyAlignment="1">
      <alignment horizontal="center" vertical="center" wrapText="1"/>
    </xf>
    <xf numFmtId="11" fontId="1" fillId="3" borderId="0" xfId="0" applyNumberFormat="1" applyFont="1" applyFill="1" applyAlignment="1">
      <alignment horizontal="center" vertical="center" wrapText="1"/>
    </xf>
    <xf numFmtId="0" fontId="4" fillId="3" borderId="2" xfId="0" applyFont="1" applyFill="1" applyBorder="1" applyAlignment="1">
      <alignment vertical="top"/>
    </xf>
    <xf numFmtId="0" fontId="4" fillId="3" borderId="0" xfId="0" applyFont="1" applyFill="1" applyAlignment="1">
      <alignment vertical="top"/>
    </xf>
    <xf numFmtId="0" fontId="4" fillId="3" borderId="5" xfId="0" applyFont="1" applyFill="1" applyBorder="1" applyAlignment="1">
      <alignment vertical="top"/>
    </xf>
    <xf numFmtId="11" fontId="4" fillId="0" borderId="1" xfId="0" applyNumberFormat="1" applyFont="1" applyBorder="1" applyAlignment="1">
      <alignment horizontal="center" vertical="center" wrapText="1"/>
    </xf>
    <xf numFmtId="11" fontId="4" fillId="0" borderId="3" xfId="0" applyNumberFormat="1" applyFont="1" applyBorder="1" applyAlignment="1">
      <alignment horizontal="center" vertical="center" wrapText="1"/>
    </xf>
    <xf numFmtId="11" fontId="4" fillId="0" borderId="4" xfId="0" applyNumberFormat="1" applyFont="1" applyBorder="1" applyAlignment="1">
      <alignment horizontal="center" vertical="center" wrapText="1"/>
    </xf>
    <xf numFmtId="11" fontId="48" fillId="3" borderId="9" xfId="0" applyNumberFormat="1" applyFont="1" applyFill="1" applyBorder="1" applyAlignment="1">
      <alignment horizontal="center" vertical="center" wrapText="1"/>
    </xf>
    <xf numFmtId="11" fontId="48" fillId="3" borderId="12" xfId="0" applyNumberFormat="1" applyFont="1" applyFill="1" applyBorder="1" applyAlignment="1">
      <alignment horizontal="center" vertical="center" wrapText="1"/>
    </xf>
    <xf numFmtId="11" fontId="4" fillId="0" borderId="10" xfId="0" applyNumberFormat="1" applyFont="1" applyBorder="1" applyAlignment="1">
      <alignment horizontal="center" vertical="center" wrapText="1"/>
    </xf>
    <xf numFmtId="11" fontId="4" fillId="0" borderId="11" xfId="0" applyNumberFormat="1" applyFont="1" applyBorder="1" applyAlignment="1">
      <alignment horizontal="center" vertical="center" wrapText="1"/>
    </xf>
    <xf numFmtId="11" fontId="4" fillId="0" borderId="12" xfId="0" applyNumberFormat="1" applyFont="1" applyBorder="1" applyAlignment="1">
      <alignment horizontal="center" vertical="center" wrapText="1"/>
    </xf>
    <xf numFmtId="11" fontId="5" fillId="3" borderId="10" xfId="0" applyNumberFormat="1" applyFont="1" applyFill="1" applyBorder="1"/>
    <xf numFmtId="11" fontId="5" fillId="3" borderId="11" xfId="0" applyNumberFormat="1" applyFont="1" applyFill="1" applyBorder="1"/>
    <xf numFmtId="11" fontId="5" fillId="3" borderId="12" xfId="0" applyNumberFormat="1" applyFont="1" applyFill="1" applyBorder="1"/>
    <xf numFmtId="11" fontId="42" fillId="3" borderId="12" xfId="0" applyNumberFormat="1" applyFont="1" applyFill="1" applyBorder="1" applyAlignment="1">
      <alignment horizontal="right" vertical="center" wrapText="1"/>
    </xf>
    <xf numFmtId="9" fontId="16" fillId="3" borderId="9" xfId="1" applyFont="1" applyFill="1" applyBorder="1" applyAlignment="1">
      <alignment horizontal="right" vertical="center" wrapText="1"/>
    </xf>
    <xf numFmtId="9" fontId="3" fillId="0" borderId="2" xfId="1" applyFont="1" applyBorder="1"/>
    <xf numFmtId="0" fontId="25" fillId="0" borderId="24" xfId="0" applyFont="1" applyBorder="1" applyAlignment="1">
      <alignment horizontal="left" vertical="center" wrapText="1"/>
    </xf>
    <xf numFmtId="0" fontId="25" fillId="0" borderId="25" xfId="0" applyFont="1" applyBorder="1" applyAlignment="1">
      <alignment horizontal="left" vertical="center" wrapText="1"/>
    </xf>
    <xf numFmtId="0" fontId="25" fillId="0" borderId="26" xfId="0" applyFont="1" applyBorder="1" applyAlignment="1">
      <alignment horizontal="left" vertical="center" wrapText="1"/>
    </xf>
    <xf numFmtId="0" fontId="25" fillId="0" borderId="3" xfId="0" applyFont="1" applyBorder="1" applyAlignment="1">
      <alignment horizontal="left" vertical="center" wrapText="1"/>
    </xf>
    <xf numFmtId="0" fontId="25" fillId="0" borderId="0" xfId="0" applyFont="1" applyAlignment="1">
      <alignment horizontal="left" vertical="center" wrapText="1"/>
    </xf>
    <xf numFmtId="0" fontId="25" fillId="0" borderId="7" xfId="0" applyFont="1" applyBorder="1" applyAlignment="1">
      <alignment horizontal="left" vertical="center" wrapText="1"/>
    </xf>
    <xf numFmtId="0" fontId="25" fillId="0" borderId="4" xfId="0" applyFont="1" applyBorder="1" applyAlignment="1">
      <alignment horizontal="left" vertical="center" wrapText="1"/>
    </xf>
    <xf numFmtId="0" fontId="25" fillId="0" borderId="5" xfId="0" applyFont="1" applyBorder="1" applyAlignment="1">
      <alignment horizontal="left" vertical="center" wrapText="1"/>
    </xf>
    <xf numFmtId="0" fontId="25" fillId="0" borderId="8" xfId="0" applyFont="1" applyBorder="1" applyAlignment="1">
      <alignment horizontal="left" vertical="center" wrapText="1"/>
    </xf>
    <xf numFmtId="0" fontId="2" fillId="0" borderId="41" xfId="0" applyFont="1" applyBorder="1" applyAlignment="1">
      <alignment horizontal="left"/>
    </xf>
    <xf numFmtId="0" fontId="2" fillId="0" borderId="42" xfId="0" applyFont="1" applyBorder="1" applyAlignment="1">
      <alignment horizontal="left"/>
    </xf>
    <xf numFmtId="0" fontId="2" fillId="0" borderId="43" xfId="0" applyFont="1" applyBorder="1" applyAlignment="1">
      <alignment horizontal="left"/>
    </xf>
    <xf numFmtId="0" fontId="1" fillId="0" borderId="0" xfId="0" applyFont="1" applyAlignment="1">
      <alignment horizontal="left" wrapText="1"/>
    </xf>
    <xf numFmtId="0" fontId="2" fillId="0" borderId="0" xfId="0" applyFont="1" applyAlignment="1">
      <alignment horizontal="left"/>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4" fillId="3" borderId="35" xfId="0" applyFont="1" applyFill="1" applyBorder="1" applyAlignment="1">
      <alignment horizontal="center" vertical="center" wrapText="1"/>
    </xf>
    <xf numFmtId="0" fontId="4" fillId="3" borderId="29" xfId="0" applyFont="1" applyFill="1" applyBorder="1" applyAlignment="1">
      <alignment horizontal="center" vertical="center" wrapText="1"/>
    </xf>
    <xf numFmtId="0" fontId="4" fillId="3" borderId="25" xfId="0" applyFont="1" applyFill="1" applyBorder="1" applyAlignment="1">
      <alignment horizontal="center" vertical="center" wrapText="1"/>
    </xf>
    <xf numFmtId="0" fontId="4" fillId="3" borderId="30" xfId="0" applyFont="1" applyFill="1" applyBorder="1" applyAlignment="1">
      <alignment horizontal="center" vertical="center" wrapText="1"/>
    </xf>
    <xf numFmtId="0" fontId="4" fillId="3" borderId="3" xfId="0" applyFont="1" applyFill="1" applyBorder="1" applyAlignment="1">
      <alignment horizontal="left" vertical="top"/>
    </xf>
    <xf numFmtId="0" fontId="4" fillId="3" borderId="0" xfId="0" applyFont="1" applyFill="1" applyAlignment="1">
      <alignment horizontal="left" vertical="top"/>
    </xf>
    <xf numFmtId="0" fontId="4" fillId="3" borderId="27" xfId="0" applyFont="1" applyFill="1" applyBorder="1" applyAlignment="1">
      <alignment horizontal="center" vertical="center" wrapText="1"/>
    </xf>
    <xf numFmtId="0" fontId="4" fillId="3" borderId="32" xfId="0" applyFont="1" applyFill="1" applyBorder="1" applyAlignment="1">
      <alignment horizontal="center" vertical="center" wrapText="1"/>
    </xf>
    <xf numFmtId="0" fontId="20" fillId="8" borderId="10" xfId="0" applyFont="1" applyFill="1" applyBorder="1" applyAlignment="1">
      <alignment horizontal="center" vertical="center" wrapText="1"/>
    </xf>
    <xf numFmtId="0" fontId="20" fillId="8" borderId="11" xfId="0" applyFont="1" applyFill="1" applyBorder="1" applyAlignment="1">
      <alignment horizontal="center" vertical="center" wrapText="1"/>
    </xf>
    <xf numFmtId="0" fontId="20" fillId="8" borderId="12" xfId="0" applyFont="1" applyFill="1" applyBorder="1" applyAlignment="1">
      <alignment horizontal="center" vertical="center" wrapText="1"/>
    </xf>
    <xf numFmtId="0" fontId="4" fillId="3" borderId="4" xfId="0" applyFont="1" applyFill="1" applyBorder="1" applyAlignment="1">
      <alignment horizontal="left" vertical="top"/>
    </xf>
    <xf numFmtId="0" fontId="4" fillId="3" borderId="5" xfId="0" applyFont="1" applyFill="1" applyBorder="1" applyAlignment="1">
      <alignment horizontal="left" vertical="top"/>
    </xf>
    <xf numFmtId="0" fontId="45" fillId="3" borderId="1" xfId="0" applyFont="1" applyFill="1" applyBorder="1" applyAlignment="1">
      <alignment horizontal="center" vertical="center" wrapText="1"/>
    </xf>
    <xf numFmtId="0" fontId="45" fillId="3" borderId="6" xfId="0" applyFont="1" applyFill="1" applyBorder="1" applyAlignment="1">
      <alignment horizontal="center" vertical="center" wrapText="1"/>
    </xf>
    <xf numFmtId="0" fontId="44" fillId="3" borderId="38" xfId="0" applyFont="1" applyFill="1" applyBorder="1" applyAlignment="1">
      <alignment horizontal="center" vertical="center" wrapText="1"/>
    </xf>
    <xf numFmtId="0" fontId="44" fillId="3" borderId="22" xfId="0" applyFont="1" applyFill="1" applyBorder="1" applyAlignment="1">
      <alignment horizontal="center" vertical="center" wrapText="1"/>
    </xf>
    <xf numFmtId="0" fontId="36" fillId="3" borderId="16" xfId="0" applyFont="1" applyFill="1" applyBorder="1" applyAlignment="1">
      <alignment horizontal="center"/>
    </xf>
    <xf numFmtId="0" fontId="36" fillId="3" borderId="15" xfId="0" applyFont="1" applyFill="1" applyBorder="1" applyAlignment="1">
      <alignment horizontal="center"/>
    </xf>
    <xf numFmtId="0" fontId="36" fillId="3" borderId="14" xfId="0" applyFont="1" applyFill="1" applyBorder="1" applyAlignment="1">
      <alignment horizontal="center"/>
    </xf>
    <xf numFmtId="0" fontId="8" fillId="8" borderId="16" xfId="0" applyFont="1" applyFill="1" applyBorder="1" applyAlignment="1">
      <alignment horizontal="center" wrapText="1"/>
    </xf>
    <xf numFmtId="0" fontId="8" fillId="8" borderId="15" xfId="0" applyFont="1" applyFill="1" applyBorder="1" applyAlignment="1">
      <alignment horizontal="center" wrapText="1"/>
    </xf>
    <xf numFmtId="0" fontId="16" fillId="3" borderId="10" xfId="0" applyFont="1" applyFill="1" applyBorder="1" applyAlignment="1">
      <alignment horizontal="center" vertical="center" wrapText="1"/>
    </xf>
    <xf numFmtId="0" fontId="16" fillId="3" borderId="11" xfId="0" applyFont="1" applyFill="1" applyBorder="1" applyAlignment="1">
      <alignment horizontal="center" vertical="center" wrapText="1"/>
    </xf>
    <xf numFmtId="0" fontId="16" fillId="3" borderId="12" xfId="0" applyFont="1" applyFill="1" applyBorder="1" applyAlignment="1">
      <alignment horizontal="center" vertical="center" wrapText="1"/>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16" fillId="0" borderId="10" xfId="0" applyFont="1" applyBorder="1" applyAlignment="1">
      <alignment horizontal="center" vertical="center" wrapText="1"/>
    </xf>
    <xf numFmtId="0" fontId="16" fillId="0" borderId="11" xfId="0" applyFont="1" applyBorder="1" applyAlignment="1">
      <alignment horizontal="center" vertical="center" wrapText="1"/>
    </xf>
    <xf numFmtId="0" fontId="16" fillId="0" borderId="12" xfId="0" applyFont="1" applyBorder="1" applyAlignment="1">
      <alignment horizontal="center" vertical="center" wrapText="1"/>
    </xf>
    <xf numFmtId="0" fontId="16" fillId="0" borderId="10" xfId="0" applyFont="1" applyBorder="1" applyAlignment="1">
      <alignment horizontal="center" vertical="center"/>
    </xf>
    <xf numFmtId="0" fontId="16" fillId="0" borderId="11" xfId="0" applyFont="1" applyBorder="1" applyAlignment="1">
      <alignment horizontal="center" vertical="center"/>
    </xf>
    <xf numFmtId="0" fontId="16" fillId="0" borderId="12" xfId="0" applyFont="1" applyBorder="1" applyAlignment="1">
      <alignment horizontal="center" vertical="center"/>
    </xf>
    <xf numFmtId="0" fontId="4" fillId="0" borderId="1"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13" xfId="0" applyFont="1" applyBorder="1" applyAlignment="1">
      <alignment horizontal="center" vertical="center"/>
    </xf>
    <xf numFmtId="0" fontId="4" fillId="0" borderId="24"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7" borderId="1" xfId="0" applyFont="1" applyFill="1" applyBorder="1" applyAlignment="1">
      <alignment horizontal="left" vertical="top"/>
    </xf>
    <xf numFmtId="0" fontId="4" fillId="7" borderId="2" xfId="0" applyFont="1" applyFill="1" applyBorder="1" applyAlignment="1">
      <alignment horizontal="left" vertical="top"/>
    </xf>
    <xf numFmtId="0" fontId="2" fillId="2" borderId="16" xfId="0" applyFont="1" applyFill="1" applyBorder="1" applyAlignment="1">
      <alignment horizontal="center"/>
    </xf>
    <xf numFmtId="0" fontId="2" fillId="2" borderId="15" xfId="0" applyFont="1" applyFill="1" applyBorder="1" applyAlignment="1">
      <alignment horizontal="center"/>
    </xf>
    <xf numFmtId="0" fontId="2" fillId="2" borderId="14" xfId="0" applyFont="1" applyFill="1" applyBorder="1" applyAlignment="1">
      <alignment horizontal="center"/>
    </xf>
    <xf numFmtId="0" fontId="5" fillId="6" borderId="16" xfId="0" applyFont="1" applyFill="1" applyBorder="1" applyAlignment="1">
      <alignment horizontal="center"/>
    </xf>
    <xf numFmtId="0" fontId="5" fillId="6" borderId="15" xfId="0" applyFont="1" applyFill="1" applyBorder="1" applyAlignment="1">
      <alignment horizontal="center"/>
    </xf>
    <xf numFmtId="0" fontId="5" fillId="6" borderId="14" xfId="0" applyFont="1" applyFill="1" applyBorder="1" applyAlignment="1">
      <alignment horizontal="center"/>
    </xf>
    <xf numFmtId="0" fontId="4" fillId="3" borderId="1" xfId="0" applyFont="1" applyFill="1" applyBorder="1" applyAlignment="1">
      <alignment horizontal="left" vertical="top"/>
    </xf>
    <xf numFmtId="0" fontId="4" fillId="3" borderId="2" xfId="0" applyFont="1" applyFill="1" applyBorder="1" applyAlignment="1">
      <alignment horizontal="left" vertical="top"/>
    </xf>
    <xf numFmtId="0" fontId="8" fillId="17" borderId="16" xfId="0" applyFont="1" applyFill="1" applyBorder="1" applyAlignment="1">
      <alignment horizontal="center" wrapText="1"/>
    </xf>
    <xf numFmtId="0" fontId="8" fillId="17" borderId="15" xfId="0" applyFont="1" applyFill="1" applyBorder="1" applyAlignment="1">
      <alignment horizontal="center" wrapText="1"/>
    </xf>
    <xf numFmtId="0" fontId="20" fillId="17" borderId="10" xfId="0" applyFont="1" applyFill="1" applyBorder="1" applyAlignment="1">
      <alignment horizontal="center" vertical="center" wrapText="1"/>
    </xf>
    <xf numFmtId="0" fontId="20" fillId="17" borderId="11" xfId="0" applyFont="1" applyFill="1" applyBorder="1" applyAlignment="1">
      <alignment horizontal="center" vertical="center" wrapText="1"/>
    </xf>
    <xf numFmtId="0" fontId="20" fillId="17" borderId="12" xfId="0" applyFont="1" applyFill="1" applyBorder="1" applyAlignment="1">
      <alignment horizontal="center" vertical="center" wrapText="1"/>
    </xf>
    <xf numFmtId="0" fontId="2" fillId="2" borderId="1" xfId="0" applyFont="1" applyFill="1" applyBorder="1" applyAlignment="1">
      <alignment horizontal="center"/>
    </xf>
    <xf numFmtId="0" fontId="2" fillId="2" borderId="2" xfId="0" applyFont="1" applyFill="1" applyBorder="1" applyAlignment="1">
      <alignment horizontal="center"/>
    </xf>
    <xf numFmtId="0" fontId="2" fillId="2" borderId="6" xfId="0" applyFont="1" applyFill="1" applyBorder="1" applyAlignment="1">
      <alignment horizontal="center"/>
    </xf>
    <xf numFmtId="0" fontId="5" fillId="2" borderId="1" xfId="0" applyFont="1" applyFill="1" applyBorder="1" applyAlignment="1">
      <alignment horizontal="center"/>
    </xf>
    <xf numFmtId="0" fontId="5" fillId="2" borderId="2" xfId="0" applyFont="1" applyFill="1" applyBorder="1" applyAlignment="1">
      <alignment horizontal="center"/>
    </xf>
    <xf numFmtId="0" fontId="5" fillId="2" borderId="6" xfId="0" applyFont="1" applyFill="1" applyBorder="1" applyAlignment="1">
      <alignment horizontal="center"/>
    </xf>
    <xf numFmtId="11" fontId="5" fillId="2" borderId="16" xfId="0" applyNumberFormat="1" applyFont="1" applyFill="1" applyBorder="1" applyAlignment="1">
      <alignment horizontal="center"/>
    </xf>
    <xf numFmtId="11" fontId="5" fillId="2" borderId="15" xfId="0" applyNumberFormat="1" applyFont="1" applyFill="1" applyBorder="1" applyAlignment="1">
      <alignment horizontal="center"/>
    </xf>
    <xf numFmtId="11" fontId="5" fillId="2" borderId="14" xfId="0" applyNumberFormat="1" applyFont="1" applyFill="1" applyBorder="1" applyAlignment="1">
      <alignment horizontal="center"/>
    </xf>
    <xf numFmtId="11" fontId="16" fillId="3" borderId="10" xfId="0" applyNumberFormat="1" applyFont="1" applyFill="1" applyBorder="1" applyAlignment="1">
      <alignment horizontal="center" vertical="center" wrapText="1"/>
    </xf>
    <xf numFmtId="11" fontId="16" fillId="3" borderId="11" xfId="0" applyNumberFormat="1" applyFont="1" applyFill="1" applyBorder="1" applyAlignment="1">
      <alignment horizontal="center" vertical="center" wrapText="1"/>
    </xf>
    <xf numFmtId="11" fontId="16" fillId="3" borderId="12" xfId="0" applyNumberFormat="1" applyFont="1" applyFill="1" applyBorder="1" applyAlignment="1">
      <alignment horizontal="center" vertical="center" wrapText="1"/>
    </xf>
    <xf numFmtId="11" fontId="37" fillId="0" borderId="10" xfId="0" applyNumberFormat="1" applyFont="1" applyBorder="1" applyAlignment="1">
      <alignment horizontal="center" vertical="center" wrapText="1"/>
    </xf>
    <xf numFmtId="11" fontId="37" fillId="0" borderId="11" xfId="0" applyNumberFormat="1" applyFont="1" applyBorder="1" applyAlignment="1">
      <alignment horizontal="center" vertical="center" wrapText="1"/>
    </xf>
    <xf numFmtId="11" fontId="37" fillId="0" borderId="12" xfId="0" applyNumberFormat="1" applyFont="1" applyBorder="1" applyAlignment="1">
      <alignment horizontal="center" vertical="center" wrapText="1"/>
    </xf>
    <xf numFmtId="11" fontId="37" fillId="0" borderId="2" xfId="0" applyNumberFormat="1" applyFont="1" applyBorder="1" applyAlignment="1">
      <alignment horizontal="center" vertical="center"/>
    </xf>
    <xf numFmtId="11" fontId="37" fillId="0" borderId="0" xfId="0" applyNumberFormat="1" applyFont="1" applyAlignment="1">
      <alignment horizontal="center" vertical="center"/>
    </xf>
    <xf numFmtId="11" fontId="37" fillId="0" borderId="5" xfId="0" applyNumberFormat="1" applyFont="1" applyBorder="1" applyAlignment="1">
      <alignment horizontal="center" vertical="center"/>
    </xf>
    <xf numFmtId="0" fontId="37" fillId="0" borderId="2" xfId="0" applyFont="1" applyBorder="1" applyAlignment="1">
      <alignment horizontal="center" vertical="center"/>
    </xf>
    <xf numFmtId="0" fontId="37" fillId="0" borderId="0" xfId="0" applyFont="1" applyAlignment="1">
      <alignment horizontal="center" vertical="center"/>
    </xf>
    <xf numFmtId="0" fontId="37" fillId="0" borderId="5" xfId="0" applyFont="1" applyBorder="1" applyAlignment="1">
      <alignment horizontal="center" vertical="center"/>
    </xf>
    <xf numFmtId="11" fontId="37" fillId="0" borderId="2" xfId="0" applyNumberFormat="1" applyFont="1" applyBorder="1" applyAlignment="1">
      <alignment horizontal="center" vertical="center" wrapText="1"/>
    </xf>
    <xf numFmtId="11" fontId="37" fillId="0" borderId="0" xfId="0" applyNumberFormat="1" applyFont="1" applyAlignment="1">
      <alignment horizontal="center" vertical="center" wrapText="1"/>
    </xf>
    <xf numFmtId="11" fontId="37" fillId="0" borderId="5" xfId="0" applyNumberFormat="1" applyFont="1" applyBorder="1" applyAlignment="1">
      <alignment horizontal="center" vertical="center" wrapText="1"/>
    </xf>
    <xf numFmtId="0" fontId="3" fillId="0" borderId="12" xfId="0" applyFont="1" applyBorder="1" applyAlignment="1">
      <alignment horizontal="center" vertical="center"/>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16" fillId="3" borderId="10" xfId="0" applyFont="1" applyFill="1" applyBorder="1" applyAlignment="1">
      <alignment horizontal="left" vertical="center" wrapText="1"/>
    </xf>
    <xf numFmtId="0" fontId="16" fillId="3" borderId="11" xfId="0" applyFont="1" applyFill="1" applyBorder="1" applyAlignment="1">
      <alignment horizontal="left" vertical="center" wrapText="1"/>
    </xf>
    <xf numFmtId="0" fontId="16" fillId="3" borderId="12" xfId="0" applyFont="1" applyFill="1" applyBorder="1" applyAlignment="1">
      <alignment horizontal="left" vertical="center" wrapText="1"/>
    </xf>
    <xf numFmtId="0" fontId="6" fillId="8" borderId="2" xfId="0" applyFont="1" applyFill="1" applyBorder="1" applyAlignment="1">
      <alignment horizontal="center" vertical="center"/>
    </xf>
    <xf numFmtId="0" fontId="6" fillId="8" borderId="5" xfId="0" applyFont="1" applyFill="1" applyBorder="1" applyAlignment="1">
      <alignment horizontal="center" vertical="center"/>
    </xf>
    <xf numFmtId="0" fontId="6" fillId="8" borderId="2" xfId="0" applyFont="1" applyFill="1" applyBorder="1" applyAlignment="1">
      <alignment horizontal="center" vertical="center" wrapText="1"/>
    </xf>
    <xf numFmtId="0" fontId="6" fillId="8" borderId="5" xfId="0" applyFont="1" applyFill="1" applyBorder="1" applyAlignment="1">
      <alignment horizontal="center" vertical="center" wrapText="1"/>
    </xf>
    <xf numFmtId="0" fontId="6" fillId="8" borderId="6" xfId="0" applyFont="1" applyFill="1" applyBorder="1" applyAlignment="1">
      <alignment horizontal="center" vertical="center"/>
    </xf>
    <xf numFmtId="0" fontId="6" fillId="8" borderId="8" xfId="0" applyFont="1" applyFill="1" applyBorder="1" applyAlignment="1">
      <alignment horizontal="center" vertical="center"/>
    </xf>
    <xf numFmtId="0" fontId="4" fillId="0" borderId="1" xfId="0" applyFont="1" applyBorder="1" applyAlignment="1">
      <alignment horizontal="left" vertical="top"/>
    </xf>
    <xf numFmtId="0" fontId="4" fillId="0" borderId="4" xfId="0" applyFont="1" applyBorder="1" applyAlignment="1">
      <alignment horizontal="left" vertical="top"/>
    </xf>
    <xf numFmtId="0" fontId="4" fillId="0" borderId="2" xfId="0" applyFont="1" applyBorder="1" applyAlignment="1">
      <alignment horizontal="center" vertical="center"/>
    </xf>
    <xf numFmtId="0" fontId="4" fillId="0" borderId="0" xfId="0" applyFont="1" applyAlignment="1">
      <alignment horizontal="center" vertical="center"/>
    </xf>
    <xf numFmtId="0" fontId="4" fillId="0" borderId="5" xfId="0" applyFont="1" applyBorder="1" applyAlignment="1">
      <alignment horizontal="center" vertical="center"/>
    </xf>
    <xf numFmtId="0" fontId="16" fillId="3" borderId="1" xfId="0" applyFont="1" applyFill="1" applyBorder="1" applyAlignment="1">
      <alignment horizontal="center" vertical="center" wrapText="1"/>
    </xf>
    <xf numFmtId="0" fontId="16" fillId="3" borderId="3" xfId="0" applyFont="1" applyFill="1" applyBorder="1" applyAlignment="1">
      <alignment horizontal="center" vertical="center" wrapText="1"/>
    </xf>
    <xf numFmtId="0" fontId="16" fillId="3" borderId="4" xfId="0" applyFont="1" applyFill="1" applyBorder="1" applyAlignment="1">
      <alignment horizontal="center" vertical="center" wrapText="1"/>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15" borderId="10" xfId="0" applyFont="1" applyFill="1" applyBorder="1" applyAlignment="1">
      <alignment horizontal="center" vertical="center" wrapText="1"/>
    </xf>
    <xf numFmtId="0" fontId="4" fillId="15" borderId="11" xfId="0" applyFont="1" applyFill="1" applyBorder="1" applyAlignment="1">
      <alignment horizontal="center" vertical="center" wrapText="1"/>
    </xf>
    <xf numFmtId="0" fontId="4" fillId="15" borderId="12" xfId="0" applyFont="1" applyFill="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3" fillId="0" borderId="2" xfId="0" applyFont="1" applyBorder="1" applyAlignment="1">
      <alignment horizontal="center" vertical="center"/>
    </xf>
    <xf numFmtId="0" fontId="3" fillId="0" borderId="0" xfId="0" applyFont="1" applyAlignment="1">
      <alignment horizontal="center" vertical="center"/>
    </xf>
    <xf numFmtId="0" fontId="3" fillId="0" borderId="5" xfId="0" applyFont="1" applyBorder="1" applyAlignment="1">
      <alignment horizontal="center" vertical="center"/>
    </xf>
  </cellXfs>
  <cellStyles count="3">
    <cellStyle name="Hyperlink" xfId="2" builtinId="8"/>
    <cellStyle name="Normal" xfId="0" builtinId="0"/>
    <cellStyle name="Percent" xfId="1" builtinId="5"/>
  </cellStyles>
  <dxfs count="0"/>
  <tableStyles count="0" defaultTableStyle="TableStyleMedium2" defaultPivotStyle="PivotStyleLight16"/>
  <colors>
    <mruColors>
      <color rgb="FF9BBFB7"/>
      <color rgb="FFFFA7AB"/>
      <color rgb="FFE3E385"/>
      <color rgb="FF5D95C7"/>
      <color rgb="FF9F70C2"/>
      <color rgb="FF4D9782"/>
      <color rgb="FFFF7F51"/>
      <color rgb="FF8C386A"/>
      <color rgb="FFE6549D"/>
      <color rgb="FF00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onnections" Target="connections.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_rels/chart3.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4.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5.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8.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12.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13.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14.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000" b="1"/>
              <a:t>In-use stocks of CRM per sector,</a:t>
            </a:r>
            <a:r>
              <a:rPr lang="en-US" sz="1000" b="1" baseline="0"/>
              <a:t> the Netherlands, ca. 2020</a:t>
            </a:r>
            <a:endParaRPr lang="en-US" sz="1000" b="1"/>
          </a:p>
        </c:rich>
      </c:tx>
      <c:layout>
        <c:manualLayout>
          <c:xMode val="edge"/>
          <c:yMode val="edge"/>
          <c:x val="0.10860398001399416"/>
          <c:y val="3.505842553431348E-2"/>
        </c:manualLayout>
      </c:layout>
      <c:overlay val="0"/>
    </c:title>
    <c:autoTitleDeleted val="0"/>
    <c:plotArea>
      <c:layout>
        <c:manualLayout>
          <c:layoutTarget val="inner"/>
          <c:xMode val="edge"/>
          <c:yMode val="edge"/>
          <c:x val="0.11749484231895468"/>
          <c:y val="4.8770915637141699E-2"/>
          <c:w val="0.26363873169961255"/>
          <c:h val="0.60708882884768078"/>
        </c:manualLayout>
      </c:layout>
      <c:barChart>
        <c:barDir val="col"/>
        <c:grouping val="stacked"/>
        <c:varyColors val="0"/>
        <c:ser>
          <c:idx val="0"/>
          <c:order val="0"/>
          <c:tx>
            <c:strRef>
              <c:f>'1.'!$AD$90</c:f>
              <c:strCache>
                <c:ptCount val="1"/>
                <c:pt idx="0">
                  <c:v>Nd</c:v>
                </c:pt>
              </c:strCache>
            </c:strRef>
          </c:tx>
          <c:spPr>
            <a:solidFill>
              <a:schemeClr val="accent2">
                <a:lumMod val="50000"/>
              </a:schemeClr>
            </a:solidFill>
            <a:ln>
              <a:noFill/>
            </a:ln>
            <a:effectLst/>
          </c:spPr>
          <c:invertIfNegative val="0"/>
          <c:cat>
            <c:strRef>
              <c:f>'1.'!$C$91:$E$99</c:f>
              <c:strCache>
                <c:ptCount val="9"/>
                <c:pt idx="0">
                  <c:v>Buildings</c:v>
                </c:pt>
                <c:pt idx="1">
                  <c:v>Road, rail and waterways infrastructure</c:v>
                </c:pt>
                <c:pt idx="2">
                  <c:v>Energy system</c:v>
                </c:pt>
                <c:pt idx="3">
                  <c:v>Drinking and sewage water infrastructure</c:v>
                </c:pt>
                <c:pt idx="4">
                  <c:v>Vehicles</c:v>
                </c:pt>
                <c:pt idx="5">
                  <c:v>Machinery</c:v>
                </c:pt>
                <c:pt idx="6">
                  <c:v>Textiles</c:v>
                </c:pt>
                <c:pt idx="7">
                  <c:v>Consumer electronics</c:v>
                </c:pt>
                <c:pt idx="8">
                  <c:v>Other consumer goods</c:v>
                </c:pt>
              </c:strCache>
            </c:strRef>
          </c:cat>
          <c:val>
            <c:numRef>
              <c:f>'1.'!$AD$91:$AD$99</c:f>
              <c:numCache>
                <c:formatCode>0.00E+00</c:formatCode>
                <c:ptCount val="9"/>
                <c:pt idx="0">
                  <c:v>0</c:v>
                </c:pt>
                <c:pt idx="1">
                  <c:v>0</c:v>
                </c:pt>
                <c:pt idx="2">
                  <c:v>91.514654522221321</c:v>
                </c:pt>
                <c:pt idx="3">
                  <c:v>0</c:v>
                </c:pt>
                <c:pt idx="4">
                  <c:v>0.10800384</c:v>
                </c:pt>
                <c:pt idx="5">
                  <c:v>5.0330780125828882</c:v>
                </c:pt>
                <c:pt idx="6">
                  <c:v>0</c:v>
                </c:pt>
                <c:pt idx="7">
                  <c:v>39</c:v>
                </c:pt>
                <c:pt idx="8">
                  <c:v>8.8032534336909697E-6</c:v>
                </c:pt>
              </c:numCache>
            </c:numRef>
          </c:val>
          <c:extLst>
            <c:ext xmlns:c16="http://schemas.microsoft.com/office/drawing/2014/chart" uri="{C3380CC4-5D6E-409C-BE32-E72D297353CC}">
              <c16:uniqueId val="{0000001E-534D-4279-BBFF-3FAA84B709C2}"/>
            </c:ext>
          </c:extLst>
        </c:ser>
        <c:ser>
          <c:idx val="1"/>
          <c:order val="1"/>
          <c:tx>
            <c:strRef>
              <c:f>'1.'!$AE$90</c:f>
              <c:strCache>
                <c:ptCount val="1"/>
                <c:pt idx="0">
                  <c:v>Dy</c:v>
                </c:pt>
              </c:strCache>
            </c:strRef>
          </c:tx>
          <c:spPr>
            <a:solidFill>
              <a:schemeClr val="accent4">
                <a:lumMod val="60000"/>
                <a:lumOff val="40000"/>
              </a:schemeClr>
            </a:solidFill>
            <a:ln>
              <a:noFill/>
            </a:ln>
            <a:effectLst/>
          </c:spPr>
          <c:invertIfNegative val="0"/>
          <c:cat>
            <c:strRef>
              <c:f>'1.'!$C$91:$E$99</c:f>
              <c:strCache>
                <c:ptCount val="9"/>
                <c:pt idx="0">
                  <c:v>Buildings</c:v>
                </c:pt>
                <c:pt idx="1">
                  <c:v>Road, rail and waterways infrastructure</c:v>
                </c:pt>
                <c:pt idx="2">
                  <c:v>Energy system</c:v>
                </c:pt>
                <c:pt idx="3">
                  <c:v>Drinking and sewage water infrastructure</c:v>
                </c:pt>
                <c:pt idx="4">
                  <c:v>Vehicles</c:v>
                </c:pt>
                <c:pt idx="5">
                  <c:v>Machinery</c:v>
                </c:pt>
                <c:pt idx="6">
                  <c:v>Textiles</c:v>
                </c:pt>
                <c:pt idx="7">
                  <c:v>Consumer electronics</c:v>
                </c:pt>
                <c:pt idx="8">
                  <c:v>Other consumer goods</c:v>
                </c:pt>
              </c:strCache>
            </c:strRef>
          </c:cat>
          <c:val>
            <c:numRef>
              <c:f>'1.'!$AE$91:$AE$99</c:f>
              <c:numCache>
                <c:formatCode>0.00E+00</c:formatCode>
                <c:ptCount val="9"/>
                <c:pt idx="0">
                  <c:v>0</c:v>
                </c:pt>
                <c:pt idx="1">
                  <c:v>0</c:v>
                </c:pt>
                <c:pt idx="2">
                  <c:v>3.744649746629515</c:v>
                </c:pt>
                <c:pt idx="3">
                  <c:v>0</c:v>
                </c:pt>
                <c:pt idx="4">
                  <c:v>0</c:v>
                </c:pt>
                <c:pt idx="5">
                  <c:v>26.154795424535799</c:v>
                </c:pt>
                <c:pt idx="6">
                  <c:v>0</c:v>
                </c:pt>
                <c:pt idx="7">
                  <c:v>3</c:v>
                </c:pt>
                <c:pt idx="8">
                  <c:v>0</c:v>
                </c:pt>
              </c:numCache>
            </c:numRef>
          </c:val>
          <c:extLst>
            <c:ext xmlns:c16="http://schemas.microsoft.com/office/drawing/2014/chart" uri="{C3380CC4-5D6E-409C-BE32-E72D297353CC}">
              <c16:uniqueId val="{00000020-534D-4279-BBFF-3FAA84B709C2}"/>
            </c:ext>
          </c:extLst>
        </c:ser>
        <c:ser>
          <c:idx val="2"/>
          <c:order val="2"/>
          <c:tx>
            <c:strRef>
              <c:f>'1.'!$AF$90</c:f>
              <c:strCache>
                <c:ptCount val="1"/>
                <c:pt idx="0">
                  <c:v>Pr</c:v>
                </c:pt>
              </c:strCache>
            </c:strRef>
          </c:tx>
          <c:spPr>
            <a:solidFill>
              <a:schemeClr val="accent2">
                <a:lumMod val="75000"/>
              </a:schemeClr>
            </a:solidFill>
          </c:spPr>
          <c:invertIfNegative val="0"/>
          <c:cat>
            <c:strRef>
              <c:f>'1.'!$C$91:$E$99</c:f>
              <c:strCache>
                <c:ptCount val="9"/>
                <c:pt idx="0">
                  <c:v>Buildings</c:v>
                </c:pt>
                <c:pt idx="1">
                  <c:v>Road, rail and waterways infrastructure</c:v>
                </c:pt>
                <c:pt idx="2">
                  <c:v>Energy system</c:v>
                </c:pt>
                <c:pt idx="3">
                  <c:v>Drinking and sewage water infrastructure</c:v>
                </c:pt>
                <c:pt idx="4">
                  <c:v>Vehicles</c:v>
                </c:pt>
                <c:pt idx="5">
                  <c:v>Machinery</c:v>
                </c:pt>
                <c:pt idx="6">
                  <c:v>Textiles</c:v>
                </c:pt>
                <c:pt idx="7">
                  <c:v>Consumer electronics</c:v>
                </c:pt>
                <c:pt idx="8">
                  <c:v>Other consumer goods</c:v>
                </c:pt>
              </c:strCache>
            </c:strRef>
          </c:cat>
          <c:val>
            <c:numRef>
              <c:f>'1.'!$AF$91:$AF$99</c:f>
              <c:numCache>
                <c:formatCode>0.00E+00</c:formatCode>
                <c:ptCount val="9"/>
                <c:pt idx="0">
                  <c:v>0</c:v>
                </c:pt>
                <c:pt idx="1">
                  <c:v>0</c:v>
                </c:pt>
                <c:pt idx="2">
                  <c:v>16.048498914126501</c:v>
                </c:pt>
                <c:pt idx="3">
                  <c:v>0</c:v>
                </c:pt>
                <c:pt idx="4">
                  <c:v>0</c:v>
                </c:pt>
                <c:pt idx="5">
                  <c:v>0</c:v>
                </c:pt>
                <c:pt idx="6">
                  <c:v>0</c:v>
                </c:pt>
                <c:pt idx="7">
                  <c:v>4</c:v>
                </c:pt>
                <c:pt idx="8">
                  <c:v>0</c:v>
                </c:pt>
              </c:numCache>
            </c:numRef>
          </c:val>
          <c:extLst>
            <c:ext xmlns:c16="http://schemas.microsoft.com/office/drawing/2014/chart" uri="{C3380CC4-5D6E-409C-BE32-E72D297353CC}">
              <c16:uniqueId val="{00000022-534D-4279-BBFF-3FAA84B709C2}"/>
            </c:ext>
          </c:extLst>
        </c:ser>
        <c:ser>
          <c:idx val="3"/>
          <c:order val="3"/>
          <c:tx>
            <c:strRef>
              <c:f>'1.'!$AG$90</c:f>
              <c:strCache>
                <c:ptCount val="1"/>
                <c:pt idx="0">
                  <c:v>In</c:v>
                </c:pt>
              </c:strCache>
            </c:strRef>
          </c:tx>
          <c:spPr>
            <a:solidFill>
              <a:schemeClr val="accent4">
                <a:lumMod val="20000"/>
                <a:lumOff val="80000"/>
              </a:schemeClr>
            </a:solidFill>
          </c:spPr>
          <c:invertIfNegative val="0"/>
          <c:cat>
            <c:strRef>
              <c:f>'1.'!$C$91:$E$99</c:f>
              <c:strCache>
                <c:ptCount val="9"/>
                <c:pt idx="0">
                  <c:v>Buildings</c:v>
                </c:pt>
                <c:pt idx="1">
                  <c:v>Road, rail and waterways infrastructure</c:v>
                </c:pt>
                <c:pt idx="2">
                  <c:v>Energy system</c:v>
                </c:pt>
                <c:pt idx="3">
                  <c:v>Drinking and sewage water infrastructure</c:v>
                </c:pt>
                <c:pt idx="4">
                  <c:v>Vehicles</c:v>
                </c:pt>
                <c:pt idx="5">
                  <c:v>Machinery</c:v>
                </c:pt>
                <c:pt idx="6">
                  <c:v>Textiles</c:v>
                </c:pt>
                <c:pt idx="7">
                  <c:v>Consumer electronics</c:v>
                </c:pt>
                <c:pt idx="8">
                  <c:v>Other consumer goods</c:v>
                </c:pt>
              </c:strCache>
            </c:strRef>
          </c:cat>
          <c:val>
            <c:numRef>
              <c:f>'1.'!$AG$91:$AG$99</c:f>
              <c:numCache>
                <c:formatCode>0.00E+00</c:formatCode>
                <c:ptCount val="9"/>
                <c:pt idx="0">
                  <c:v>0</c:v>
                </c:pt>
                <c:pt idx="1">
                  <c:v>0</c:v>
                </c:pt>
                <c:pt idx="2">
                  <c:v>7.8659683841375134</c:v>
                </c:pt>
                <c:pt idx="3">
                  <c:v>0</c:v>
                </c:pt>
                <c:pt idx="4">
                  <c:v>0</c:v>
                </c:pt>
                <c:pt idx="5">
                  <c:v>0.83842012684864275</c:v>
                </c:pt>
                <c:pt idx="6">
                  <c:v>0</c:v>
                </c:pt>
                <c:pt idx="7">
                  <c:v>9</c:v>
                </c:pt>
                <c:pt idx="8">
                  <c:v>153.610960017385</c:v>
                </c:pt>
              </c:numCache>
            </c:numRef>
          </c:val>
          <c:extLst>
            <c:ext xmlns:c16="http://schemas.microsoft.com/office/drawing/2014/chart" uri="{C3380CC4-5D6E-409C-BE32-E72D297353CC}">
              <c16:uniqueId val="{00000024-534D-4279-BBFF-3FAA84B709C2}"/>
            </c:ext>
          </c:extLst>
        </c:ser>
        <c:ser>
          <c:idx val="4"/>
          <c:order val="4"/>
          <c:tx>
            <c:strRef>
              <c:f>'1.'!$AH$90</c:f>
              <c:strCache>
                <c:ptCount val="1"/>
                <c:pt idx="0">
                  <c:v>Ga</c:v>
                </c:pt>
              </c:strCache>
            </c:strRef>
          </c:tx>
          <c:spPr>
            <a:solidFill>
              <a:schemeClr val="accent2">
                <a:lumMod val="60000"/>
                <a:lumOff val="40000"/>
              </a:schemeClr>
            </a:solidFill>
          </c:spPr>
          <c:invertIfNegative val="0"/>
          <c:cat>
            <c:strRef>
              <c:f>'1.'!$C$91:$E$99</c:f>
              <c:strCache>
                <c:ptCount val="9"/>
                <c:pt idx="0">
                  <c:v>Buildings</c:v>
                </c:pt>
                <c:pt idx="1">
                  <c:v>Road, rail and waterways infrastructure</c:v>
                </c:pt>
                <c:pt idx="2">
                  <c:v>Energy system</c:v>
                </c:pt>
                <c:pt idx="3">
                  <c:v>Drinking and sewage water infrastructure</c:v>
                </c:pt>
                <c:pt idx="4">
                  <c:v>Vehicles</c:v>
                </c:pt>
                <c:pt idx="5">
                  <c:v>Machinery</c:v>
                </c:pt>
                <c:pt idx="6">
                  <c:v>Textiles</c:v>
                </c:pt>
                <c:pt idx="7">
                  <c:v>Consumer electronics</c:v>
                </c:pt>
                <c:pt idx="8">
                  <c:v>Other consumer goods</c:v>
                </c:pt>
              </c:strCache>
            </c:strRef>
          </c:cat>
          <c:val>
            <c:numRef>
              <c:f>'1.'!$AH$91:$AH$99</c:f>
              <c:numCache>
                <c:formatCode>0.00E+00</c:formatCode>
                <c:ptCount val="9"/>
                <c:pt idx="0">
                  <c:v>0</c:v>
                </c:pt>
                <c:pt idx="1">
                  <c:v>0</c:v>
                </c:pt>
                <c:pt idx="2">
                  <c:v>1.200175018037789</c:v>
                </c:pt>
                <c:pt idx="3">
                  <c:v>0</c:v>
                </c:pt>
                <c:pt idx="4">
                  <c:v>0</c:v>
                </c:pt>
                <c:pt idx="5">
                  <c:v>0</c:v>
                </c:pt>
                <c:pt idx="6">
                  <c:v>0</c:v>
                </c:pt>
                <c:pt idx="7">
                  <c:v>1</c:v>
                </c:pt>
                <c:pt idx="8">
                  <c:v>0</c:v>
                </c:pt>
              </c:numCache>
            </c:numRef>
          </c:val>
          <c:extLst>
            <c:ext xmlns:c16="http://schemas.microsoft.com/office/drawing/2014/chart" uri="{C3380CC4-5D6E-409C-BE32-E72D297353CC}">
              <c16:uniqueId val="{00000026-534D-4279-BBFF-3FAA84B709C2}"/>
            </c:ext>
          </c:extLst>
        </c:ser>
        <c:ser>
          <c:idx val="5"/>
          <c:order val="5"/>
          <c:tx>
            <c:strRef>
              <c:f>'1.'!$AI$90</c:f>
              <c:strCache>
                <c:ptCount val="1"/>
                <c:pt idx="0">
                  <c:v>Ge</c:v>
                </c:pt>
              </c:strCache>
            </c:strRef>
          </c:tx>
          <c:spPr>
            <a:solidFill>
              <a:srgbClr val="4A206A"/>
            </a:solidFill>
          </c:spPr>
          <c:invertIfNegative val="0"/>
          <c:cat>
            <c:strRef>
              <c:f>'1.'!$C$91:$E$99</c:f>
              <c:strCache>
                <c:ptCount val="9"/>
                <c:pt idx="0">
                  <c:v>Buildings</c:v>
                </c:pt>
                <c:pt idx="1">
                  <c:v>Road, rail and waterways infrastructure</c:v>
                </c:pt>
                <c:pt idx="2">
                  <c:v>Energy system</c:v>
                </c:pt>
                <c:pt idx="3">
                  <c:v>Drinking and sewage water infrastructure</c:v>
                </c:pt>
                <c:pt idx="4">
                  <c:v>Vehicles</c:v>
                </c:pt>
                <c:pt idx="5">
                  <c:v>Machinery</c:v>
                </c:pt>
                <c:pt idx="6">
                  <c:v>Textiles</c:v>
                </c:pt>
                <c:pt idx="7">
                  <c:v>Consumer electronics</c:v>
                </c:pt>
                <c:pt idx="8">
                  <c:v>Other consumer goods</c:v>
                </c:pt>
              </c:strCache>
            </c:strRef>
          </c:cat>
          <c:val>
            <c:numRef>
              <c:f>'1.'!$AI$91:$AI$99</c:f>
              <c:numCache>
                <c:formatCode>0.00E+00</c:formatCode>
                <c:ptCount val="9"/>
                <c:pt idx="0">
                  <c:v>0</c:v>
                </c:pt>
                <c:pt idx="1">
                  <c:v>0</c:v>
                </c:pt>
                <c:pt idx="2">
                  <c:v>12.84843603012674</c:v>
                </c:pt>
                <c:pt idx="3">
                  <c:v>0</c:v>
                </c:pt>
                <c:pt idx="4">
                  <c:v>0</c:v>
                </c:pt>
                <c:pt idx="5">
                  <c:v>0.15657168372778599</c:v>
                </c:pt>
                <c:pt idx="6">
                  <c:v>0</c:v>
                </c:pt>
                <c:pt idx="7">
                  <c:v>0</c:v>
                </c:pt>
                <c:pt idx="8">
                  <c:v>0</c:v>
                </c:pt>
              </c:numCache>
            </c:numRef>
          </c:val>
          <c:extLst>
            <c:ext xmlns:c16="http://schemas.microsoft.com/office/drawing/2014/chart" uri="{C3380CC4-5D6E-409C-BE32-E72D297353CC}">
              <c16:uniqueId val="{00000028-534D-4279-BBFF-3FAA84B709C2}"/>
            </c:ext>
          </c:extLst>
        </c:ser>
        <c:ser>
          <c:idx val="6"/>
          <c:order val="6"/>
          <c:tx>
            <c:strRef>
              <c:f>'1.'!$AJ$90</c:f>
              <c:strCache>
                <c:ptCount val="1"/>
                <c:pt idx="0">
                  <c:v>Ag</c:v>
                </c:pt>
              </c:strCache>
            </c:strRef>
          </c:tx>
          <c:spPr>
            <a:solidFill>
              <a:schemeClr val="accent2">
                <a:lumMod val="20000"/>
                <a:lumOff val="80000"/>
              </a:schemeClr>
            </a:solidFill>
          </c:spPr>
          <c:invertIfNegative val="0"/>
          <c:cat>
            <c:strRef>
              <c:f>'1.'!$C$91:$E$99</c:f>
              <c:strCache>
                <c:ptCount val="9"/>
                <c:pt idx="0">
                  <c:v>Buildings</c:v>
                </c:pt>
                <c:pt idx="1">
                  <c:v>Road, rail and waterways infrastructure</c:v>
                </c:pt>
                <c:pt idx="2">
                  <c:v>Energy system</c:v>
                </c:pt>
                <c:pt idx="3">
                  <c:v>Drinking and sewage water infrastructure</c:v>
                </c:pt>
                <c:pt idx="4">
                  <c:v>Vehicles</c:v>
                </c:pt>
                <c:pt idx="5">
                  <c:v>Machinery</c:v>
                </c:pt>
                <c:pt idx="6">
                  <c:v>Textiles</c:v>
                </c:pt>
                <c:pt idx="7">
                  <c:v>Consumer electronics</c:v>
                </c:pt>
                <c:pt idx="8">
                  <c:v>Other consumer goods</c:v>
                </c:pt>
              </c:strCache>
            </c:strRef>
          </c:cat>
          <c:val>
            <c:numRef>
              <c:f>'1.'!$AJ$91:$AJ$99</c:f>
              <c:numCache>
                <c:formatCode>0.00E+00</c:formatCode>
                <c:ptCount val="9"/>
                <c:pt idx="0">
                  <c:v>0</c:v>
                </c:pt>
                <c:pt idx="1">
                  <c:v>0</c:v>
                </c:pt>
                <c:pt idx="2">
                  <c:v>81.406123192664836</c:v>
                </c:pt>
                <c:pt idx="3">
                  <c:v>0</c:v>
                </c:pt>
                <c:pt idx="4">
                  <c:v>1.6423719083349324</c:v>
                </c:pt>
                <c:pt idx="5">
                  <c:v>0</c:v>
                </c:pt>
                <c:pt idx="6">
                  <c:v>0</c:v>
                </c:pt>
                <c:pt idx="7">
                  <c:v>35</c:v>
                </c:pt>
                <c:pt idx="8">
                  <c:v>0</c:v>
                </c:pt>
              </c:numCache>
            </c:numRef>
          </c:val>
          <c:extLst>
            <c:ext xmlns:c16="http://schemas.microsoft.com/office/drawing/2014/chart" uri="{C3380CC4-5D6E-409C-BE32-E72D297353CC}">
              <c16:uniqueId val="{0000002A-534D-4279-BBFF-3FAA84B709C2}"/>
            </c:ext>
          </c:extLst>
        </c:ser>
        <c:ser>
          <c:idx val="7"/>
          <c:order val="7"/>
          <c:tx>
            <c:strRef>
              <c:f>'1.'!$AK$90</c:f>
              <c:strCache>
                <c:ptCount val="1"/>
                <c:pt idx="0">
                  <c:v>Li</c:v>
                </c:pt>
              </c:strCache>
            </c:strRef>
          </c:tx>
          <c:spPr>
            <a:solidFill>
              <a:srgbClr val="7C35B1"/>
            </a:solidFill>
          </c:spPr>
          <c:invertIfNegative val="0"/>
          <c:cat>
            <c:strRef>
              <c:f>'1.'!$C$91:$E$99</c:f>
              <c:strCache>
                <c:ptCount val="9"/>
                <c:pt idx="0">
                  <c:v>Buildings</c:v>
                </c:pt>
                <c:pt idx="1">
                  <c:v>Road, rail and waterways infrastructure</c:v>
                </c:pt>
                <c:pt idx="2">
                  <c:v>Energy system</c:v>
                </c:pt>
                <c:pt idx="3">
                  <c:v>Drinking and sewage water infrastructure</c:v>
                </c:pt>
                <c:pt idx="4">
                  <c:v>Vehicles</c:v>
                </c:pt>
                <c:pt idx="5">
                  <c:v>Machinery</c:v>
                </c:pt>
                <c:pt idx="6">
                  <c:v>Textiles</c:v>
                </c:pt>
                <c:pt idx="7">
                  <c:v>Consumer electronics</c:v>
                </c:pt>
                <c:pt idx="8">
                  <c:v>Other consumer goods</c:v>
                </c:pt>
              </c:strCache>
            </c:strRef>
          </c:cat>
          <c:val>
            <c:numRef>
              <c:f>'1.'!$AK$91:$AK$99</c:f>
              <c:numCache>
                <c:formatCode>0.00E+00</c:formatCode>
                <c:ptCount val="9"/>
                <c:pt idx="0">
                  <c:v>0</c:v>
                </c:pt>
                <c:pt idx="1">
                  <c:v>0</c:v>
                </c:pt>
                <c:pt idx="2">
                  <c:v>0</c:v>
                </c:pt>
                <c:pt idx="3">
                  <c:v>0</c:v>
                </c:pt>
                <c:pt idx="4">
                  <c:v>2153.7390701098584</c:v>
                </c:pt>
                <c:pt idx="5">
                  <c:v>0</c:v>
                </c:pt>
                <c:pt idx="6">
                  <c:v>0</c:v>
                </c:pt>
                <c:pt idx="7">
                  <c:v>0</c:v>
                </c:pt>
                <c:pt idx="8">
                  <c:v>0</c:v>
                </c:pt>
              </c:numCache>
            </c:numRef>
          </c:val>
          <c:extLst>
            <c:ext xmlns:c16="http://schemas.microsoft.com/office/drawing/2014/chart" uri="{C3380CC4-5D6E-409C-BE32-E72D297353CC}">
              <c16:uniqueId val="{0000002C-534D-4279-BBFF-3FAA84B709C2}"/>
            </c:ext>
          </c:extLst>
        </c:ser>
        <c:ser>
          <c:idx val="8"/>
          <c:order val="8"/>
          <c:tx>
            <c:strRef>
              <c:f>'1.'!$AL$90</c:f>
              <c:strCache>
                <c:ptCount val="1"/>
                <c:pt idx="0">
                  <c:v>Tb</c:v>
                </c:pt>
              </c:strCache>
            </c:strRef>
          </c:tx>
          <c:spPr>
            <a:solidFill>
              <a:schemeClr val="accent6">
                <a:lumMod val="75000"/>
              </a:schemeClr>
            </a:solidFill>
          </c:spPr>
          <c:invertIfNegative val="0"/>
          <c:cat>
            <c:strRef>
              <c:f>'1.'!$C$91:$E$99</c:f>
              <c:strCache>
                <c:ptCount val="9"/>
                <c:pt idx="0">
                  <c:v>Buildings</c:v>
                </c:pt>
                <c:pt idx="1">
                  <c:v>Road, rail and waterways infrastructure</c:v>
                </c:pt>
                <c:pt idx="2">
                  <c:v>Energy system</c:v>
                </c:pt>
                <c:pt idx="3">
                  <c:v>Drinking and sewage water infrastructure</c:v>
                </c:pt>
                <c:pt idx="4">
                  <c:v>Vehicles</c:v>
                </c:pt>
                <c:pt idx="5">
                  <c:v>Machinery</c:v>
                </c:pt>
                <c:pt idx="6">
                  <c:v>Textiles</c:v>
                </c:pt>
                <c:pt idx="7">
                  <c:v>Consumer electronics</c:v>
                </c:pt>
                <c:pt idx="8">
                  <c:v>Other consumer goods</c:v>
                </c:pt>
              </c:strCache>
            </c:strRef>
          </c:cat>
          <c:val>
            <c:numRef>
              <c:f>'1.'!$AL$91:$AL$99</c:f>
              <c:numCache>
                <c:formatCode>0.00E+00</c:formatCode>
                <c:ptCount val="9"/>
                <c:pt idx="0">
                  <c:v>0</c:v>
                </c:pt>
                <c:pt idx="1">
                  <c:v>0</c:v>
                </c:pt>
                <c:pt idx="2">
                  <c:v>0.7260035223057224</c:v>
                </c:pt>
                <c:pt idx="3">
                  <c:v>0</c:v>
                </c:pt>
                <c:pt idx="4">
                  <c:v>0</c:v>
                </c:pt>
                <c:pt idx="5">
                  <c:v>0</c:v>
                </c:pt>
                <c:pt idx="6">
                  <c:v>0</c:v>
                </c:pt>
                <c:pt idx="7">
                  <c:v>0</c:v>
                </c:pt>
                <c:pt idx="8">
                  <c:v>0</c:v>
                </c:pt>
              </c:numCache>
            </c:numRef>
          </c:val>
          <c:extLst>
            <c:ext xmlns:c16="http://schemas.microsoft.com/office/drawing/2014/chart" uri="{C3380CC4-5D6E-409C-BE32-E72D297353CC}">
              <c16:uniqueId val="{0000002E-534D-4279-BBFF-3FAA84B709C2}"/>
            </c:ext>
          </c:extLst>
        </c:ser>
        <c:ser>
          <c:idx val="9"/>
          <c:order val="9"/>
          <c:tx>
            <c:strRef>
              <c:f>'1.'!$AM$90</c:f>
              <c:strCache>
                <c:ptCount val="1"/>
                <c:pt idx="0">
                  <c:v>Si</c:v>
                </c:pt>
              </c:strCache>
            </c:strRef>
          </c:tx>
          <c:spPr>
            <a:solidFill>
              <a:srgbClr val="BA8CDC"/>
            </a:solidFill>
          </c:spPr>
          <c:invertIfNegative val="0"/>
          <c:cat>
            <c:strRef>
              <c:f>'1.'!$C$91:$E$99</c:f>
              <c:strCache>
                <c:ptCount val="9"/>
                <c:pt idx="0">
                  <c:v>Buildings</c:v>
                </c:pt>
                <c:pt idx="1">
                  <c:v>Road, rail and waterways infrastructure</c:v>
                </c:pt>
                <c:pt idx="2">
                  <c:v>Energy system</c:v>
                </c:pt>
                <c:pt idx="3">
                  <c:v>Drinking and sewage water infrastructure</c:v>
                </c:pt>
                <c:pt idx="4">
                  <c:v>Vehicles</c:v>
                </c:pt>
                <c:pt idx="5">
                  <c:v>Machinery</c:v>
                </c:pt>
                <c:pt idx="6">
                  <c:v>Textiles</c:v>
                </c:pt>
                <c:pt idx="7">
                  <c:v>Consumer electronics</c:v>
                </c:pt>
                <c:pt idx="8">
                  <c:v>Other consumer goods</c:v>
                </c:pt>
              </c:strCache>
            </c:strRef>
          </c:cat>
          <c:val>
            <c:numRef>
              <c:f>'1.'!$AM$91:$AM$99</c:f>
              <c:numCache>
                <c:formatCode>0.00E+00</c:formatCode>
                <c:ptCount val="9"/>
                <c:pt idx="0">
                  <c:v>0</c:v>
                </c:pt>
                <c:pt idx="1">
                  <c:v>0</c:v>
                </c:pt>
                <c:pt idx="2">
                  <c:v>15621.760795162749</c:v>
                </c:pt>
                <c:pt idx="3">
                  <c:v>0</c:v>
                </c:pt>
                <c:pt idx="4">
                  <c:v>5.2998794841671373E-2</c:v>
                </c:pt>
                <c:pt idx="5">
                  <c:v>0</c:v>
                </c:pt>
                <c:pt idx="6">
                  <c:v>0</c:v>
                </c:pt>
                <c:pt idx="7">
                  <c:v>27238</c:v>
                </c:pt>
                <c:pt idx="8">
                  <c:v>0</c:v>
                </c:pt>
              </c:numCache>
            </c:numRef>
          </c:val>
          <c:extLst>
            <c:ext xmlns:c16="http://schemas.microsoft.com/office/drawing/2014/chart" uri="{C3380CC4-5D6E-409C-BE32-E72D297353CC}">
              <c16:uniqueId val="{00000030-534D-4279-BBFF-3FAA84B709C2}"/>
            </c:ext>
          </c:extLst>
        </c:ser>
        <c:ser>
          <c:idx val="10"/>
          <c:order val="10"/>
          <c:tx>
            <c:strRef>
              <c:f>'1.'!$AN$90</c:f>
              <c:strCache>
                <c:ptCount val="1"/>
                <c:pt idx="0">
                  <c:v>Pd</c:v>
                </c:pt>
              </c:strCache>
            </c:strRef>
          </c:tx>
          <c:spPr>
            <a:solidFill>
              <a:schemeClr val="accent6">
                <a:lumMod val="60000"/>
                <a:lumOff val="40000"/>
              </a:schemeClr>
            </a:solidFill>
          </c:spPr>
          <c:invertIfNegative val="0"/>
          <c:cat>
            <c:strRef>
              <c:f>'1.'!$C$91:$E$99</c:f>
              <c:strCache>
                <c:ptCount val="9"/>
                <c:pt idx="0">
                  <c:v>Buildings</c:v>
                </c:pt>
                <c:pt idx="1">
                  <c:v>Road, rail and waterways infrastructure</c:v>
                </c:pt>
                <c:pt idx="2">
                  <c:v>Energy system</c:v>
                </c:pt>
                <c:pt idx="3">
                  <c:v>Drinking and sewage water infrastructure</c:v>
                </c:pt>
                <c:pt idx="4">
                  <c:v>Vehicles</c:v>
                </c:pt>
                <c:pt idx="5">
                  <c:v>Machinery</c:v>
                </c:pt>
                <c:pt idx="6">
                  <c:v>Textiles</c:v>
                </c:pt>
                <c:pt idx="7">
                  <c:v>Consumer electronics</c:v>
                </c:pt>
                <c:pt idx="8">
                  <c:v>Other consumer goods</c:v>
                </c:pt>
              </c:strCache>
            </c:strRef>
          </c:cat>
          <c:val>
            <c:numRef>
              <c:f>'1.'!$AN$91:$AN$99</c:f>
              <c:numCache>
                <c:formatCode>0.00E+00</c:formatCode>
                <c:ptCount val="9"/>
                <c:pt idx="0">
                  <c:v>0</c:v>
                </c:pt>
                <c:pt idx="1">
                  <c:v>0</c:v>
                </c:pt>
                <c:pt idx="2">
                  <c:v>0</c:v>
                </c:pt>
                <c:pt idx="3">
                  <c:v>0</c:v>
                </c:pt>
                <c:pt idx="4">
                  <c:v>7.0107337293842262E-2</c:v>
                </c:pt>
                <c:pt idx="5">
                  <c:v>3.2421776068115826</c:v>
                </c:pt>
                <c:pt idx="6">
                  <c:v>0</c:v>
                </c:pt>
                <c:pt idx="7">
                  <c:v>1</c:v>
                </c:pt>
                <c:pt idx="8">
                  <c:v>1.4663684198865899E-3</c:v>
                </c:pt>
              </c:numCache>
            </c:numRef>
          </c:val>
          <c:extLst>
            <c:ext xmlns:c16="http://schemas.microsoft.com/office/drawing/2014/chart" uri="{C3380CC4-5D6E-409C-BE32-E72D297353CC}">
              <c16:uniqueId val="{00000032-534D-4279-BBFF-3FAA84B709C2}"/>
            </c:ext>
          </c:extLst>
        </c:ser>
        <c:ser>
          <c:idx val="11"/>
          <c:order val="11"/>
          <c:tx>
            <c:strRef>
              <c:f>'1.'!$AO$90</c:f>
              <c:strCache>
                <c:ptCount val="1"/>
                <c:pt idx="0">
                  <c:v>Co</c:v>
                </c:pt>
              </c:strCache>
            </c:strRef>
          </c:tx>
          <c:spPr>
            <a:solidFill>
              <a:srgbClr val="009999"/>
            </a:solidFill>
          </c:spPr>
          <c:invertIfNegative val="0"/>
          <c:cat>
            <c:strRef>
              <c:f>'1.'!$C$91:$E$99</c:f>
              <c:strCache>
                <c:ptCount val="9"/>
                <c:pt idx="0">
                  <c:v>Buildings</c:v>
                </c:pt>
                <c:pt idx="1">
                  <c:v>Road, rail and waterways infrastructure</c:v>
                </c:pt>
                <c:pt idx="2">
                  <c:v>Energy system</c:v>
                </c:pt>
                <c:pt idx="3">
                  <c:v>Drinking and sewage water infrastructure</c:v>
                </c:pt>
                <c:pt idx="4">
                  <c:v>Vehicles</c:v>
                </c:pt>
                <c:pt idx="5">
                  <c:v>Machinery</c:v>
                </c:pt>
                <c:pt idx="6">
                  <c:v>Textiles</c:v>
                </c:pt>
                <c:pt idx="7">
                  <c:v>Consumer electronics</c:v>
                </c:pt>
                <c:pt idx="8">
                  <c:v>Other consumer goods</c:v>
                </c:pt>
              </c:strCache>
            </c:strRef>
          </c:cat>
          <c:val>
            <c:numRef>
              <c:f>'1.'!$AO$91:$AO$99</c:f>
              <c:numCache>
                <c:formatCode>0.00E+00</c:formatCode>
                <c:ptCount val="9"/>
                <c:pt idx="0">
                  <c:v>0</c:v>
                </c:pt>
                <c:pt idx="1">
                  <c:v>0</c:v>
                </c:pt>
                <c:pt idx="2">
                  <c:v>110.131232</c:v>
                </c:pt>
                <c:pt idx="3">
                  <c:v>0</c:v>
                </c:pt>
                <c:pt idx="4">
                  <c:v>31.289613655707413</c:v>
                </c:pt>
                <c:pt idx="5">
                  <c:v>183.55062459941132</c:v>
                </c:pt>
                <c:pt idx="6">
                  <c:v>0</c:v>
                </c:pt>
                <c:pt idx="7">
                  <c:v>79</c:v>
                </c:pt>
                <c:pt idx="8">
                  <c:v>2646.2805091661899</c:v>
                </c:pt>
              </c:numCache>
            </c:numRef>
          </c:val>
          <c:extLst>
            <c:ext xmlns:c16="http://schemas.microsoft.com/office/drawing/2014/chart" uri="{C3380CC4-5D6E-409C-BE32-E72D297353CC}">
              <c16:uniqueId val="{00000034-534D-4279-BBFF-3FAA84B709C2}"/>
            </c:ext>
          </c:extLst>
        </c:ser>
        <c:ser>
          <c:idx val="12"/>
          <c:order val="12"/>
          <c:tx>
            <c:strRef>
              <c:f>'1.'!$AP$90</c:f>
              <c:strCache>
                <c:ptCount val="1"/>
                <c:pt idx="0">
                  <c:v>Au</c:v>
                </c:pt>
              </c:strCache>
            </c:strRef>
          </c:tx>
          <c:spPr>
            <a:solidFill>
              <a:schemeClr val="accent6">
                <a:lumMod val="20000"/>
                <a:lumOff val="80000"/>
              </a:schemeClr>
            </a:solidFill>
          </c:spPr>
          <c:invertIfNegative val="0"/>
          <c:cat>
            <c:strRef>
              <c:f>'1.'!$C$91:$E$99</c:f>
              <c:strCache>
                <c:ptCount val="9"/>
                <c:pt idx="0">
                  <c:v>Buildings</c:v>
                </c:pt>
                <c:pt idx="1">
                  <c:v>Road, rail and waterways infrastructure</c:v>
                </c:pt>
                <c:pt idx="2">
                  <c:v>Energy system</c:v>
                </c:pt>
                <c:pt idx="3">
                  <c:v>Drinking and sewage water infrastructure</c:v>
                </c:pt>
                <c:pt idx="4">
                  <c:v>Vehicles</c:v>
                </c:pt>
                <c:pt idx="5">
                  <c:v>Machinery</c:v>
                </c:pt>
                <c:pt idx="6">
                  <c:v>Textiles</c:v>
                </c:pt>
                <c:pt idx="7">
                  <c:v>Consumer electronics</c:v>
                </c:pt>
                <c:pt idx="8">
                  <c:v>Other consumer goods</c:v>
                </c:pt>
              </c:strCache>
            </c:strRef>
          </c:cat>
          <c:val>
            <c:numRef>
              <c:f>'1.'!$AP$91:$AP$99</c:f>
              <c:numCache>
                <c:formatCode>0.00E+00</c:formatCode>
                <c:ptCount val="9"/>
                <c:pt idx="0">
                  <c:v>0</c:v>
                </c:pt>
                <c:pt idx="1">
                  <c:v>0</c:v>
                </c:pt>
                <c:pt idx="2">
                  <c:v>0</c:v>
                </c:pt>
                <c:pt idx="3">
                  <c:v>0</c:v>
                </c:pt>
                <c:pt idx="4">
                  <c:v>1.3759830144480372</c:v>
                </c:pt>
                <c:pt idx="5">
                  <c:v>0</c:v>
                </c:pt>
                <c:pt idx="6">
                  <c:v>0</c:v>
                </c:pt>
                <c:pt idx="7">
                  <c:v>7</c:v>
                </c:pt>
                <c:pt idx="8">
                  <c:v>0</c:v>
                </c:pt>
              </c:numCache>
            </c:numRef>
          </c:val>
          <c:extLst>
            <c:ext xmlns:c16="http://schemas.microsoft.com/office/drawing/2014/chart" uri="{C3380CC4-5D6E-409C-BE32-E72D297353CC}">
              <c16:uniqueId val="{00000036-534D-4279-BBFF-3FAA84B709C2}"/>
            </c:ext>
          </c:extLst>
        </c:ser>
        <c:ser>
          <c:idx val="13"/>
          <c:order val="13"/>
          <c:tx>
            <c:strRef>
              <c:f>'1.'!$AQ$90</c:f>
              <c:strCache>
                <c:ptCount val="1"/>
                <c:pt idx="0">
                  <c:v>Pt</c:v>
                </c:pt>
              </c:strCache>
            </c:strRef>
          </c:tx>
          <c:spPr>
            <a:solidFill>
              <a:srgbClr val="00EBE6"/>
            </a:solidFill>
          </c:spPr>
          <c:invertIfNegative val="0"/>
          <c:cat>
            <c:strRef>
              <c:f>'1.'!$C$91:$E$99</c:f>
              <c:strCache>
                <c:ptCount val="9"/>
                <c:pt idx="0">
                  <c:v>Buildings</c:v>
                </c:pt>
                <c:pt idx="1">
                  <c:v>Road, rail and waterways infrastructure</c:v>
                </c:pt>
                <c:pt idx="2">
                  <c:v>Energy system</c:v>
                </c:pt>
                <c:pt idx="3">
                  <c:v>Drinking and sewage water infrastructure</c:v>
                </c:pt>
                <c:pt idx="4">
                  <c:v>Vehicles</c:v>
                </c:pt>
                <c:pt idx="5">
                  <c:v>Machinery</c:v>
                </c:pt>
                <c:pt idx="6">
                  <c:v>Textiles</c:v>
                </c:pt>
                <c:pt idx="7">
                  <c:v>Consumer electronics</c:v>
                </c:pt>
                <c:pt idx="8">
                  <c:v>Other consumer goods</c:v>
                </c:pt>
              </c:strCache>
            </c:strRef>
          </c:cat>
          <c:val>
            <c:numRef>
              <c:f>'1.'!$AQ$91:$AQ$99</c:f>
              <c:numCache>
                <c:formatCode>0.00E+00</c:formatCode>
                <c:ptCount val="9"/>
                <c:pt idx="0">
                  <c:v>0</c:v>
                </c:pt>
                <c:pt idx="1">
                  <c:v>0</c:v>
                </c:pt>
                <c:pt idx="2">
                  <c:v>0</c:v>
                </c:pt>
                <c:pt idx="3">
                  <c:v>0</c:v>
                </c:pt>
                <c:pt idx="4">
                  <c:v>45.937038881147906</c:v>
                </c:pt>
                <c:pt idx="5">
                  <c:v>9.1768829474457581E-2</c:v>
                </c:pt>
                <c:pt idx="6">
                  <c:v>0</c:v>
                </c:pt>
                <c:pt idx="7">
                  <c:v>0</c:v>
                </c:pt>
                <c:pt idx="8">
                  <c:v>0</c:v>
                </c:pt>
              </c:numCache>
            </c:numRef>
          </c:val>
          <c:extLst>
            <c:ext xmlns:c16="http://schemas.microsoft.com/office/drawing/2014/chart" uri="{C3380CC4-5D6E-409C-BE32-E72D297353CC}">
              <c16:uniqueId val="{00000038-534D-4279-BBFF-3FAA84B709C2}"/>
            </c:ext>
          </c:extLst>
        </c:ser>
        <c:ser>
          <c:idx val="15"/>
          <c:order val="14"/>
          <c:tx>
            <c:strRef>
              <c:f>'1.'!$AR$90</c:f>
              <c:strCache>
                <c:ptCount val="1"/>
                <c:pt idx="0">
                  <c:v>Ta</c:v>
                </c:pt>
              </c:strCache>
            </c:strRef>
          </c:tx>
          <c:invertIfNegative val="0"/>
          <c:cat>
            <c:strRef>
              <c:f>'1.'!$C$91:$E$99</c:f>
              <c:strCache>
                <c:ptCount val="9"/>
                <c:pt idx="0">
                  <c:v>Buildings</c:v>
                </c:pt>
                <c:pt idx="1">
                  <c:v>Road, rail and waterways infrastructure</c:v>
                </c:pt>
                <c:pt idx="2">
                  <c:v>Energy system</c:v>
                </c:pt>
                <c:pt idx="3">
                  <c:v>Drinking and sewage water infrastructure</c:v>
                </c:pt>
                <c:pt idx="4">
                  <c:v>Vehicles</c:v>
                </c:pt>
                <c:pt idx="5">
                  <c:v>Machinery</c:v>
                </c:pt>
                <c:pt idx="6">
                  <c:v>Textiles</c:v>
                </c:pt>
                <c:pt idx="7">
                  <c:v>Consumer electronics</c:v>
                </c:pt>
                <c:pt idx="8">
                  <c:v>Other consumer goods</c:v>
                </c:pt>
              </c:strCache>
            </c:strRef>
          </c:cat>
          <c:val>
            <c:numRef>
              <c:f>'1.'!$AR$91:$AR$99</c:f>
              <c:numCache>
                <c:formatCode>0.00E+00</c:formatCode>
                <c:ptCount val="9"/>
                <c:pt idx="0">
                  <c:v>0</c:v>
                </c:pt>
                <c:pt idx="1">
                  <c:v>0</c:v>
                </c:pt>
                <c:pt idx="2">
                  <c:v>2.7739920000000002</c:v>
                </c:pt>
                <c:pt idx="3">
                  <c:v>0</c:v>
                </c:pt>
                <c:pt idx="4">
                  <c:v>0</c:v>
                </c:pt>
                <c:pt idx="5">
                  <c:v>2.1495852287978163</c:v>
                </c:pt>
                <c:pt idx="6">
                  <c:v>0</c:v>
                </c:pt>
                <c:pt idx="7">
                  <c:v>11</c:v>
                </c:pt>
                <c:pt idx="8">
                  <c:v>390.31395827237645</c:v>
                </c:pt>
              </c:numCache>
            </c:numRef>
          </c:val>
          <c:extLst>
            <c:ext xmlns:c16="http://schemas.microsoft.com/office/drawing/2014/chart" uri="{C3380CC4-5D6E-409C-BE32-E72D297353CC}">
              <c16:uniqueId val="{0000003C-534D-4279-BBFF-3FAA84B709C2}"/>
            </c:ext>
          </c:extLst>
        </c:ser>
        <c:ser>
          <c:idx val="16"/>
          <c:order val="15"/>
          <c:tx>
            <c:strRef>
              <c:f>'1.'!$AS$90</c:f>
              <c:strCache>
                <c:ptCount val="1"/>
                <c:pt idx="0">
                  <c:v>Mg</c:v>
                </c:pt>
              </c:strCache>
            </c:strRef>
          </c:tx>
          <c:spPr>
            <a:solidFill>
              <a:schemeClr val="bg1">
                <a:lumMod val="50000"/>
              </a:schemeClr>
            </a:solidFill>
          </c:spPr>
          <c:invertIfNegative val="0"/>
          <c:cat>
            <c:strRef>
              <c:f>'1.'!$C$91:$E$99</c:f>
              <c:strCache>
                <c:ptCount val="9"/>
                <c:pt idx="0">
                  <c:v>Buildings</c:v>
                </c:pt>
                <c:pt idx="1">
                  <c:v>Road, rail and waterways infrastructure</c:v>
                </c:pt>
                <c:pt idx="2">
                  <c:v>Energy system</c:v>
                </c:pt>
                <c:pt idx="3">
                  <c:v>Drinking and sewage water infrastructure</c:v>
                </c:pt>
                <c:pt idx="4">
                  <c:v>Vehicles</c:v>
                </c:pt>
                <c:pt idx="5">
                  <c:v>Machinery</c:v>
                </c:pt>
                <c:pt idx="6">
                  <c:v>Textiles</c:v>
                </c:pt>
                <c:pt idx="7">
                  <c:v>Consumer electronics</c:v>
                </c:pt>
                <c:pt idx="8">
                  <c:v>Other consumer goods</c:v>
                </c:pt>
              </c:strCache>
            </c:strRef>
          </c:cat>
          <c:val>
            <c:numRef>
              <c:f>'1.'!$AS$91:$AS$99</c:f>
              <c:numCache>
                <c:formatCode>0.00E+00</c:formatCode>
                <c:ptCount val="9"/>
                <c:pt idx="0">
                  <c:v>0</c:v>
                </c:pt>
                <c:pt idx="1">
                  <c:v>0</c:v>
                </c:pt>
                <c:pt idx="2">
                  <c:v>0</c:v>
                </c:pt>
                <c:pt idx="3">
                  <c:v>0</c:v>
                </c:pt>
                <c:pt idx="4">
                  <c:v>341.42226003321719</c:v>
                </c:pt>
                <c:pt idx="5">
                  <c:v>0</c:v>
                </c:pt>
                <c:pt idx="6">
                  <c:v>0</c:v>
                </c:pt>
                <c:pt idx="7">
                  <c:v>5966</c:v>
                </c:pt>
                <c:pt idx="8">
                  <c:v>0</c:v>
                </c:pt>
              </c:numCache>
            </c:numRef>
          </c:val>
          <c:extLst>
            <c:ext xmlns:c16="http://schemas.microsoft.com/office/drawing/2014/chart" uri="{C3380CC4-5D6E-409C-BE32-E72D297353CC}">
              <c16:uniqueId val="{0000003E-534D-4279-BBFF-3FAA84B709C2}"/>
            </c:ext>
          </c:extLst>
        </c:ser>
        <c:ser>
          <c:idx val="17"/>
          <c:order val="16"/>
          <c:tx>
            <c:strRef>
              <c:f>'1.'!$AT$90</c:f>
              <c:strCache>
                <c:ptCount val="1"/>
                <c:pt idx="0">
                  <c:v>Ti</c:v>
                </c:pt>
              </c:strCache>
            </c:strRef>
          </c:tx>
          <c:spPr>
            <a:solidFill>
              <a:srgbClr val="D1FFFE"/>
            </a:solidFill>
          </c:spPr>
          <c:invertIfNegative val="0"/>
          <c:cat>
            <c:strRef>
              <c:f>'1.'!$C$91:$E$99</c:f>
              <c:strCache>
                <c:ptCount val="9"/>
                <c:pt idx="0">
                  <c:v>Buildings</c:v>
                </c:pt>
                <c:pt idx="1">
                  <c:v>Road, rail and waterways infrastructure</c:v>
                </c:pt>
                <c:pt idx="2">
                  <c:v>Energy system</c:v>
                </c:pt>
                <c:pt idx="3">
                  <c:v>Drinking and sewage water infrastructure</c:v>
                </c:pt>
                <c:pt idx="4">
                  <c:v>Vehicles</c:v>
                </c:pt>
                <c:pt idx="5">
                  <c:v>Machinery</c:v>
                </c:pt>
                <c:pt idx="6">
                  <c:v>Textiles</c:v>
                </c:pt>
                <c:pt idx="7">
                  <c:v>Consumer electronics</c:v>
                </c:pt>
                <c:pt idx="8">
                  <c:v>Other consumer goods</c:v>
                </c:pt>
              </c:strCache>
            </c:strRef>
          </c:cat>
          <c:val>
            <c:numRef>
              <c:f>'1.'!$AT$91:$AT$99</c:f>
              <c:numCache>
                <c:formatCode>0.00E+00</c:formatCode>
                <c:ptCount val="9"/>
                <c:pt idx="0">
                  <c:v>0</c:v>
                </c:pt>
                <c:pt idx="1">
                  <c:v>0</c:v>
                </c:pt>
                <c:pt idx="2">
                  <c:v>8.488664</c:v>
                </c:pt>
                <c:pt idx="3">
                  <c:v>0</c:v>
                </c:pt>
                <c:pt idx="4">
                  <c:v>1429.9714679177403</c:v>
                </c:pt>
                <c:pt idx="5">
                  <c:v>0</c:v>
                </c:pt>
                <c:pt idx="6">
                  <c:v>0</c:v>
                </c:pt>
                <c:pt idx="7">
                  <c:v>0</c:v>
                </c:pt>
                <c:pt idx="8">
                  <c:v>0</c:v>
                </c:pt>
              </c:numCache>
            </c:numRef>
          </c:val>
          <c:extLst>
            <c:ext xmlns:c16="http://schemas.microsoft.com/office/drawing/2014/chart" uri="{C3380CC4-5D6E-409C-BE32-E72D297353CC}">
              <c16:uniqueId val="{00000040-534D-4279-BBFF-3FAA84B709C2}"/>
            </c:ext>
          </c:extLst>
        </c:ser>
        <c:ser>
          <c:idx val="18"/>
          <c:order val="17"/>
          <c:tx>
            <c:strRef>
              <c:f>'1.'!$AU$90</c:f>
              <c:strCache>
                <c:ptCount val="1"/>
                <c:pt idx="0">
                  <c:v>Graphite</c:v>
                </c:pt>
              </c:strCache>
            </c:strRef>
          </c:tx>
          <c:spPr>
            <a:solidFill>
              <a:schemeClr val="bg1">
                <a:lumMod val="85000"/>
              </a:schemeClr>
            </a:solidFill>
          </c:spPr>
          <c:invertIfNegative val="0"/>
          <c:cat>
            <c:strRef>
              <c:f>'1.'!$C$91:$E$99</c:f>
              <c:strCache>
                <c:ptCount val="9"/>
                <c:pt idx="0">
                  <c:v>Buildings</c:v>
                </c:pt>
                <c:pt idx="1">
                  <c:v>Road, rail and waterways infrastructure</c:v>
                </c:pt>
                <c:pt idx="2">
                  <c:v>Energy system</c:v>
                </c:pt>
                <c:pt idx="3">
                  <c:v>Drinking and sewage water infrastructure</c:v>
                </c:pt>
                <c:pt idx="4">
                  <c:v>Vehicles</c:v>
                </c:pt>
                <c:pt idx="5">
                  <c:v>Machinery</c:v>
                </c:pt>
                <c:pt idx="6">
                  <c:v>Textiles</c:v>
                </c:pt>
                <c:pt idx="7">
                  <c:v>Consumer electronics</c:v>
                </c:pt>
                <c:pt idx="8">
                  <c:v>Other consumer goods</c:v>
                </c:pt>
              </c:strCache>
            </c:strRef>
          </c:cat>
          <c:val>
            <c:numRef>
              <c:f>'1.'!$AU$91:$AU$99</c:f>
              <c:numCache>
                <c:formatCode>0.00E+00</c:formatCode>
                <c:ptCount val="9"/>
                <c:pt idx="0">
                  <c:v>0</c:v>
                </c:pt>
                <c:pt idx="1">
                  <c:v>0</c:v>
                </c:pt>
                <c:pt idx="2">
                  <c:v>0</c:v>
                </c:pt>
                <c:pt idx="3">
                  <c:v>0</c:v>
                </c:pt>
                <c:pt idx="4">
                  <c:v>699.49111360032975</c:v>
                </c:pt>
                <c:pt idx="5">
                  <c:v>0</c:v>
                </c:pt>
                <c:pt idx="6">
                  <c:v>0</c:v>
                </c:pt>
                <c:pt idx="7">
                  <c:v>0</c:v>
                </c:pt>
                <c:pt idx="8">
                  <c:v>0</c:v>
                </c:pt>
              </c:numCache>
            </c:numRef>
          </c:val>
          <c:extLst>
            <c:ext xmlns:c16="http://schemas.microsoft.com/office/drawing/2014/chart" uri="{C3380CC4-5D6E-409C-BE32-E72D297353CC}">
              <c16:uniqueId val="{00000041-534D-4279-BBFF-3FAA84B709C2}"/>
            </c:ext>
          </c:extLst>
        </c:ser>
        <c:ser>
          <c:idx val="19"/>
          <c:order val="18"/>
          <c:tx>
            <c:strRef>
              <c:f>'1.'!$AV$90</c:f>
              <c:strCache>
                <c:ptCount val="1"/>
                <c:pt idx="0">
                  <c:v>Sr</c:v>
                </c:pt>
              </c:strCache>
            </c:strRef>
          </c:tx>
          <c:spPr>
            <a:solidFill>
              <a:srgbClr val="A40008"/>
            </a:solidFill>
          </c:spPr>
          <c:invertIfNegative val="0"/>
          <c:cat>
            <c:strRef>
              <c:f>'1.'!$C$91:$E$99</c:f>
              <c:strCache>
                <c:ptCount val="9"/>
                <c:pt idx="0">
                  <c:v>Buildings</c:v>
                </c:pt>
                <c:pt idx="1">
                  <c:v>Road, rail and waterways infrastructure</c:v>
                </c:pt>
                <c:pt idx="2">
                  <c:v>Energy system</c:v>
                </c:pt>
                <c:pt idx="3">
                  <c:v>Drinking and sewage water infrastructure</c:v>
                </c:pt>
                <c:pt idx="4">
                  <c:v>Vehicles</c:v>
                </c:pt>
                <c:pt idx="5">
                  <c:v>Machinery</c:v>
                </c:pt>
                <c:pt idx="6">
                  <c:v>Textiles</c:v>
                </c:pt>
                <c:pt idx="7">
                  <c:v>Consumer electronics</c:v>
                </c:pt>
                <c:pt idx="8">
                  <c:v>Other consumer goods</c:v>
                </c:pt>
              </c:strCache>
            </c:strRef>
          </c:cat>
          <c:val>
            <c:numRef>
              <c:f>'1.'!$AV$91:$AV$99</c:f>
              <c:numCache>
                <c:formatCode>0.00E+00</c:formatCode>
                <c:ptCount val="9"/>
                <c:pt idx="0">
                  <c:v>0</c:v>
                </c:pt>
                <c:pt idx="1">
                  <c:v>0</c:v>
                </c:pt>
                <c:pt idx="2">
                  <c:v>0</c:v>
                </c:pt>
                <c:pt idx="3">
                  <c:v>0</c:v>
                </c:pt>
                <c:pt idx="4">
                  <c:v>0</c:v>
                </c:pt>
                <c:pt idx="5">
                  <c:v>0</c:v>
                </c:pt>
                <c:pt idx="6">
                  <c:v>0</c:v>
                </c:pt>
                <c:pt idx="7">
                  <c:v>626</c:v>
                </c:pt>
                <c:pt idx="8">
                  <c:v>0</c:v>
                </c:pt>
              </c:numCache>
            </c:numRef>
          </c:val>
          <c:extLst>
            <c:ext xmlns:c16="http://schemas.microsoft.com/office/drawing/2014/chart" uri="{C3380CC4-5D6E-409C-BE32-E72D297353CC}">
              <c16:uniqueId val="{00000042-534D-4279-BBFF-3FAA84B709C2}"/>
            </c:ext>
          </c:extLst>
        </c:ser>
        <c:ser>
          <c:idx val="20"/>
          <c:order val="19"/>
          <c:tx>
            <c:strRef>
              <c:f>'1.'!$AW$90</c:f>
              <c:strCache>
                <c:ptCount val="1"/>
                <c:pt idx="0">
                  <c:v>W</c:v>
                </c:pt>
              </c:strCache>
            </c:strRef>
          </c:tx>
          <c:spPr>
            <a:solidFill>
              <a:schemeClr val="accent1">
                <a:lumMod val="50000"/>
              </a:schemeClr>
            </a:solidFill>
          </c:spPr>
          <c:invertIfNegative val="0"/>
          <c:cat>
            <c:strRef>
              <c:f>'1.'!$C$91:$E$99</c:f>
              <c:strCache>
                <c:ptCount val="9"/>
                <c:pt idx="0">
                  <c:v>Buildings</c:v>
                </c:pt>
                <c:pt idx="1">
                  <c:v>Road, rail and waterways infrastructure</c:v>
                </c:pt>
                <c:pt idx="2">
                  <c:v>Energy system</c:v>
                </c:pt>
                <c:pt idx="3">
                  <c:v>Drinking and sewage water infrastructure</c:v>
                </c:pt>
                <c:pt idx="4">
                  <c:v>Vehicles</c:v>
                </c:pt>
                <c:pt idx="5">
                  <c:v>Machinery</c:v>
                </c:pt>
                <c:pt idx="6">
                  <c:v>Textiles</c:v>
                </c:pt>
                <c:pt idx="7">
                  <c:v>Consumer electronics</c:v>
                </c:pt>
                <c:pt idx="8">
                  <c:v>Other consumer goods</c:v>
                </c:pt>
              </c:strCache>
            </c:strRef>
          </c:cat>
          <c:val>
            <c:numRef>
              <c:f>'1.'!$AW$91:$AW$99</c:f>
              <c:numCache>
                <c:formatCode>0.00E+00</c:formatCode>
                <c:ptCount val="9"/>
                <c:pt idx="0">
                  <c:v>0</c:v>
                </c:pt>
                <c:pt idx="1">
                  <c:v>0</c:v>
                </c:pt>
                <c:pt idx="2">
                  <c:v>104.535</c:v>
                </c:pt>
                <c:pt idx="3">
                  <c:v>0</c:v>
                </c:pt>
                <c:pt idx="4">
                  <c:v>2.7786143400821262</c:v>
                </c:pt>
                <c:pt idx="5">
                  <c:v>110.55214494424861</c:v>
                </c:pt>
                <c:pt idx="6">
                  <c:v>0</c:v>
                </c:pt>
                <c:pt idx="7">
                  <c:v>154</c:v>
                </c:pt>
                <c:pt idx="8">
                  <c:v>9.22714728044118</c:v>
                </c:pt>
              </c:numCache>
            </c:numRef>
          </c:val>
          <c:extLst>
            <c:ext xmlns:c16="http://schemas.microsoft.com/office/drawing/2014/chart" uri="{C3380CC4-5D6E-409C-BE32-E72D297353CC}">
              <c16:uniqueId val="{00000043-534D-4279-BBFF-3FAA84B709C2}"/>
            </c:ext>
          </c:extLst>
        </c:ser>
        <c:ser>
          <c:idx val="21"/>
          <c:order val="20"/>
          <c:tx>
            <c:strRef>
              <c:f>'1.'!$AX$90</c:f>
              <c:strCache>
                <c:ptCount val="1"/>
                <c:pt idx="0">
                  <c:v>Y</c:v>
                </c:pt>
              </c:strCache>
            </c:strRef>
          </c:tx>
          <c:spPr>
            <a:solidFill>
              <a:srgbClr val="FF333D"/>
            </a:solidFill>
          </c:spPr>
          <c:invertIfNegative val="0"/>
          <c:cat>
            <c:strRef>
              <c:f>'1.'!$C$91:$E$99</c:f>
              <c:strCache>
                <c:ptCount val="9"/>
                <c:pt idx="0">
                  <c:v>Buildings</c:v>
                </c:pt>
                <c:pt idx="1">
                  <c:v>Road, rail and waterways infrastructure</c:v>
                </c:pt>
                <c:pt idx="2">
                  <c:v>Energy system</c:v>
                </c:pt>
                <c:pt idx="3">
                  <c:v>Drinking and sewage water infrastructure</c:v>
                </c:pt>
                <c:pt idx="4">
                  <c:v>Vehicles</c:v>
                </c:pt>
                <c:pt idx="5">
                  <c:v>Machinery</c:v>
                </c:pt>
                <c:pt idx="6">
                  <c:v>Textiles</c:v>
                </c:pt>
                <c:pt idx="7">
                  <c:v>Consumer electronics</c:v>
                </c:pt>
                <c:pt idx="8">
                  <c:v>Other consumer goods</c:v>
                </c:pt>
              </c:strCache>
            </c:strRef>
          </c:cat>
          <c:val>
            <c:numRef>
              <c:f>'1.'!$AX$91:$AX$99</c:f>
              <c:numCache>
                <c:formatCode>0.00E+00</c:formatCode>
                <c:ptCount val="9"/>
                <c:pt idx="0">
                  <c:v>0</c:v>
                </c:pt>
                <c:pt idx="1">
                  <c:v>0</c:v>
                </c:pt>
                <c:pt idx="2">
                  <c:v>0.255</c:v>
                </c:pt>
                <c:pt idx="3">
                  <c:v>0</c:v>
                </c:pt>
                <c:pt idx="4">
                  <c:v>0</c:v>
                </c:pt>
                <c:pt idx="5">
                  <c:v>0</c:v>
                </c:pt>
                <c:pt idx="6">
                  <c:v>0</c:v>
                </c:pt>
                <c:pt idx="7">
                  <c:v>3</c:v>
                </c:pt>
                <c:pt idx="8">
                  <c:v>0</c:v>
                </c:pt>
              </c:numCache>
            </c:numRef>
          </c:val>
          <c:extLst>
            <c:ext xmlns:c16="http://schemas.microsoft.com/office/drawing/2014/chart" uri="{C3380CC4-5D6E-409C-BE32-E72D297353CC}">
              <c16:uniqueId val="{00000044-534D-4279-BBFF-3FAA84B709C2}"/>
            </c:ext>
          </c:extLst>
        </c:ser>
        <c:ser>
          <c:idx val="22"/>
          <c:order val="21"/>
          <c:tx>
            <c:strRef>
              <c:f>'1.'!$AY$90</c:f>
              <c:strCache>
                <c:ptCount val="1"/>
                <c:pt idx="0">
                  <c:v>La</c:v>
                </c:pt>
              </c:strCache>
            </c:strRef>
          </c:tx>
          <c:invertIfNegative val="0"/>
          <c:cat>
            <c:strRef>
              <c:f>'1.'!$C$91:$E$99</c:f>
              <c:strCache>
                <c:ptCount val="9"/>
                <c:pt idx="0">
                  <c:v>Buildings</c:v>
                </c:pt>
                <c:pt idx="1">
                  <c:v>Road, rail and waterways infrastructure</c:v>
                </c:pt>
                <c:pt idx="2">
                  <c:v>Energy system</c:v>
                </c:pt>
                <c:pt idx="3">
                  <c:v>Drinking and sewage water infrastructure</c:v>
                </c:pt>
                <c:pt idx="4">
                  <c:v>Vehicles</c:v>
                </c:pt>
                <c:pt idx="5">
                  <c:v>Machinery</c:v>
                </c:pt>
                <c:pt idx="6">
                  <c:v>Textiles</c:v>
                </c:pt>
                <c:pt idx="7">
                  <c:v>Consumer electronics</c:v>
                </c:pt>
                <c:pt idx="8">
                  <c:v>Other consumer goods</c:v>
                </c:pt>
              </c:strCache>
            </c:strRef>
          </c:cat>
          <c:val>
            <c:numRef>
              <c:f>'1.'!$AY$91:$AY$99</c:f>
              <c:numCache>
                <c:formatCode>0.00E+00</c:formatCode>
                <c:ptCount val="9"/>
                <c:pt idx="0">
                  <c:v>0</c:v>
                </c:pt>
                <c:pt idx="1">
                  <c:v>0</c:v>
                </c:pt>
                <c:pt idx="2">
                  <c:v>0</c:v>
                </c:pt>
                <c:pt idx="3">
                  <c:v>0</c:v>
                </c:pt>
                <c:pt idx="4">
                  <c:v>0</c:v>
                </c:pt>
                <c:pt idx="5">
                  <c:v>5.8880918197781962E-2</c:v>
                </c:pt>
                <c:pt idx="6">
                  <c:v>0</c:v>
                </c:pt>
                <c:pt idx="7">
                  <c:v>0</c:v>
                </c:pt>
                <c:pt idx="8">
                  <c:v>0</c:v>
                </c:pt>
              </c:numCache>
            </c:numRef>
          </c:val>
          <c:extLst>
            <c:ext xmlns:c16="http://schemas.microsoft.com/office/drawing/2014/chart" uri="{C3380CC4-5D6E-409C-BE32-E72D297353CC}">
              <c16:uniqueId val="{00000045-534D-4279-BBFF-3FAA84B709C2}"/>
            </c:ext>
          </c:extLst>
        </c:ser>
        <c:ser>
          <c:idx val="23"/>
          <c:order val="22"/>
          <c:tx>
            <c:strRef>
              <c:f>'1.'!$AZ$90</c:f>
              <c:strCache>
                <c:ptCount val="1"/>
                <c:pt idx="0">
                  <c:v>Nb</c:v>
                </c:pt>
              </c:strCache>
            </c:strRef>
          </c:tx>
          <c:spPr>
            <a:solidFill>
              <a:srgbClr val="FF757C"/>
            </a:solidFill>
          </c:spPr>
          <c:invertIfNegative val="0"/>
          <c:cat>
            <c:strRef>
              <c:f>'1.'!$C$91:$E$99</c:f>
              <c:strCache>
                <c:ptCount val="9"/>
                <c:pt idx="0">
                  <c:v>Buildings</c:v>
                </c:pt>
                <c:pt idx="1">
                  <c:v>Road, rail and waterways infrastructure</c:v>
                </c:pt>
                <c:pt idx="2">
                  <c:v>Energy system</c:v>
                </c:pt>
                <c:pt idx="3">
                  <c:v>Drinking and sewage water infrastructure</c:v>
                </c:pt>
                <c:pt idx="4">
                  <c:v>Vehicles</c:v>
                </c:pt>
                <c:pt idx="5">
                  <c:v>Machinery</c:v>
                </c:pt>
                <c:pt idx="6">
                  <c:v>Textiles</c:v>
                </c:pt>
                <c:pt idx="7">
                  <c:v>Consumer electronics</c:v>
                </c:pt>
                <c:pt idx="8">
                  <c:v>Other consumer goods</c:v>
                </c:pt>
              </c:strCache>
            </c:strRef>
          </c:cat>
          <c:val>
            <c:numRef>
              <c:f>'1.'!$AZ$91:$AZ$99</c:f>
              <c:numCache>
                <c:formatCode>0.00E+00</c:formatCode>
                <c:ptCount val="9"/>
                <c:pt idx="0">
                  <c:v>0</c:v>
                </c:pt>
                <c:pt idx="1">
                  <c:v>0</c:v>
                </c:pt>
                <c:pt idx="2">
                  <c:v>10.701776000000001</c:v>
                </c:pt>
                <c:pt idx="3">
                  <c:v>0</c:v>
                </c:pt>
                <c:pt idx="4">
                  <c:v>0</c:v>
                </c:pt>
                <c:pt idx="5">
                  <c:v>0.49494809553083402</c:v>
                </c:pt>
                <c:pt idx="6">
                  <c:v>0</c:v>
                </c:pt>
                <c:pt idx="7">
                  <c:v>0</c:v>
                </c:pt>
                <c:pt idx="8">
                  <c:v>0</c:v>
                </c:pt>
              </c:numCache>
            </c:numRef>
          </c:val>
          <c:extLst>
            <c:ext xmlns:c16="http://schemas.microsoft.com/office/drawing/2014/chart" uri="{C3380CC4-5D6E-409C-BE32-E72D297353CC}">
              <c16:uniqueId val="{00000046-534D-4279-BBFF-3FAA84B709C2}"/>
            </c:ext>
          </c:extLst>
        </c:ser>
        <c:ser>
          <c:idx val="24"/>
          <c:order val="23"/>
          <c:tx>
            <c:strRef>
              <c:f>'1.'!$BA$90</c:f>
              <c:strCache>
                <c:ptCount val="1"/>
                <c:pt idx="0">
                  <c:v>V</c:v>
                </c:pt>
              </c:strCache>
            </c:strRef>
          </c:tx>
          <c:invertIfNegative val="0"/>
          <c:cat>
            <c:strRef>
              <c:f>'1.'!$C$91:$E$99</c:f>
              <c:strCache>
                <c:ptCount val="9"/>
                <c:pt idx="0">
                  <c:v>Buildings</c:v>
                </c:pt>
                <c:pt idx="1">
                  <c:v>Road, rail and waterways infrastructure</c:v>
                </c:pt>
                <c:pt idx="2">
                  <c:v>Energy system</c:v>
                </c:pt>
                <c:pt idx="3">
                  <c:v>Drinking and sewage water infrastructure</c:v>
                </c:pt>
                <c:pt idx="4">
                  <c:v>Vehicles</c:v>
                </c:pt>
                <c:pt idx="5">
                  <c:v>Machinery</c:v>
                </c:pt>
                <c:pt idx="6">
                  <c:v>Textiles</c:v>
                </c:pt>
                <c:pt idx="7">
                  <c:v>Consumer electronics</c:v>
                </c:pt>
                <c:pt idx="8">
                  <c:v>Other consumer goods</c:v>
                </c:pt>
              </c:strCache>
            </c:strRef>
          </c:cat>
          <c:val>
            <c:numRef>
              <c:f>'1.'!$BA$91:$BA$99</c:f>
              <c:numCache>
                <c:formatCode>0.00E+00</c:formatCode>
                <c:ptCount val="9"/>
                <c:pt idx="0">
                  <c:v>0</c:v>
                </c:pt>
                <c:pt idx="1">
                  <c:v>0</c:v>
                </c:pt>
                <c:pt idx="2">
                  <c:v>33.199089537040095</c:v>
                </c:pt>
                <c:pt idx="3">
                  <c:v>0</c:v>
                </c:pt>
                <c:pt idx="4">
                  <c:v>2.0537584252780934</c:v>
                </c:pt>
                <c:pt idx="5">
                  <c:v>0</c:v>
                </c:pt>
                <c:pt idx="6">
                  <c:v>0</c:v>
                </c:pt>
                <c:pt idx="7">
                  <c:v>0</c:v>
                </c:pt>
                <c:pt idx="8">
                  <c:v>0</c:v>
                </c:pt>
              </c:numCache>
            </c:numRef>
          </c:val>
          <c:extLst>
            <c:ext xmlns:c16="http://schemas.microsoft.com/office/drawing/2014/chart" uri="{C3380CC4-5D6E-409C-BE32-E72D297353CC}">
              <c16:uniqueId val="{00000047-534D-4279-BBFF-3FAA84B709C2}"/>
            </c:ext>
          </c:extLst>
        </c:ser>
        <c:ser>
          <c:idx val="25"/>
          <c:order val="24"/>
          <c:tx>
            <c:strRef>
              <c:f>'1.'!$BB$90</c:f>
              <c:strCache>
                <c:ptCount val="1"/>
                <c:pt idx="0">
                  <c:v>Ce</c:v>
                </c:pt>
              </c:strCache>
            </c:strRef>
          </c:tx>
          <c:spPr>
            <a:solidFill>
              <a:srgbClr val="FFC5C8"/>
            </a:solidFill>
          </c:spPr>
          <c:invertIfNegative val="0"/>
          <c:cat>
            <c:strRef>
              <c:f>'1.'!$C$91:$E$99</c:f>
              <c:strCache>
                <c:ptCount val="9"/>
                <c:pt idx="0">
                  <c:v>Buildings</c:v>
                </c:pt>
                <c:pt idx="1">
                  <c:v>Road, rail and waterways infrastructure</c:v>
                </c:pt>
                <c:pt idx="2">
                  <c:v>Energy system</c:v>
                </c:pt>
                <c:pt idx="3">
                  <c:v>Drinking and sewage water infrastructure</c:v>
                </c:pt>
                <c:pt idx="4">
                  <c:v>Vehicles</c:v>
                </c:pt>
                <c:pt idx="5">
                  <c:v>Machinery</c:v>
                </c:pt>
                <c:pt idx="6">
                  <c:v>Textiles</c:v>
                </c:pt>
                <c:pt idx="7">
                  <c:v>Consumer electronics</c:v>
                </c:pt>
                <c:pt idx="8">
                  <c:v>Other consumer goods</c:v>
                </c:pt>
              </c:strCache>
            </c:strRef>
          </c:cat>
          <c:val>
            <c:numRef>
              <c:f>'1.'!$BB$91:$BB$99</c:f>
              <c:numCache>
                <c:formatCode>0.00E+00</c:formatCode>
                <c:ptCount val="9"/>
                <c:pt idx="0">
                  <c:v>0</c:v>
                </c:pt>
                <c:pt idx="1">
                  <c:v>0</c:v>
                </c:pt>
                <c:pt idx="2">
                  <c:v>0</c:v>
                </c:pt>
                <c:pt idx="3">
                  <c:v>0</c:v>
                </c:pt>
                <c:pt idx="4">
                  <c:v>0</c:v>
                </c:pt>
                <c:pt idx="5">
                  <c:v>6.4998952794293963E-2</c:v>
                </c:pt>
                <c:pt idx="6">
                  <c:v>0</c:v>
                </c:pt>
                <c:pt idx="7">
                  <c:v>3</c:v>
                </c:pt>
                <c:pt idx="8">
                  <c:v>5.8341505079755702E-4</c:v>
                </c:pt>
              </c:numCache>
            </c:numRef>
          </c:val>
          <c:extLst>
            <c:ext xmlns:c16="http://schemas.microsoft.com/office/drawing/2014/chart" uri="{C3380CC4-5D6E-409C-BE32-E72D297353CC}">
              <c16:uniqueId val="{00000048-534D-4279-BBFF-3FAA84B709C2}"/>
            </c:ext>
          </c:extLst>
        </c:ser>
        <c:ser>
          <c:idx val="26"/>
          <c:order val="25"/>
          <c:tx>
            <c:strRef>
              <c:f>'1.'!$BC$90</c:f>
              <c:strCache>
                <c:ptCount val="1"/>
                <c:pt idx="0">
                  <c:v>Hf</c:v>
                </c:pt>
              </c:strCache>
            </c:strRef>
          </c:tx>
          <c:spPr>
            <a:solidFill>
              <a:schemeClr val="accent4">
                <a:lumMod val="75000"/>
              </a:schemeClr>
            </a:solidFill>
          </c:spPr>
          <c:invertIfNegative val="0"/>
          <c:cat>
            <c:strRef>
              <c:f>'1.'!$C$91:$E$99</c:f>
              <c:strCache>
                <c:ptCount val="9"/>
                <c:pt idx="0">
                  <c:v>Buildings</c:v>
                </c:pt>
                <c:pt idx="1">
                  <c:v>Road, rail and waterways infrastructure</c:v>
                </c:pt>
                <c:pt idx="2">
                  <c:v>Energy system</c:v>
                </c:pt>
                <c:pt idx="3">
                  <c:v>Drinking and sewage water infrastructure</c:v>
                </c:pt>
                <c:pt idx="4">
                  <c:v>Vehicles</c:v>
                </c:pt>
                <c:pt idx="5">
                  <c:v>Machinery</c:v>
                </c:pt>
                <c:pt idx="6">
                  <c:v>Textiles</c:v>
                </c:pt>
                <c:pt idx="7">
                  <c:v>Consumer electronics</c:v>
                </c:pt>
                <c:pt idx="8">
                  <c:v>Other consumer goods</c:v>
                </c:pt>
              </c:strCache>
            </c:strRef>
          </c:cat>
          <c:val>
            <c:numRef>
              <c:f>'1.'!$BC$91:$BC$99</c:f>
              <c:numCache>
                <c:formatCode>0.00E+00</c:formatCode>
                <c:ptCount val="9"/>
                <c:pt idx="0">
                  <c:v>0</c:v>
                </c:pt>
                <c:pt idx="1">
                  <c:v>0</c:v>
                </c:pt>
                <c:pt idx="2">
                  <c:v>0</c:v>
                </c:pt>
                <c:pt idx="3">
                  <c:v>0</c:v>
                </c:pt>
                <c:pt idx="4">
                  <c:v>0.24161863826801072</c:v>
                </c:pt>
                <c:pt idx="5">
                  <c:v>0</c:v>
                </c:pt>
                <c:pt idx="6">
                  <c:v>0</c:v>
                </c:pt>
                <c:pt idx="7">
                  <c:v>0</c:v>
                </c:pt>
                <c:pt idx="8">
                  <c:v>0</c:v>
                </c:pt>
              </c:numCache>
            </c:numRef>
          </c:val>
          <c:extLst>
            <c:ext xmlns:c16="http://schemas.microsoft.com/office/drawing/2014/chart" uri="{C3380CC4-5D6E-409C-BE32-E72D297353CC}">
              <c16:uniqueId val="{00000049-534D-4279-BBFF-3FAA84B709C2}"/>
            </c:ext>
          </c:extLst>
        </c:ser>
        <c:ser>
          <c:idx val="27"/>
          <c:order val="26"/>
          <c:tx>
            <c:strRef>
              <c:f>'1.'!$BD$90</c:f>
              <c:strCache>
                <c:ptCount val="1"/>
                <c:pt idx="0">
                  <c:v>Unspecified CRM</c:v>
                </c:pt>
              </c:strCache>
            </c:strRef>
          </c:tx>
          <c:spPr>
            <a:solidFill>
              <a:srgbClr val="F2E8FE"/>
            </a:solidFill>
          </c:spPr>
          <c:invertIfNegative val="0"/>
          <c:cat>
            <c:strRef>
              <c:f>'1.'!$C$91:$E$99</c:f>
              <c:strCache>
                <c:ptCount val="9"/>
                <c:pt idx="0">
                  <c:v>Buildings</c:v>
                </c:pt>
                <c:pt idx="1">
                  <c:v>Road, rail and waterways infrastructure</c:v>
                </c:pt>
                <c:pt idx="2">
                  <c:v>Energy system</c:v>
                </c:pt>
                <c:pt idx="3">
                  <c:v>Drinking and sewage water infrastructure</c:v>
                </c:pt>
                <c:pt idx="4">
                  <c:v>Vehicles</c:v>
                </c:pt>
                <c:pt idx="5">
                  <c:v>Machinery</c:v>
                </c:pt>
                <c:pt idx="6">
                  <c:v>Textiles</c:v>
                </c:pt>
                <c:pt idx="7">
                  <c:v>Consumer electronics</c:v>
                </c:pt>
                <c:pt idx="8">
                  <c:v>Other consumer goods</c:v>
                </c:pt>
              </c:strCache>
            </c:strRef>
          </c:cat>
          <c:val>
            <c:numRef>
              <c:f>'1.'!$BD$91:$BD$99</c:f>
              <c:numCache>
                <c:formatCode>0.00E+00</c:formatCode>
                <c:ptCount val="9"/>
                <c:pt idx="0">
                  <c:v>0</c:v>
                </c:pt>
                <c:pt idx="1">
                  <c:v>0</c:v>
                </c:pt>
                <c:pt idx="2">
                  <c:v>0</c:v>
                </c:pt>
                <c:pt idx="3">
                  <c:v>0</c:v>
                </c:pt>
                <c:pt idx="4">
                  <c:v>30.83361248839509</c:v>
                </c:pt>
                <c:pt idx="5">
                  <c:v>0</c:v>
                </c:pt>
                <c:pt idx="6">
                  <c:v>0</c:v>
                </c:pt>
                <c:pt idx="7">
                  <c:v>0</c:v>
                </c:pt>
                <c:pt idx="8">
                  <c:v>18486.425323078998</c:v>
                </c:pt>
              </c:numCache>
            </c:numRef>
          </c:val>
          <c:extLst>
            <c:ext xmlns:c16="http://schemas.microsoft.com/office/drawing/2014/chart" uri="{C3380CC4-5D6E-409C-BE32-E72D297353CC}">
              <c16:uniqueId val="{0000004A-534D-4279-BBFF-3FAA84B709C2}"/>
            </c:ext>
          </c:extLst>
        </c:ser>
        <c:dLbls>
          <c:showLegendKey val="0"/>
          <c:showVal val="0"/>
          <c:showCatName val="0"/>
          <c:showSerName val="0"/>
          <c:showPercent val="0"/>
          <c:showBubbleSize val="0"/>
        </c:dLbls>
        <c:gapWidth val="150"/>
        <c:overlap val="100"/>
        <c:axId val="641159087"/>
        <c:axId val="641151183"/>
      </c:barChart>
      <c:catAx>
        <c:axId val="641159087"/>
        <c:scaling>
          <c:orientation val="minMax"/>
        </c:scaling>
        <c:delete val="0"/>
        <c:axPos val="b"/>
        <c:numFmt formatCode="General" sourceLinked="1"/>
        <c:majorTickMark val="none"/>
        <c:minorTickMark val="none"/>
        <c:tickLblPos val="nextTo"/>
        <c:spPr>
          <a:noFill/>
          <a:ln w="9525" cap="flat" cmpd="sng" algn="ctr">
            <a:solidFill>
              <a:schemeClr val="tx1"/>
            </a:solidFill>
            <a:round/>
          </a:ln>
          <a:effectLst/>
        </c:spPr>
        <c:txPr>
          <a:bodyPr rot="-60000000" vert="horz"/>
          <a:lstStyle/>
          <a:p>
            <a:pPr>
              <a:defRPr>
                <a:solidFill>
                  <a:sysClr val="windowText" lastClr="000000"/>
                </a:solidFill>
              </a:defRPr>
            </a:pPr>
            <a:endParaRPr lang="nl-NL"/>
          </a:p>
        </c:txPr>
        <c:crossAx val="641151183"/>
        <c:crosses val="autoZero"/>
        <c:auto val="1"/>
        <c:lblAlgn val="ctr"/>
        <c:lblOffset val="100"/>
        <c:noMultiLvlLbl val="0"/>
      </c:catAx>
      <c:valAx>
        <c:axId val="641151183"/>
        <c:scaling>
          <c:orientation val="minMax"/>
        </c:scaling>
        <c:delete val="0"/>
        <c:axPos val="l"/>
        <c:title>
          <c:tx>
            <c:rich>
              <a:bodyPr/>
              <a:lstStyle/>
              <a:p>
                <a:pPr>
                  <a:defRPr b="1"/>
                </a:pPr>
                <a:r>
                  <a:rPr lang="en-US" b="1"/>
                  <a:t>ton</a:t>
                </a:r>
              </a:p>
            </c:rich>
          </c:tx>
          <c:overlay val="0"/>
        </c:title>
        <c:numFmt formatCode="0.00E+00" sourceLinked="1"/>
        <c:majorTickMark val="none"/>
        <c:minorTickMark val="none"/>
        <c:tickLblPos val="nextTo"/>
        <c:spPr>
          <a:noFill/>
          <a:ln>
            <a:solidFill>
              <a:schemeClr val="tx1"/>
            </a:solidFill>
          </a:ln>
          <a:effectLst/>
        </c:spPr>
        <c:txPr>
          <a:bodyPr rot="-60000000" vert="horz"/>
          <a:lstStyle/>
          <a:p>
            <a:pPr>
              <a:defRPr sz="800"/>
            </a:pPr>
            <a:endParaRPr lang="nl-NL"/>
          </a:p>
        </c:txPr>
        <c:crossAx val="641159087"/>
        <c:crosses val="autoZero"/>
        <c:crossBetween val="between"/>
      </c:valAx>
    </c:plotArea>
    <c:legend>
      <c:legendPos val="tr"/>
      <c:layout>
        <c:manualLayout>
          <c:xMode val="edge"/>
          <c:yMode val="edge"/>
          <c:x val="0.75596566208280347"/>
          <c:y val="0.10222330502362653"/>
          <c:w val="0.18900047657719352"/>
          <c:h val="0.63074283291088784"/>
        </c:manualLayout>
      </c:layout>
      <c:overlay val="0"/>
      <c:spPr>
        <a:noFill/>
        <a:ln>
          <a:solidFill>
            <a:schemeClr val="tx1"/>
          </a:solidFill>
        </a:ln>
        <a:effectLst/>
      </c:spPr>
      <c:txPr>
        <a:bodyPr rot="0" vert="horz"/>
        <a:lstStyle/>
        <a:p>
          <a:pPr>
            <a:defRPr sz="800"/>
          </a:pPr>
          <a:endParaRPr lang="nl-NL"/>
        </a:p>
      </c:txPr>
    </c:legend>
    <c:plotVisOnly val="1"/>
    <c:dispBlanksAs val="gap"/>
    <c:showDLblsOverMax val="0"/>
    <c:extLst/>
  </c:chart>
  <c:spPr>
    <a:solidFill>
      <a:schemeClr val="bg1"/>
    </a:solidFill>
    <a:ln w="9525" cap="flat" cmpd="sng" algn="ctr">
      <a:noFill/>
      <a:round/>
    </a:ln>
    <a:effectLst/>
  </c:spPr>
  <c:txPr>
    <a:bodyPr/>
    <a:lstStyle/>
    <a:p>
      <a:pPr>
        <a:defRPr sz="900" b="0">
          <a:solidFill>
            <a:sysClr val="windowText" lastClr="000000"/>
          </a:solidFill>
          <a:latin typeface="Avenir Next LT Pro" panose="020B0504020202020204" pitchFamily="34" charset="0"/>
        </a:defRPr>
      </a:pPr>
      <a:endParaRPr lang="nl-NL"/>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000" b="1" i="0" baseline="0">
                <a:effectLst/>
              </a:rPr>
              <a:t>In-use stocks of CRM per sector, the Netherlands, ca. 2020</a:t>
            </a:r>
          </a:p>
          <a:p>
            <a:pPr>
              <a:defRPr/>
            </a:pPr>
            <a:r>
              <a:rPr lang="en-US" sz="1000" b="0" i="1" baseline="0">
                <a:effectLst/>
              </a:rPr>
              <a:t>without Si, Mg &amp; unspecified CRM</a:t>
            </a:r>
            <a:endParaRPr lang="en-US" sz="1000" b="0" i="1">
              <a:effectLst/>
            </a:endParaRPr>
          </a:p>
        </c:rich>
      </c:tx>
      <c:layout>
        <c:manualLayout>
          <c:xMode val="edge"/>
          <c:yMode val="edge"/>
          <c:x val="0.29288081330732646"/>
          <c:y val="1.4686755437997974E-2"/>
        </c:manualLayout>
      </c:layout>
      <c:overlay val="0"/>
    </c:title>
    <c:autoTitleDeleted val="0"/>
    <c:plotArea>
      <c:layout>
        <c:manualLayout>
          <c:layoutTarget val="inner"/>
          <c:xMode val="edge"/>
          <c:yMode val="edge"/>
          <c:x val="0.1999302297579704"/>
          <c:y val="5.2025999943554065E-2"/>
          <c:w val="0.77441752294198407"/>
          <c:h val="0.57797115885569339"/>
        </c:manualLayout>
      </c:layout>
      <c:barChart>
        <c:barDir val="col"/>
        <c:grouping val="stacked"/>
        <c:varyColors val="0"/>
        <c:ser>
          <c:idx val="0"/>
          <c:order val="0"/>
          <c:tx>
            <c:strRef>
              <c:f>'1.'!$AD$90</c:f>
              <c:strCache>
                <c:ptCount val="1"/>
                <c:pt idx="0">
                  <c:v>Nd</c:v>
                </c:pt>
              </c:strCache>
            </c:strRef>
          </c:tx>
          <c:spPr>
            <a:solidFill>
              <a:schemeClr val="accent2">
                <a:lumMod val="50000"/>
              </a:schemeClr>
            </a:solidFill>
            <a:ln>
              <a:noFill/>
            </a:ln>
            <a:effectLst/>
          </c:spPr>
          <c:invertIfNegative val="0"/>
          <c:cat>
            <c:strRef>
              <c:f>'1.'!$C$91:$E$99</c:f>
              <c:strCache>
                <c:ptCount val="9"/>
                <c:pt idx="0">
                  <c:v>Buildings</c:v>
                </c:pt>
                <c:pt idx="1">
                  <c:v>Road, rail and waterways infrastructure</c:v>
                </c:pt>
                <c:pt idx="2">
                  <c:v>Energy system</c:v>
                </c:pt>
                <c:pt idx="3">
                  <c:v>Drinking and sewage water infrastructure</c:v>
                </c:pt>
                <c:pt idx="4">
                  <c:v>Vehicles</c:v>
                </c:pt>
                <c:pt idx="5">
                  <c:v>Machinery</c:v>
                </c:pt>
                <c:pt idx="6">
                  <c:v>Textiles</c:v>
                </c:pt>
                <c:pt idx="7">
                  <c:v>Consumer electronics</c:v>
                </c:pt>
                <c:pt idx="8">
                  <c:v>Other consumer goods</c:v>
                </c:pt>
              </c:strCache>
            </c:strRef>
          </c:cat>
          <c:val>
            <c:numRef>
              <c:f>'1.'!$AD$91:$AD$99</c:f>
              <c:numCache>
                <c:formatCode>0.00E+00</c:formatCode>
                <c:ptCount val="9"/>
                <c:pt idx="0">
                  <c:v>0</c:v>
                </c:pt>
                <c:pt idx="1">
                  <c:v>0</c:v>
                </c:pt>
                <c:pt idx="2">
                  <c:v>91.514654522221321</c:v>
                </c:pt>
                <c:pt idx="3">
                  <c:v>0</c:v>
                </c:pt>
                <c:pt idx="4">
                  <c:v>0.10800384</c:v>
                </c:pt>
                <c:pt idx="5">
                  <c:v>5.0330780125828882</c:v>
                </c:pt>
                <c:pt idx="6">
                  <c:v>0</c:v>
                </c:pt>
                <c:pt idx="7">
                  <c:v>39</c:v>
                </c:pt>
                <c:pt idx="8">
                  <c:v>8.8032534336909697E-6</c:v>
                </c:pt>
              </c:numCache>
            </c:numRef>
          </c:val>
          <c:extLst>
            <c:ext xmlns:c16="http://schemas.microsoft.com/office/drawing/2014/chart" uri="{C3380CC4-5D6E-409C-BE32-E72D297353CC}">
              <c16:uniqueId val="{00000000-94F6-41FF-B661-507C27BE4AB4}"/>
            </c:ext>
          </c:extLst>
        </c:ser>
        <c:ser>
          <c:idx val="1"/>
          <c:order val="1"/>
          <c:tx>
            <c:strRef>
              <c:f>'1.'!$AE$90</c:f>
              <c:strCache>
                <c:ptCount val="1"/>
                <c:pt idx="0">
                  <c:v>Dy</c:v>
                </c:pt>
              </c:strCache>
            </c:strRef>
          </c:tx>
          <c:spPr>
            <a:solidFill>
              <a:schemeClr val="accent4">
                <a:lumMod val="60000"/>
                <a:lumOff val="40000"/>
              </a:schemeClr>
            </a:solidFill>
            <a:ln>
              <a:noFill/>
            </a:ln>
            <a:effectLst/>
          </c:spPr>
          <c:invertIfNegative val="0"/>
          <c:cat>
            <c:strRef>
              <c:f>'1.'!$C$91:$E$99</c:f>
              <c:strCache>
                <c:ptCount val="9"/>
                <c:pt idx="0">
                  <c:v>Buildings</c:v>
                </c:pt>
                <c:pt idx="1">
                  <c:v>Road, rail and waterways infrastructure</c:v>
                </c:pt>
                <c:pt idx="2">
                  <c:v>Energy system</c:v>
                </c:pt>
                <c:pt idx="3">
                  <c:v>Drinking and sewage water infrastructure</c:v>
                </c:pt>
                <c:pt idx="4">
                  <c:v>Vehicles</c:v>
                </c:pt>
                <c:pt idx="5">
                  <c:v>Machinery</c:v>
                </c:pt>
                <c:pt idx="6">
                  <c:v>Textiles</c:v>
                </c:pt>
                <c:pt idx="7">
                  <c:v>Consumer electronics</c:v>
                </c:pt>
                <c:pt idx="8">
                  <c:v>Other consumer goods</c:v>
                </c:pt>
              </c:strCache>
            </c:strRef>
          </c:cat>
          <c:val>
            <c:numRef>
              <c:f>'1.'!$AE$91:$AE$99</c:f>
              <c:numCache>
                <c:formatCode>0.00E+00</c:formatCode>
                <c:ptCount val="9"/>
                <c:pt idx="0">
                  <c:v>0</c:v>
                </c:pt>
                <c:pt idx="1">
                  <c:v>0</c:v>
                </c:pt>
                <c:pt idx="2">
                  <c:v>3.744649746629515</c:v>
                </c:pt>
                <c:pt idx="3">
                  <c:v>0</c:v>
                </c:pt>
                <c:pt idx="4">
                  <c:v>0</c:v>
                </c:pt>
                <c:pt idx="5">
                  <c:v>26.154795424535799</c:v>
                </c:pt>
                <c:pt idx="6">
                  <c:v>0</c:v>
                </c:pt>
                <c:pt idx="7">
                  <c:v>3</c:v>
                </c:pt>
                <c:pt idx="8">
                  <c:v>0</c:v>
                </c:pt>
              </c:numCache>
            </c:numRef>
          </c:val>
          <c:extLst>
            <c:ext xmlns:c16="http://schemas.microsoft.com/office/drawing/2014/chart" uri="{C3380CC4-5D6E-409C-BE32-E72D297353CC}">
              <c16:uniqueId val="{00000001-94F6-41FF-B661-507C27BE4AB4}"/>
            </c:ext>
          </c:extLst>
        </c:ser>
        <c:ser>
          <c:idx val="2"/>
          <c:order val="2"/>
          <c:tx>
            <c:strRef>
              <c:f>'1.'!$AF$90</c:f>
              <c:strCache>
                <c:ptCount val="1"/>
                <c:pt idx="0">
                  <c:v>Pr</c:v>
                </c:pt>
              </c:strCache>
            </c:strRef>
          </c:tx>
          <c:spPr>
            <a:solidFill>
              <a:schemeClr val="accent2">
                <a:lumMod val="75000"/>
              </a:schemeClr>
            </a:solidFill>
          </c:spPr>
          <c:invertIfNegative val="0"/>
          <c:cat>
            <c:strRef>
              <c:f>'1.'!$C$91:$E$99</c:f>
              <c:strCache>
                <c:ptCount val="9"/>
                <c:pt idx="0">
                  <c:v>Buildings</c:v>
                </c:pt>
                <c:pt idx="1">
                  <c:v>Road, rail and waterways infrastructure</c:v>
                </c:pt>
                <c:pt idx="2">
                  <c:v>Energy system</c:v>
                </c:pt>
                <c:pt idx="3">
                  <c:v>Drinking and sewage water infrastructure</c:v>
                </c:pt>
                <c:pt idx="4">
                  <c:v>Vehicles</c:v>
                </c:pt>
                <c:pt idx="5">
                  <c:v>Machinery</c:v>
                </c:pt>
                <c:pt idx="6">
                  <c:v>Textiles</c:v>
                </c:pt>
                <c:pt idx="7">
                  <c:v>Consumer electronics</c:v>
                </c:pt>
                <c:pt idx="8">
                  <c:v>Other consumer goods</c:v>
                </c:pt>
              </c:strCache>
            </c:strRef>
          </c:cat>
          <c:val>
            <c:numRef>
              <c:f>'1.'!$AF$91:$AF$99</c:f>
              <c:numCache>
                <c:formatCode>0.00E+00</c:formatCode>
                <c:ptCount val="9"/>
                <c:pt idx="0">
                  <c:v>0</c:v>
                </c:pt>
                <c:pt idx="1">
                  <c:v>0</c:v>
                </c:pt>
                <c:pt idx="2">
                  <c:v>16.048498914126501</c:v>
                </c:pt>
                <c:pt idx="3">
                  <c:v>0</c:v>
                </c:pt>
                <c:pt idx="4">
                  <c:v>0</c:v>
                </c:pt>
                <c:pt idx="5">
                  <c:v>0</c:v>
                </c:pt>
                <c:pt idx="6">
                  <c:v>0</c:v>
                </c:pt>
                <c:pt idx="7">
                  <c:v>4</c:v>
                </c:pt>
                <c:pt idx="8">
                  <c:v>0</c:v>
                </c:pt>
              </c:numCache>
            </c:numRef>
          </c:val>
          <c:extLst>
            <c:ext xmlns:c16="http://schemas.microsoft.com/office/drawing/2014/chart" uri="{C3380CC4-5D6E-409C-BE32-E72D297353CC}">
              <c16:uniqueId val="{00000002-94F6-41FF-B661-507C27BE4AB4}"/>
            </c:ext>
          </c:extLst>
        </c:ser>
        <c:ser>
          <c:idx val="3"/>
          <c:order val="3"/>
          <c:tx>
            <c:strRef>
              <c:f>'1.'!$AG$90</c:f>
              <c:strCache>
                <c:ptCount val="1"/>
                <c:pt idx="0">
                  <c:v>In</c:v>
                </c:pt>
              </c:strCache>
            </c:strRef>
          </c:tx>
          <c:spPr>
            <a:solidFill>
              <a:schemeClr val="accent4">
                <a:lumMod val="20000"/>
                <a:lumOff val="80000"/>
              </a:schemeClr>
            </a:solidFill>
          </c:spPr>
          <c:invertIfNegative val="0"/>
          <c:cat>
            <c:strRef>
              <c:f>'1.'!$C$91:$E$99</c:f>
              <c:strCache>
                <c:ptCount val="9"/>
                <c:pt idx="0">
                  <c:v>Buildings</c:v>
                </c:pt>
                <c:pt idx="1">
                  <c:v>Road, rail and waterways infrastructure</c:v>
                </c:pt>
                <c:pt idx="2">
                  <c:v>Energy system</c:v>
                </c:pt>
                <c:pt idx="3">
                  <c:v>Drinking and sewage water infrastructure</c:v>
                </c:pt>
                <c:pt idx="4">
                  <c:v>Vehicles</c:v>
                </c:pt>
                <c:pt idx="5">
                  <c:v>Machinery</c:v>
                </c:pt>
                <c:pt idx="6">
                  <c:v>Textiles</c:v>
                </c:pt>
                <c:pt idx="7">
                  <c:v>Consumer electronics</c:v>
                </c:pt>
                <c:pt idx="8">
                  <c:v>Other consumer goods</c:v>
                </c:pt>
              </c:strCache>
            </c:strRef>
          </c:cat>
          <c:val>
            <c:numRef>
              <c:f>'1.'!$AG$91:$AG$99</c:f>
              <c:numCache>
                <c:formatCode>0.00E+00</c:formatCode>
                <c:ptCount val="9"/>
                <c:pt idx="0">
                  <c:v>0</c:v>
                </c:pt>
                <c:pt idx="1">
                  <c:v>0</c:v>
                </c:pt>
                <c:pt idx="2">
                  <c:v>7.8659683841375134</c:v>
                </c:pt>
                <c:pt idx="3">
                  <c:v>0</c:v>
                </c:pt>
                <c:pt idx="4">
                  <c:v>0</c:v>
                </c:pt>
                <c:pt idx="5">
                  <c:v>0.83842012684864275</c:v>
                </c:pt>
                <c:pt idx="6">
                  <c:v>0</c:v>
                </c:pt>
                <c:pt idx="7">
                  <c:v>9</c:v>
                </c:pt>
                <c:pt idx="8">
                  <c:v>153.610960017385</c:v>
                </c:pt>
              </c:numCache>
            </c:numRef>
          </c:val>
          <c:extLst>
            <c:ext xmlns:c16="http://schemas.microsoft.com/office/drawing/2014/chart" uri="{C3380CC4-5D6E-409C-BE32-E72D297353CC}">
              <c16:uniqueId val="{00000003-94F6-41FF-B661-507C27BE4AB4}"/>
            </c:ext>
          </c:extLst>
        </c:ser>
        <c:ser>
          <c:idx val="4"/>
          <c:order val="4"/>
          <c:tx>
            <c:strRef>
              <c:f>'1.'!$AH$90</c:f>
              <c:strCache>
                <c:ptCount val="1"/>
                <c:pt idx="0">
                  <c:v>Ga</c:v>
                </c:pt>
              </c:strCache>
            </c:strRef>
          </c:tx>
          <c:spPr>
            <a:solidFill>
              <a:schemeClr val="accent2">
                <a:lumMod val="60000"/>
                <a:lumOff val="40000"/>
              </a:schemeClr>
            </a:solidFill>
          </c:spPr>
          <c:invertIfNegative val="0"/>
          <c:cat>
            <c:strRef>
              <c:f>'1.'!$C$91:$E$99</c:f>
              <c:strCache>
                <c:ptCount val="9"/>
                <c:pt idx="0">
                  <c:v>Buildings</c:v>
                </c:pt>
                <c:pt idx="1">
                  <c:v>Road, rail and waterways infrastructure</c:v>
                </c:pt>
                <c:pt idx="2">
                  <c:v>Energy system</c:v>
                </c:pt>
                <c:pt idx="3">
                  <c:v>Drinking and sewage water infrastructure</c:v>
                </c:pt>
                <c:pt idx="4">
                  <c:v>Vehicles</c:v>
                </c:pt>
                <c:pt idx="5">
                  <c:v>Machinery</c:v>
                </c:pt>
                <c:pt idx="6">
                  <c:v>Textiles</c:v>
                </c:pt>
                <c:pt idx="7">
                  <c:v>Consumer electronics</c:v>
                </c:pt>
                <c:pt idx="8">
                  <c:v>Other consumer goods</c:v>
                </c:pt>
              </c:strCache>
            </c:strRef>
          </c:cat>
          <c:val>
            <c:numRef>
              <c:f>'1.'!$AH$91:$AH$99</c:f>
              <c:numCache>
                <c:formatCode>0.00E+00</c:formatCode>
                <c:ptCount val="9"/>
                <c:pt idx="0">
                  <c:v>0</c:v>
                </c:pt>
                <c:pt idx="1">
                  <c:v>0</c:v>
                </c:pt>
                <c:pt idx="2">
                  <c:v>1.200175018037789</c:v>
                </c:pt>
                <c:pt idx="3">
                  <c:v>0</c:v>
                </c:pt>
                <c:pt idx="4">
                  <c:v>0</c:v>
                </c:pt>
                <c:pt idx="5">
                  <c:v>0</c:v>
                </c:pt>
                <c:pt idx="6">
                  <c:v>0</c:v>
                </c:pt>
                <c:pt idx="7">
                  <c:v>1</c:v>
                </c:pt>
                <c:pt idx="8">
                  <c:v>0</c:v>
                </c:pt>
              </c:numCache>
            </c:numRef>
          </c:val>
          <c:extLst>
            <c:ext xmlns:c16="http://schemas.microsoft.com/office/drawing/2014/chart" uri="{C3380CC4-5D6E-409C-BE32-E72D297353CC}">
              <c16:uniqueId val="{00000004-94F6-41FF-B661-507C27BE4AB4}"/>
            </c:ext>
          </c:extLst>
        </c:ser>
        <c:ser>
          <c:idx val="5"/>
          <c:order val="5"/>
          <c:tx>
            <c:strRef>
              <c:f>'1.'!$AI$90</c:f>
              <c:strCache>
                <c:ptCount val="1"/>
                <c:pt idx="0">
                  <c:v>Ge</c:v>
                </c:pt>
              </c:strCache>
            </c:strRef>
          </c:tx>
          <c:spPr>
            <a:solidFill>
              <a:srgbClr val="4A206A"/>
            </a:solidFill>
          </c:spPr>
          <c:invertIfNegative val="0"/>
          <c:cat>
            <c:strRef>
              <c:f>'1.'!$C$91:$E$99</c:f>
              <c:strCache>
                <c:ptCount val="9"/>
                <c:pt idx="0">
                  <c:v>Buildings</c:v>
                </c:pt>
                <c:pt idx="1">
                  <c:v>Road, rail and waterways infrastructure</c:v>
                </c:pt>
                <c:pt idx="2">
                  <c:v>Energy system</c:v>
                </c:pt>
                <c:pt idx="3">
                  <c:v>Drinking and sewage water infrastructure</c:v>
                </c:pt>
                <c:pt idx="4">
                  <c:v>Vehicles</c:v>
                </c:pt>
                <c:pt idx="5">
                  <c:v>Machinery</c:v>
                </c:pt>
                <c:pt idx="6">
                  <c:v>Textiles</c:v>
                </c:pt>
                <c:pt idx="7">
                  <c:v>Consumer electronics</c:v>
                </c:pt>
                <c:pt idx="8">
                  <c:v>Other consumer goods</c:v>
                </c:pt>
              </c:strCache>
            </c:strRef>
          </c:cat>
          <c:val>
            <c:numRef>
              <c:f>'1.'!$AI$91:$AI$99</c:f>
              <c:numCache>
                <c:formatCode>0.00E+00</c:formatCode>
                <c:ptCount val="9"/>
                <c:pt idx="0">
                  <c:v>0</c:v>
                </c:pt>
                <c:pt idx="1">
                  <c:v>0</c:v>
                </c:pt>
                <c:pt idx="2">
                  <c:v>12.84843603012674</c:v>
                </c:pt>
                <c:pt idx="3">
                  <c:v>0</c:v>
                </c:pt>
                <c:pt idx="4">
                  <c:v>0</c:v>
                </c:pt>
                <c:pt idx="5">
                  <c:v>0.15657168372778599</c:v>
                </c:pt>
                <c:pt idx="6">
                  <c:v>0</c:v>
                </c:pt>
                <c:pt idx="7">
                  <c:v>0</c:v>
                </c:pt>
                <c:pt idx="8">
                  <c:v>0</c:v>
                </c:pt>
              </c:numCache>
            </c:numRef>
          </c:val>
          <c:extLst>
            <c:ext xmlns:c16="http://schemas.microsoft.com/office/drawing/2014/chart" uri="{C3380CC4-5D6E-409C-BE32-E72D297353CC}">
              <c16:uniqueId val="{00000005-94F6-41FF-B661-507C27BE4AB4}"/>
            </c:ext>
          </c:extLst>
        </c:ser>
        <c:ser>
          <c:idx val="6"/>
          <c:order val="6"/>
          <c:tx>
            <c:strRef>
              <c:f>'1.'!$AJ$90</c:f>
              <c:strCache>
                <c:ptCount val="1"/>
                <c:pt idx="0">
                  <c:v>Ag</c:v>
                </c:pt>
              </c:strCache>
            </c:strRef>
          </c:tx>
          <c:spPr>
            <a:solidFill>
              <a:schemeClr val="accent2">
                <a:lumMod val="20000"/>
                <a:lumOff val="80000"/>
              </a:schemeClr>
            </a:solidFill>
          </c:spPr>
          <c:invertIfNegative val="0"/>
          <c:cat>
            <c:strRef>
              <c:f>'1.'!$C$91:$E$99</c:f>
              <c:strCache>
                <c:ptCount val="9"/>
                <c:pt idx="0">
                  <c:v>Buildings</c:v>
                </c:pt>
                <c:pt idx="1">
                  <c:v>Road, rail and waterways infrastructure</c:v>
                </c:pt>
                <c:pt idx="2">
                  <c:v>Energy system</c:v>
                </c:pt>
                <c:pt idx="3">
                  <c:v>Drinking and sewage water infrastructure</c:v>
                </c:pt>
                <c:pt idx="4">
                  <c:v>Vehicles</c:v>
                </c:pt>
                <c:pt idx="5">
                  <c:v>Machinery</c:v>
                </c:pt>
                <c:pt idx="6">
                  <c:v>Textiles</c:v>
                </c:pt>
                <c:pt idx="7">
                  <c:v>Consumer electronics</c:v>
                </c:pt>
                <c:pt idx="8">
                  <c:v>Other consumer goods</c:v>
                </c:pt>
              </c:strCache>
            </c:strRef>
          </c:cat>
          <c:val>
            <c:numRef>
              <c:f>'1.'!$AJ$91:$AJ$99</c:f>
              <c:numCache>
                <c:formatCode>0.00E+00</c:formatCode>
                <c:ptCount val="9"/>
                <c:pt idx="0">
                  <c:v>0</c:v>
                </c:pt>
                <c:pt idx="1">
                  <c:v>0</c:v>
                </c:pt>
                <c:pt idx="2">
                  <c:v>81.406123192664836</c:v>
                </c:pt>
                <c:pt idx="3">
                  <c:v>0</c:v>
                </c:pt>
                <c:pt idx="4">
                  <c:v>1.6423719083349324</c:v>
                </c:pt>
                <c:pt idx="5">
                  <c:v>0</c:v>
                </c:pt>
                <c:pt idx="6">
                  <c:v>0</c:v>
                </c:pt>
                <c:pt idx="7">
                  <c:v>35</c:v>
                </c:pt>
                <c:pt idx="8">
                  <c:v>0</c:v>
                </c:pt>
              </c:numCache>
            </c:numRef>
          </c:val>
          <c:extLst>
            <c:ext xmlns:c16="http://schemas.microsoft.com/office/drawing/2014/chart" uri="{C3380CC4-5D6E-409C-BE32-E72D297353CC}">
              <c16:uniqueId val="{00000006-94F6-41FF-B661-507C27BE4AB4}"/>
            </c:ext>
          </c:extLst>
        </c:ser>
        <c:ser>
          <c:idx val="7"/>
          <c:order val="7"/>
          <c:tx>
            <c:strRef>
              <c:f>'1.'!$AK$90</c:f>
              <c:strCache>
                <c:ptCount val="1"/>
                <c:pt idx="0">
                  <c:v>Li</c:v>
                </c:pt>
              </c:strCache>
            </c:strRef>
          </c:tx>
          <c:spPr>
            <a:solidFill>
              <a:srgbClr val="7C35B1"/>
            </a:solidFill>
          </c:spPr>
          <c:invertIfNegative val="0"/>
          <c:cat>
            <c:strRef>
              <c:f>'1.'!$C$91:$E$99</c:f>
              <c:strCache>
                <c:ptCount val="9"/>
                <c:pt idx="0">
                  <c:v>Buildings</c:v>
                </c:pt>
                <c:pt idx="1">
                  <c:v>Road, rail and waterways infrastructure</c:v>
                </c:pt>
                <c:pt idx="2">
                  <c:v>Energy system</c:v>
                </c:pt>
                <c:pt idx="3">
                  <c:v>Drinking and sewage water infrastructure</c:v>
                </c:pt>
                <c:pt idx="4">
                  <c:v>Vehicles</c:v>
                </c:pt>
                <c:pt idx="5">
                  <c:v>Machinery</c:v>
                </c:pt>
                <c:pt idx="6">
                  <c:v>Textiles</c:v>
                </c:pt>
                <c:pt idx="7">
                  <c:v>Consumer electronics</c:v>
                </c:pt>
                <c:pt idx="8">
                  <c:v>Other consumer goods</c:v>
                </c:pt>
              </c:strCache>
            </c:strRef>
          </c:cat>
          <c:val>
            <c:numRef>
              <c:f>'1.'!$AK$91:$AK$99</c:f>
              <c:numCache>
                <c:formatCode>0.00E+00</c:formatCode>
                <c:ptCount val="9"/>
                <c:pt idx="0">
                  <c:v>0</c:v>
                </c:pt>
                <c:pt idx="1">
                  <c:v>0</c:v>
                </c:pt>
                <c:pt idx="2">
                  <c:v>0</c:v>
                </c:pt>
                <c:pt idx="3">
                  <c:v>0</c:v>
                </c:pt>
                <c:pt idx="4">
                  <c:v>2153.7390701098584</c:v>
                </c:pt>
                <c:pt idx="5">
                  <c:v>0</c:v>
                </c:pt>
                <c:pt idx="6">
                  <c:v>0</c:v>
                </c:pt>
                <c:pt idx="7">
                  <c:v>0</c:v>
                </c:pt>
                <c:pt idx="8">
                  <c:v>0</c:v>
                </c:pt>
              </c:numCache>
            </c:numRef>
          </c:val>
          <c:extLst>
            <c:ext xmlns:c16="http://schemas.microsoft.com/office/drawing/2014/chart" uri="{C3380CC4-5D6E-409C-BE32-E72D297353CC}">
              <c16:uniqueId val="{00000007-94F6-41FF-B661-507C27BE4AB4}"/>
            </c:ext>
          </c:extLst>
        </c:ser>
        <c:ser>
          <c:idx val="8"/>
          <c:order val="8"/>
          <c:tx>
            <c:strRef>
              <c:f>'1.'!$AL$90</c:f>
              <c:strCache>
                <c:ptCount val="1"/>
                <c:pt idx="0">
                  <c:v>Tb</c:v>
                </c:pt>
              </c:strCache>
            </c:strRef>
          </c:tx>
          <c:spPr>
            <a:solidFill>
              <a:schemeClr val="accent6">
                <a:lumMod val="75000"/>
              </a:schemeClr>
            </a:solidFill>
          </c:spPr>
          <c:invertIfNegative val="0"/>
          <c:cat>
            <c:strRef>
              <c:f>'1.'!$C$91:$E$99</c:f>
              <c:strCache>
                <c:ptCount val="9"/>
                <c:pt idx="0">
                  <c:v>Buildings</c:v>
                </c:pt>
                <c:pt idx="1">
                  <c:v>Road, rail and waterways infrastructure</c:v>
                </c:pt>
                <c:pt idx="2">
                  <c:v>Energy system</c:v>
                </c:pt>
                <c:pt idx="3">
                  <c:v>Drinking and sewage water infrastructure</c:v>
                </c:pt>
                <c:pt idx="4">
                  <c:v>Vehicles</c:v>
                </c:pt>
                <c:pt idx="5">
                  <c:v>Machinery</c:v>
                </c:pt>
                <c:pt idx="6">
                  <c:v>Textiles</c:v>
                </c:pt>
                <c:pt idx="7">
                  <c:v>Consumer electronics</c:v>
                </c:pt>
                <c:pt idx="8">
                  <c:v>Other consumer goods</c:v>
                </c:pt>
              </c:strCache>
            </c:strRef>
          </c:cat>
          <c:val>
            <c:numRef>
              <c:f>'1.'!$AL$91:$AL$99</c:f>
              <c:numCache>
                <c:formatCode>0.00E+00</c:formatCode>
                <c:ptCount val="9"/>
                <c:pt idx="0">
                  <c:v>0</c:v>
                </c:pt>
                <c:pt idx="1">
                  <c:v>0</c:v>
                </c:pt>
                <c:pt idx="2">
                  <c:v>0.7260035223057224</c:v>
                </c:pt>
                <c:pt idx="3">
                  <c:v>0</c:v>
                </c:pt>
                <c:pt idx="4">
                  <c:v>0</c:v>
                </c:pt>
                <c:pt idx="5">
                  <c:v>0</c:v>
                </c:pt>
                <c:pt idx="6">
                  <c:v>0</c:v>
                </c:pt>
                <c:pt idx="7">
                  <c:v>0</c:v>
                </c:pt>
                <c:pt idx="8">
                  <c:v>0</c:v>
                </c:pt>
              </c:numCache>
            </c:numRef>
          </c:val>
          <c:extLst>
            <c:ext xmlns:c16="http://schemas.microsoft.com/office/drawing/2014/chart" uri="{C3380CC4-5D6E-409C-BE32-E72D297353CC}">
              <c16:uniqueId val="{00000008-94F6-41FF-B661-507C27BE4AB4}"/>
            </c:ext>
          </c:extLst>
        </c:ser>
        <c:ser>
          <c:idx val="10"/>
          <c:order val="10"/>
          <c:tx>
            <c:strRef>
              <c:f>'1.'!$AN$90</c:f>
              <c:strCache>
                <c:ptCount val="1"/>
                <c:pt idx="0">
                  <c:v>Pd</c:v>
                </c:pt>
              </c:strCache>
            </c:strRef>
          </c:tx>
          <c:spPr>
            <a:solidFill>
              <a:schemeClr val="accent6">
                <a:lumMod val="60000"/>
                <a:lumOff val="40000"/>
              </a:schemeClr>
            </a:solidFill>
          </c:spPr>
          <c:invertIfNegative val="0"/>
          <c:cat>
            <c:strRef>
              <c:f>'1.'!$C$91:$E$99</c:f>
              <c:strCache>
                <c:ptCount val="9"/>
                <c:pt idx="0">
                  <c:v>Buildings</c:v>
                </c:pt>
                <c:pt idx="1">
                  <c:v>Road, rail and waterways infrastructure</c:v>
                </c:pt>
                <c:pt idx="2">
                  <c:v>Energy system</c:v>
                </c:pt>
                <c:pt idx="3">
                  <c:v>Drinking and sewage water infrastructure</c:v>
                </c:pt>
                <c:pt idx="4">
                  <c:v>Vehicles</c:v>
                </c:pt>
                <c:pt idx="5">
                  <c:v>Machinery</c:v>
                </c:pt>
                <c:pt idx="6">
                  <c:v>Textiles</c:v>
                </c:pt>
                <c:pt idx="7">
                  <c:v>Consumer electronics</c:v>
                </c:pt>
                <c:pt idx="8">
                  <c:v>Other consumer goods</c:v>
                </c:pt>
              </c:strCache>
            </c:strRef>
          </c:cat>
          <c:val>
            <c:numRef>
              <c:f>'1.'!$AN$91:$AN$99</c:f>
              <c:numCache>
                <c:formatCode>0.00E+00</c:formatCode>
                <c:ptCount val="9"/>
                <c:pt idx="0">
                  <c:v>0</c:v>
                </c:pt>
                <c:pt idx="1">
                  <c:v>0</c:v>
                </c:pt>
                <c:pt idx="2">
                  <c:v>0</c:v>
                </c:pt>
                <c:pt idx="3">
                  <c:v>0</c:v>
                </c:pt>
                <c:pt idx="4">
                  <c:v>7.0107337293842262E-2</c:v>
                </c:pt>
                <c:pt idx="5">
                  <c:v>3.2421776068115826</c:v>
                </c:pt>
                <c:pt idx="6">
                  <c:v>0</c:v>
                </c:pt>
                <c:pt idx="7">
                  <c:v>1</c:v>
                </c:pt>
                <c:pt idx="8">
                  <c:v>1.4663684198865899E-3</c:v>
                </c:pt>
              </c:numCache>
            </c:numRef>
          </c:val>
          <c:extLst>
            <c:ext xmlns:c16="http://schemas.microsoft.com/office/drawing/2014/chart" uri="{C3380CC4-5D6E-409C-BE32-E72D297353CC}">
              <c16:uniqueId val="{0000000A-94F6-41FF-B661-507C27BE4AB4}"/>
            </c:ext>
          </c:extLst>
        </c:ser>
        <c:ser>
          <c:idx val="11"/>
          <c:order val="11"/>
          <c:tx>
            <c:strRef>
              <c:f>'1.'!$AO$90</c:f>
              <c:strCache>
                <c:ptCount val="1"/>
                <c:pt idx="0">
                  <c:v>Co</c:v>
                </c:pt>
              </c:strCache>
            </c:strRef>
          </c:tx>
          <c:spPr>
            <a:solidFill>
              <a:srgbClr val="009999"/>
            </a:solidFill>
          </c:spPr>
          <c:invertIfNegative val="0"/>
          <c:cat>
            <c:strRef>
              <c:f>'1.'!$C$91:$E$99</c:f>
              <c:strCache>
                <c:ptCount val="9"/>
                <c:pt idx="0">
                  <c:v>Buildings</c:v>
                </c:pt>
                <c:pt idx="1">
                  <c:v>Road, rail and waterways infrastructure</c:v>
                </c:pt>
                <c:pt idx="2">
                  <c:v>Energy system</c:v>
                </c:pt>
                <c:pt idx="3">
                  <c:v>Drinking and sewage water infrastructure</c:v>
                </c:pt>
                <c:pt idx="4">
                  <c:v>Vehicles</c:v>
                </c:pt>
                <c:pt idx="5">
                  <c:v>Machinery</c:v>
                </c:pt>
                <c:pt idx="6">
                  <c:v>Textiles</c:v>
                </c:pt>
                <c:pt idx="7">
                  <c:v>Consumer electronics</c:v>
                </c:pt>
                <c:pt idx="8">
                  <c:v>Other consumer goods</c:v>
                </c:pt>
              </c:strCache>
            </c:strRef>
          </c:cat>
          <c:val>
            <c:numRef>
              <c:f>'1.'!$AO$91:$AO$99</c:f>
              <c:numCache>
                <c:formatCode>0.00E+00</c:formatCode>
                <c:ptCount val="9"/>
                <c:pt idx="0">
                  <c:v>0</c:v>
                </c:pt>
                <c:pt idx="1">
                  <c:v>0</c:v>
                </c:pt>
                <c:pt idx="2">
                  <c:v>110.131232</c:v>
                </c:pt>
                <c:pt idx="3">
                  <c:v>0</c:v>
                </c:pt>
                <c:pt idx="4">
                  <c:v>31.289613655707413</c:v>
                </c:pt>
                <c:pt idx="5">
                  <c:v>183.55062459941132</c:v>
                </c:pt>
                <c:pt idx="6">
                  <c:v>0</c:v>
                </c:pt>
                <c:pt idx="7">
                  <c:v>79</c:v>
                </c:pt>
                <c:pt idx="8">
                  <c:v>2646.2805091661899</c:v>
                </c:pt>
              </c:numCache>
            </c:numRef>
          </c:val>
          <c:extLst>
            <c:ext xmlns:c16="http://schemas.microsoft.com/office/drawing/2014/chart" uri="{C3380CC4-5D6E-409C-BE32-E72D297353CC}">
              <c16:uniqueId val="{0000000B-94F6-41FF-B661-507C27BE4AB4}"/>
            </c:ext>
          </c:extLst>
        </c:ser>
        <c:ser>
          <c:idx val="12"/>
          <c:order val="12"/>
          <c:tx>
            <c:strRef>
              <c:f>'1.'!$AP$90</c:f>
              <c:strCache>
                <c:ptCount val="1"/>
                <c:pt idx="0">
                  <c:v>Au</c:v>
                </c:pt>
              </c:strCache>
            </c:strRef>
          </c:tx>
          <c:spPr>
            <a:solidFill>
              <a:schemeClr val="accent6">
                <a:lumMod val="20000"/>
                <a:lumOff val="80000"/>
              </a:schemeClr>
            </a:solidFill>
          </c:spPr>
          <c:invertIfNegative val="0"/>
          <c:cat>
            <c:strRef>
              <c:f>'1.'!$C$91:$E$99</c:f>
              <c:strCache>
                <c:ptCount val="9"/>
                <c:pt idx="0">
                  <c:v>Buildings</c:v>
                </c:pt>
                <c:pt idx="1">
                  <c:v>Road, rail and waterways infrastructure</c:v>
                </c:pt>
                <c:pt idx="2">
                  <c:v>Energy system</c:v>
                </c:pt>
                <c:pt idx="3">
                  <c:v>Drinking and sewage water infrastructure</c:v>
                </c:pt>
                <c:pt idx="4">
                  <c:v>Vehicles</c:v>
                </c:pt>
                <c:pt idx="5">
                  <c:v>Machinery</c:v>
                </c:pt>
                <c:pt idx="6">
                  <c:v>Textiles</c:v>
                </c:pt>
                <c:pt idx="7">
                  <c:v>Consumer electronics</c:v>
                </c:pt>
                <c:pt idx="8">
                  <c:v>Other consumer goods</c:v>
                </c:pt>
              </c:strCache>
            </c:strRef>
          </c:cat>
          <c:val>
            <c:numRef>
              <c:f>'1.'!$AP$91:$AP$99</c:f>
              <c:numCache>
                <c:formatCode>0.00E+00</c:formatCode>
                <c:ptCount val="9"/>
                <c:pt idx="0">
                  <c:v>0</c:v>
                </c:pt>
                <c:pt idx="1">
                  <c:v>0</c:v>
                </c:pt>
                <c:pt idx="2">
                  <c:v>0</c:v>
                </c:pt>
                <c:pt idx="3">
                  <c:v>0</c:v>
                </c:pt>
                <c:pt idx="4">
                  <c:v>1.3759830144480372</c:v>
                </c:pt>
                <c:pt idx="5">
                  <c:v>0</c:v>
                </c:pt>
                <c:pt idx="6">
                  <c:v>0</c:v>
                </c:pt>
                <c:pt idx="7">
                  <c:v>7</c:v>
                </c:pt>
                <c:pt idx="8">
                  <c:v>0</c:v>
                </c:pt>
              </c:numCache>
            </c:numRef>
          </c:val>
          <c:extLst>
            <c:ext xmlns:c16="http://schemas.microsoft.com/office/drawing/2014/chart" uri="{C3380CC4-5D6E-409C-BE32-E72D297353CC}">
              <c16:uniqueId val="{0000000C-94F6-41FF-B661-507C27BE4AB4}"/>
            </c:ext>
          </c:extLst>
        </c:ser>
        <c:ser>
          <c:idx val="13"/>
          <c:order val="13"/>
          <c:tx>
            <c:strRef>
              <c:f>'1.'!$AQ$90</c:f>
              <c:strCache>
                <c:ptCount val="1"/>
                <c:pt idx="0">
                  <c:v>Pt</c:v>
                </c:pt>
              </c:strCache>
            </c:strRef>
          </c:tx>
          <c:spPr>
            <a:solidFill>
              <a:srgbClr val="00EBE6"/>
            </a:solidFill>
          </c:spPr>
          <c:invertIfNegative val="0"/>
          <c:cat>
            <c:strRef>
              <c:f>'1.'!$C$91:$E$99</c:f>
              <c:strCache>
                <c:ptCount val="9"/>
                <c:pt idx="0">
                  <c:v>Buildings</c:v>
                </c:pt>
                <c:pt idx="1">
                  <c:v>Road, rail and waterways infrastructure</c:v>
                </c:pt>
                <c:pt idx="2">
                  <c:v>Energy system</c:v>
                </c:pt>
                <c:pt idx="3">
                  <c:v>Drinking and sewage water infrastructure</c:v>
                </c:pt>
                <c:pt idx="4">
                  <c:v>Vehicles</c:v>
                </c:pt>
                <c:pt idx="5">
                  <c:v>Machinery</c:v>
                </c:pt>
                <c:pt idx="6">
                  <c:v>Textiles</c:v>
                </c:pt>
                <c:pt idx="7">
                  <c:v>Consumer electronics</c:v>
                </c:pt>
                <c:pt idx="8">
                  <c:v>Other consumer goods</c:v>
                </c:pt>
              </c:strCache>
            </c:strRef>
          </c:cat>
          <c:val>
            <c:numRef>
              <c:f>'1.'!$AQ$91:$AQ$99</c:f>
              <c:numCache>
                <c:formatCode>0.00E+00</c:formatCode>
                <c:ptCount val="9"/>
                <c:pt idx="0">
                  <c:v>0</c:v>
                </c:pt>
                <c:pt idx="1">
                  <c:v>0</c:v>
                </c:pt>
                <c:pt idx="2">
                  <c:v>0</c:v>
                </c:pt>
                <c:pt idx="3">
                  <c:v>0</c:v>
                </c:pt>
                <c:pt idx="4">
                  <c:v>45.937038881147906</c:v>
                </c:pt>
                <c:pt idx="5">
                  <c:v>9.1768829474457581E-2</c:v>
                </c:pt>
                <c:pt idx="6">
                  <c:v>0</c:v>
                </c:pt>
                <c:pt idx="7">
                  <c:v>0</c:v>
                </c:pt>
                <c:pt idx="8">
                  <c:v>0</c:v>
                </c:pt>
              </c:numCache>
            </c:numRef>
          </c:val>
          <c:extLst>
            <c:ext xmlns:c16="http://schemas.microsoft.com/office/drawing/2014/chart" uri="{C3380CC4-5D6E-409C-BE32-E72D297353CC}">
              <c16:uniqueId val="{0000000D-94F6-41FF-B661-507C27BE4AB4}"/>
            </c:ext>
          </c:extLst>
        </c:ser>
        <c:ser>
          <c:idx val="15"/>
          <c:order val="14"/>
          <c:tx>
            <c:strRef>
              <c:f>'1.'!$AR$90</c:f>
              <c:strCache>
                <c:ptCount val="1"/>
                <c:pt idx="0">
                  <c:v>Ta</c:v>
                </c:pt>
              </c:strCache>
            </c:strRef>
          </c:tx>
          <c:invertIfNegative val="0"/>
          <c:cat>
            <c:strRef>
              <c:f>'1.'!$C$91:$E$99</c:f>
              <c:strCache>
                <c:ptCount val="9"/>
                <c:pt idx="0">
                  <c:v>Buildings</c:v>
                </c:pt>
                <c:pt idx="1">
                  <c:v>Road, rail and waterways infrastructure</c:v>
                </c:pt>
                <c:pt idx="2">
                  <c:v>Energy system</c:v>
                </c:pt>
                <c:pt idx="3">
                  <c:v>Drinking and sewage water infrastructure</c:v>
                </c:pt>
                <c:pt idx="4">
                  <c:v>Vehicles</c:v>
                </c:pt>
                <c:pt idx="5">
                  <c:v>Machinery</c:v>
                </c:pt>
                <c:pt idx="6">
                  <c:v>Textiles</c:v>
                </c:pt>
                <c:pt idx="7">
                  <c:v>Consumer electronics</c:v>
                </c:pt>
                <c:pt idx="8">
                  <c:v>Other consumer goods</c:v>
                </c:pt>
              </c:strCache>
            </c:strRef>
          </c:cat>
          <c:val>
            <c:numRef>
              <c:f>'1.'!$AR$91:$AR$99</c:f>
              <c:numCache>
                <c:formatCode>0.00E+00</c:formatCode>
                <c:ptCount val="9"/>
                <c:pt idx="0">
                  <c:v>0</c:v>
                </c:pt>
                <c:pt idx="1">
                  <c:v>0</c:v>
                </c:pt>
                <c:pt idx="2">
                  <c:v>2.7739920000000002</c:v>
                </c:pt>
                <c:pt idx="3">
                  <c:v>0</c:v>
                </c:pt>
                <c:pt idx="4">
                  <c:v>0</c:v>
                </c:pt>
                <c:pt idx="5">
                  <c:v>2.1495852287978163</c:v>
                </c:pt>
                <c:pt idx="6">
                  <c:v>0</c:v>
                </c:pt>
                <c:pt idx="7">
                  <c:v>11</c:v>
                </c:pt>
                <c:pt idx="8">
                  <c:v>390.31395827237645</c:v>
                </c:pt>
              </c:numCache>
            </c:numRef>
          </c:val>
          <c:extLst>
            <c:ext xmlns:c16="http://schemas.microsoft.com/office/drawing/2014/chart" uri="{C3380CC4-5D6E-409C-BE32-E72D297353CC}">
              <c16:uniqueId val="{0000000F-94F6-41FF-B661-507C27BE4AB4}"/>
            </c:ext>
          </c:extLst>
        </c:ser>
        <c:ser>
          <c:idx val="17"/>
          <c:order val="16"/>
          <c:tx>
            <c:strRef>
              <c:f>'1.'!$AT$90</c:f>
              <c:strCache>
                <c:ptCount val="1"/>
                <c:pt idx="0">
                  <c:v>Ti</c:v>
                </c:pt>
              </c:strCache>
            </c:strRef>
          </c:tx>
          <c:spPr>
            <a:solidFill>
              <a:srgbClr val="D1FFFE"/>
            </a:solidFill>
          </c:spPr>
          <c:invertIfNegative val="0"/>
          <c:cat>
            <c:strRef>
              <c:f>'1.'!$C$91:$E$99</c:f>
              <c:strCache>
                <c:ptCount val="9"/>
                <c:pt idx="0">
                  <c:v>Buildings</c:v>
                </c:pt>
                <c:pt idx="1">
                  <c:v>Road, rail and waterways infrastructure</c:v>
                </c:pt>
                <c:pt idx="2">
                  <c:v>Energy system</c:v>
                </c:pt>
                <c:pt idx="3">
                  <c:v>Drinking and sewage water infrastructure</c:v>
                </c:pt>
                <c:pt idx="4">
                  <c:v>Vehicles</c:v>
                </c:pt>
                <c:pt idx="5">
                  <c:v>Machinery</c:v>
                </c:pt>
                <c:pt idx="6">
                  <c:v>Textiles</c:v>
                </c:pt>
                <c:pt idx="7">
                  <c:v>Consumer electronics</c:v>
                </c:pt>
                <c:pt idx="8">
                  <c:v>Other consumer goods</c:v>
                </c:pt>
              </c:strCache>
            </c:strRef>
          </c:cat>
          <c:val>
            <c:numRef>
              <c:f>'1.'!$AT$91:$AT$99</c:f>
              <c:numCache>
                <c:formatCode>0.00E+00</c:formatCode>
                <c:ptCount val="9"/>
                <c:pt idx="0">
                  <c:v>0</c:v>
                </c:pt>
                <c:pt idx="1">
                  <c:v>0</c:v>
                </c:pt>
                <c:pt idx="2">
                  <c:v>8.488664</c:v>
                </c:pt>
                <c:pt idx="3">
                  <c:v>0</c:v>
                </c:pt>
                <c:pt idx="4">
                  <c:v>1429.9714679177403</c:v>
                </c:pt>
                <c:pt idx="5">
                  <c:v>0</c:v>
                </c:pt>
                <c:pt idx="6">
                  <c:v>0</c:v>
                </c:pt>
                <c:pt idx="7">
                  <c:v>0</c:v>
                </c:pt>
                <c:pt idx="8">
                  <c:v>0</c:v>
                </c:pt>
              </c:numCache>
            </c:numRef>
          </c:val>
          <c:extLst>
            <c:ext xmlns:c16="http://schemas.microsoft.com/office/drawing/2014/chart" uri="{C3380CC4-5D6E-409C-BE32-E72D297353CC}">
              <c16:uniqueId val="{00000011-94F6-41FF-B661-507C27BE4AB4}"/>
            </c:ext>
          </c:extLst>
        </c:ser>
        <c:ser>
          <c:idx val="18"/>
          <c:order val="17"/>
          <c:tx>
            <c:strRef>
              <c:f>'1.'!$AU$90</c:f>
              <c:strCache>
                <c:ptCount val="1"/>
                <c:pt idx="0">
                  <c:v>Graphite</c:v>
                </c:pt>
              </c:strCache>
            </c:strRef>
          </c:tx>
          <c:spPr>
            <a:solidFill>
              <a:schemeClr val="bg1">
                <a:lumMod val="85000"/>
              </a:schemeClr>
            </a:solidFill>
          </c:spPr>
          <c:invertIfNegative val="0"/>
          <c:cat>
            <c:strRef>
              <c:f>'1.'!$C$91:$E$99</c:f>
              <c:strCache>
                <c:ptCount val="9"/>
                <c:pt idx="0">
                  <c:v>Buildings</c:v>
                </c:pt>
                <c:pt idx="1">
                  <c:v>Road, rail and waterways infrastructure</c:v>
                </c:pt>
                <c:pt idx="2">
                  <c:v>Energy system</c:v>
                </c:pt>
                <c:pt idx="3">
                  <c:v>Drinking and sewage water infrastructure</c:v>
                </c:pt>
                <c:pt idx="4">
                  <c:v>Vehicles</c:v>
                </c:pt>
                <c:pt idx="5">
                  <c:v>Machinery</c:v>
                </c:pt>
                <c:pt idx="6">
                  <c:v>Textiles</c:v>
                </c:pt>
                <c:pt idx="7">
                  <c:v>Consumer electronics</c:v>
                </c:pt>
                <c:pt idx="8">
                  <c:v>Other consumer goods</c:v>
                </c:pt>
              </c:strCache>
            </c:strRef>
          </c:cat>
          <c:val>
            <c:numRef>
              <c:f>'1.'!$AU$91:$AU$99</c:f>
              <c:numCache>
                <c:formatCode>0.00E+00</c:formatCode>
                <c:ptCount val="9"/>
                <c:pt idx="0">
                  <c:v>0</c:v>
                </c:pt>
                <c:pt idx="1">
                  <c:v>0</c:v>
                </c:pt>
                <c:pt idx="2">
                  <c:v>0</c:v>
                </c:pt>
                <c:pt idx="3">
                  <c:v>0</c:v>
                </c:pt>
                <c:pt idx="4">
                  <c:v>699.49111360032975</c:v>
                </c:pt>
                <c:pt idx="5">
                  <c:v>0</c:v>
                </c:pt>
                <c:pt idx="6">
                  <c:v>0</c:v>
                </c:pt>
                <c:pt idx="7">
                  <c:v>0</c:v>
                </c:pt>
                <c:pt idx="8">
                  <c:v>0</c:v>
                </c:pt>
              </c:numCache>
            </c:numRef>
          </c:val>
          <c:extLst>
            <c:ext xmlns:c16="http://schemas.microsoft.com/office/drawing/2014/chart" uri="{C3380CC4-5D6E-409C-BE32-E72D297353CC}">
              <c16:uniqueId val="{00000012-94F6-41FF-B661-507C27BE4AB4}"/>
            </c:ext>
          </c:extLst>
        </c:ser>
        <c:ser>
          <c:idx val="19"/>
          <c:order val="18"/>
          <c:tx>
            <c:strRef>
              <c:f>'1.'!$AV$90</c:f>
              <c:strCache>
                <c:ptCount val="1"/>
                <c:pt idx="0">
                  <c:v>Sr</c:v>
                </c:pt>
              </c:strCache>
            </c:strRef>
          </c:tx>
          <c:spPr>
            <a:solidFill>
              <a:srgbClr val="A40008"/>
            </a:solidFill>
          </c:spPr>
          <c:invertIfNegative val="0"/>
          <c:cat>
            <c:strRef>
              <c:f>'1.'!$C$91:$E$99</c:f>
              <c:strCache>
                <c:ptCount val="9"/>
                <c:pt idx="0">
                  <c:v>Buildings</c:v>
                </c:pt>
                <c:pt idx="1">
                  <c:v>Road, rail and waterways infrastructure</c:v>
                </c:pt>
                <c:pt idx="2">
                  <c:v>Energy system</c:v>
                </c:pt>
                <c:pt idx="3">
                  <c:v>Drinking and sewage water infrastructure</c:v>
                </c:pt>
                <c:pt idx="4">
                  <c:v>Vehicles</c:v>
                </c:pt>
                <c:pt idx="5">
                  <c:v>Machinery</c:v>
                </c:pt>
                <c:pt idx="6">
                  <c:v>Textiles</c:v>
                </c:pt>
                <c:pt idx="7">
                  <c:v>Consumer electronics</c:v>
                </c:pt>
                <c:pt idx="8">
                  <c:v>Other consumer goods</c:v>
                </c:pt>
              </c:strCache>
            </c:strRef>
          </c:cat>
          <c:val>
            <c:numRef>
              <c:f>'1.'!$AV$91:$AV$99</c:f>
              <c:numCache>
                <c:formatCode>0.00E+00</c:formatCode>
                <c:ptCount val="9"/>
                <c:pt idx="0">
                  <c:v>0</c:v>
                </c:pt>
                <c:pt idx="1">
                  <c:v>0</c:v>
                </c:pt>
                <c:pt idx="2">
                  <c:v>0</c:v>
                </c:pt>
                <c:pt idx="3">
                  <c:v>0</c:v>
                </c:pt>
                <c:pt idx="4">
                  <c:v>0</c:v>
                </c:pt>
                <c:pt idx="5">
                  <c:v>0</c:v>
                </c:pt>
                <c:pt idx="6">
                  <c:v>0</c:v>
                </c:pt>
                <c:pt idx="7">
                  <c:v>626</c:v>
                </c:pt>
                <c:pt idx="8">
                  <c:v>0</c:v>
                </c:pt>
              </c:numCache>
            </c:numRef>
          </c:val>
          <c:extLst>
            <c:ext xmlns:c16="http://schemas.microsoft.com/office/drawing/2014/chart" uri="{C3380CC4-5D6E-409C-BE32-E72D297353CC}">
              <c16:uniqueId val="{00000013-94F6-41FF-B661-507C27BE4AB4}"/>
            </c:ext>
          </c:extLst>
        </c:ser>
        <c:ser>
          <c:idx val="20"/>
          <c:order val="19"/>
          <c:tx>
            <c:strRef>
              <c:f>'1.'!$AW$90</c:f>
              <c:strCache>
                <c:ptCount val="1"/>
                <c:pt idx="0">
                  <c:v>W</c:v>
                </c:pt>
              </c:strCache>
            </c:strRef>
          </c:tx>
          <c:spPr>
            <a:solidFill>
              <a:schemeClr val="accent1">
                <a:lumMod val="50000"/>
              </a:schemeClr>
            </a:solidFill>
          </c:spPr>
          <c:invertIfNegative val="0"/>
          <c:cat>
            <c:strRef>
              <c:f>'1.'!$C$91:$E$99</c:f>
              <c:strCache>
                <c:ptCount val="9"/>
                <c:pt idx="0">
                  <c:v>Buildings</c:v>
                </c:pt>
                <c:pt idx="1">
                  <c:v>Road, rail and waterways infrastructure</c:v>
                </c:pt>
                <c:pt idx="2">
                  <c:v>Energy system</c:v>
                </c:pt>
                <c:pt idx="3">
                  <c:v>Drinking and sewage water infrastructure</c:v>
                </c:pt>
                <c:pt idx="4">
                  <c:v>Vehicles</c:v>
                </c:pt>
                <c:pt idx="5">
                  <c:v>Machinery</c:v>
                </c:pt>
                <c:pt idx="6">
                  <c:v>Textiles</c:v>
                </c:pt>
                <c:pt idx="7">
                  <c:v>Consumer electronics</c:v>
                </c:pt>
                <c:pt idx="8">
                  <c:v>Other consumer goods</c:v>
                </c:pt>
              </c:strCache>
            </c:strRef>
          </c:cat>
          <c:val>
            <c:numRef>
              <c:f>'1.'!$AW$91:$AW$99</c:f>
              <c:numCache>
                <c:formatCode>0.00E+00</c:formatCode>
                <c:ptCount val="9"/>
                <c:pt idx="0">
                  <c:v>0</c:v>
                </c:pt>
                <c:pt idx="1">
                  <c:v>0</c:v>
                </c:pt>
                <c:pt idx="2">
                  <c:v>104.535</c:v>
                </c:pt>
                <c:pt idx="3">
                  <c:v>0</c:v>
                </c:pt>
                <c:pt idx="4">
                  <c:v>2.7786143400821262</c:v>
                </c:pt>
                <c:pt idx="5">
                  <c:v>110.55214494424861</c:v>
                </c:pt>
                <c:pt idx="6">
                  <c:v>0</c:v>
                </c:pt>
                <c:pt idx="7">
                  <c:v>154</c:v>
                </c:pt>
                <c:pt idx="8">
                  <c:v>9.22714728044118</c:v>
                </c:pt>
              </c:numCache>
            </c:numRef>
          </c:val>
          <c:extLst>
            <c:ext xmlns:c16="http://schemas.microsoft.com/office/drawing/2014/chart" uri="{C3380CC4-5D6E-409C-BE32-E72D297353CC}">
              <c16:uniqueId val="{00000014-94F6-41FF-B661-507C27BE4AB4}"/>
            </c:ext>
          </c:extLst>
        </c:ser>
        <c:ser>
          <c:idx val="21"/>
          <c:order val="20"/>
          <c:tx>
            <c:strRef>
              <c:f>'1.'!$AX$90</c:f>
              <c:strCache>
                <c:ptCount val="1"/>
                <c:pt idx="0">
                  <c:v>Y</c:v>
                </c:pt>
              </c:strCache>
            </c:strRef>
          </c:tx>
          <c:spPr>
            <a:solidFill>
              <a:srgbClr val="FF333D"/>
            </a:solidFill>
          </c:spPr>
          <c:invertIfNegative val="0"/>
          <c:cat>
            <c:strRef>
              <c:f>'1.'!$C$91:$E$99</c:f>
              <c:strCache>
                <c:ptCount val="9"/>
                <c:pt idx="0">
                  <c:v>Buildings</c:v>
                </c:pt>
                <c:pt idx="1">
                  <c:v>Road, rail and waterways infrastructure</c:v>
                </c:pt>
                <c:pt idx="2">
                  <c:v>Energy system</c:v>
                </c:pt>
                <c:pt idx="3">
                  <c:v>Drinking and sewage water infrastructure</c:v>
                </c:pt>
                <c:pt idx="4">
                  <c:v>Vehicles</c:v>
                </c:pt>
                <c:pt idx="5">
                  <c:v>Machinery</c:v>
                </c:pt>
                <c:pt idx="6">
                  <c:v>Textiles</c:v>
                </c:pt>
                <c:pt idx="7">
                  <c:v>Consumer electronics</c:v>
                </c:pt>
                <c:pt idx="8">
                  <c:v>Other consumer goods</c:v>
                </c:pt>
              </c:strCache>
            </c:strRef>
          </c:cat>
          <c:val>
            <c:numRef>
              <c:f>'1.'!$AX$91:$AX$99</c:f>
              <c:numCache>
                <c:formatCode>0.00E+00</c:formatCode>
                <c:ptCount val="9"/>
                <c:pt idx="0">
                  <c:v>0</c:v>
                </c:pt>
                <c:pt idx="1">
                  <c:v>0</c:v>
                </c:pt>
                <c:pt idx="2">
                  <c:v>0.255</c:v>
                </c:pt>
                <c:pt idx="3">
                  <c:v>0</c:v>
                </c:pt>
                <c:pt idx="4">
                  <c:v>0</c:v>
                </c:pt>
                <c:pt idx="5">
                  <c:v>0</c:v>
                </c:pt>
                <c:pt idx="6">
                  <c:v>0</c:v>
                </c:pt>
                <c:pt idx="7">
                  <c:v>3</c:v>
                </c:pt>
                <c:pt idx="8">
                  <c:v>0</c:v>
                </c:pt>
              </c:numCache>
            </c:numRef>
          </c:val>
          <c:extLst>
            <c:ext xmlns:c16="http://schemas.microsoft.com/office/drawing/2014/chart" uri="{C3380CC4-5D6E-409C-BE32-E72D297353CC}">
              <c16:uniqueId val="{00000015-94F6-41FF-B661-507C27BE4AB4}"/>
            </c:ext>
          </c:extLst>
        </c:ser>
        <c:ser>
          <c:idx val="22"/>
          <c:order val="21"/>
          <c:tx>
            <c:strRef>
              <c:f>'1.'!$AY$90</c:f>
              <c:strCache>
                <c:ptCount val="1"/>
                <c:pt idx="0">
                  <c:v>La</c:v>
                </c:pt>
              </c:strCache>
            </c:strRef>
          </c:tx>
          <c:invertIfNegative val="0"/>
          <c:cat>
            <c:strRef>
              <c:f>'1.'!$C$91:$E$99</c:f>
              <c:strCache>
                <c:ptCount val="9"/>
                <c:pt idx="0">
                  <c:v>Buildings</c:v>
                </c:pt>
                <c:pt idx="1">
                  <c:v>Road, rail and waterways infrastructure</c:v>
                </c:pt>
                <c:pt idx="2">
                  <c:v>Energy system</c:v>
                </c:pt>
                <c:pt idx="3">
                  <c:v>Drinking and sewage water infrastructure</c:v>
                </c:pt>
                <c:pt idx="4">
                  <c:v>Vehicles</c:v>
                </c:pt>
                <c:pt idx="5">
                  <c:v>Machinery</c:v>
                </c:pt>
                <c:pt idx="6">
                  <c:v>Textiles</c:v>
                </c:pt>
                <c:pt idx="7">
                  <c:v>Consumer electronics</c:v>
                </c:pt>
                <c:pt idx="8">
                  <c:v>Other consumer goods</c:v>
                </c:pt>
              </c:strCache>
            </c:strRef>
          </c:cat>
          <c:val>
            <c:numRef>
              <c:f>'1.'!$AY$91:$AY$99</c:f>
              <c:numCache>
                <c:formatCode>0.00E+00</c:formatCode>
                <c:ptCount val="9"/>
                <c:pt idx="0">
                  <c:v>0</c:v>
                </c:pt>
                <c:pt idx="1">
                  <c:v>0</c:v>
                </c:pt>
                <c:pt idx="2">
                  <c:v>0</c:v>
                </c:pt>
                <c:pt idx="3">
                  <c:v>0</c:v>
                </c:pt>
                <c:pt idx="4">
                  <c:v>0</c:v>
                </c:pt>
                <c:pt idx="5">
                  <c:v>5.8880918197781962E-2</c:v>
                </c:pt>
                <c:pt idx="6">
                  <c:v>0</c:v>
                </c:pt>
                <c:pt idx="7">
                  <c:v>0</c:v>
                </c:pt>
                <c:pt idx="8">
                  <c:v>0</c:v>
                </c:pt>
              </c:numCache>
            </c:numRef>
          </c:val>
          <c:extLst>
            <c:ext xmlns:c16="http://schemas.microsoft.com/office/drawing/2014/chart" uri="{C3380CC4-5D6E-409C-BE32-E72D297353CC}">
              <c16:uniqueId val="{00000016-94F6-41FF-B661-507C27BE4AB4}"/>
            </c:ext>
          </c:extLst>
        </c:ser>
        <c:ser>
          <c:idx val="23"/>
          <c:order val="22"/>
          <c:tx>
            <c:strRef>
              <c:f>'1.'!$AZ$90</c:f>
              <c:strCache>
                <c:ptCount val="1"/>
                <c:pt idx="0">
                  <c:v>Nb</c:v>
                </c:pt>
              </c:strCache>
            </c:strRef>
          </c:tx>
          <c:spPr>
            <a:solidFill>
              <a:srgbClr val="FF757C"/>
            </a:solidFill>
          </c:spPr>
          <c:invertIfNegative val="0"/>
          <c:cat>
            <c:strRef>
              <c:f>'1.'!$C$91:$E$99</c:f>
              <c:strCache>
                <c:ptCount val="9"/>
                <c:pt idx="0">
                  <c:v>Buildings</c:v>
                </c:pt>
                <c:pt idx="1">
                  <c:v>Road, rail and waterways infrastructure</c:v>
                </c:pt>
                <c:pt idx="2">
                  <c:v>Energy system</c:v>
                </c:pt>
                <c:pt idx="3">
                  <c:v>Drinking and sewage water infrastructure</c:v>
                </c:pt>
                <c:pt idx="4">
                  <c:v>Vehicles</c:v>
                </c:pt>
                <c:pt idx="5">
                  <c:v>Machinery</c:v>
                </c:pt>
                <c:pt idx="6">
                  <c:v>Textiles</c:v>
                </c:pt>
                <c:pt idx="7">
                  <c:v>Consumer electronics</c:v>
                </c:pt>
                <c:pt idx="8">
                  <c:v>Other consumer goods</c:v>
                </c:pt>
              </c:strCache>
            </c:strRef>
          </c:cat>
          <c:val>
            <c:numRef>
              <c:f>'1.'!$AZ$91:$AZ$99</c:f>
              <c:numCache>
                <c:formatCode>0.00E+00</c:formatCode>
                <c:ptCount val="9"/>
                <c:pt idx="0">
                  <c:v>0</c:v>
                </c:pt>
                <c:pt idx="1">
                  <c:v>0</c:v>
                </c:pt>
                <c:pt idx="2">
                  <c:v>10.701776000000001</c:v>
                </c:pt>
                <c:pt idx="3">
                  <c:v>0</c:v>
                </c:pt>
                <c:pt idx="4">
                  <c:v>0</c:v>
                </c:pt>
                <c:pt idx="5">
                  <c:v>0.49494809553083402</c:v>
                </c:pt>
                <c:pt idx="6">
                  <c:v>0</c:v>
                </c:pt>
                <c:pt idx="7">
                  <c:v>0</c:v>
                </c:pt>
                <c:pt idx="8">
                  <c:v>0</c:v>
                </c:pt>
              </c:numCache>
            </c:numRef>
          </c:val>
          <c:extLst>
            <c:ext xmlns:c16="http://schemas.microsoft.com/office/drawing/2014/chart" uri="{C3380CC4-5D6E-409C-BE32-E72D297353CC}">
              <c16:uniqueId val="{00000017-94F6-41FF-B661-507C27BE4AB4}"/>
            </c:ext>
          </c:extLst>
        </c:ser>
        <c:ser>
          <c:idx val="24"/>
          <c:order val="23"/>
          <c:tx>
            <c:strRef>
              <c:f>'1.'!$BA$90</c:f>
              <c:strCache>
                <c:ptCount val="1"/>
                <c:pt idx="0">
                  <c:v>V</c:v>
                </c:pt>
              </c:strCache>
            </c:strRef>
          </c:tx>
          <c:invertIfNegative val="0"/>
          <c:cat>
            <c:strRef>
              <c:f>'1.'!$C$91:$E$99</c:f>
              <c:strCache>
                <c:ptCount val="9"/>
                <c:pt idx="0">
                  <c:v>Buildings</c:v>
                </c:pt>
                <c:pt idx="1">
                  <c:v>Road, rail and waterways infrastructure</c:v>
                </c:pt>
                <c:pt idx="2">
                  <c:v>Energy system</c:v>
                </c:pt>
                <c:pt idx="3">
                  <c:v>Drinking and sewage water infrastructure</c:v>
                </c:pt>
                <c:pt idx="4">
                  <c:v>Vehicles</c:v>
                </c:pt>
                <c:pt idx="5">
                  <c:v>Machinery</c:v>
                </c:pt>
                <c:pt idx="6">
                  <c:v>Textiles</c:v>
                </c:pt>
                <c:pt idx="7">
                  <c:v>Consumer electronics</c:v>
                </c:pt>
                <c:pt idx="8">
                  <c:v>Other consumer goods</c:v>
                </c:pt>
              </c:strCache>
            </c:strRef>
          </c:cat>
          <c:val>
            <c:numRef>
              <c:f>'1.'!$BA$91:$BA$99</c:f>
              <c:numCache>
                <c:formatCode>0.00E+00</c:formatCode>
                <c:ptCount val="9"/>
                <c:pt idx="0">
                  <c:v>0</c:v>
                </c:pt>
                <c:pt idx="1">
                  <c:v>0</c:v>
                </c:pt>
                <c:pt idx="2">
                  <c:v>33.199089537040095</c:v>
                </c:pt>
                <c:pt idx="3">
                  <c:v>0</c:v>
                </c:pt>
                <c:pt idx="4">
                  <c:v>2.0537584252780934</c:v>
                </c:pt>
                <c:pt idx="5">
                  <c:v>0</c:v>
                </c:pt>
                <c:pt idx="6">
                  <c:v>0</c:v>
                </c:pt>
                <c:pt idx="7">
                  <c:v>0</c:v>
                </c:pt>
                <c:pt idx="8">
                  <c:v>0</c:v>
                </c:pt>
              </c:numCache>
            </c:numRef>
          </c:val>
          <c:extLst>
            <c:ext xmlns:c16="http://schemas.microsoft.com/office/drawing/2014/chart" uri="{C3380CC4-5D6E-409C-BE32-E72D297353CC}">
              <c16:uniqueId val="{00000018-94F6-41FF-B661-507C27BE4AB4}"/>
            </c:ext>
          </c:extLst>
        </c:ser>
        <c:ser>
          <c:idx val="25"/>
          <c:order val="24"/>
          <c:tx>
            <c:strRef>
              <c:f>'1.'!$BB$90</c:f>
              <c:strCache>
                <c:ptCount val="1"/>
                <c:pt idx="0">
                  <c:v>Ce</c:v>
                </c:pt>
              </c:strCache>
            </c:strRef>
          </c:tx>
          <c:spPr>
            <a:solidFill>
              <a:srgbClr val="FFC5C8"/>
            </a:solidFill>
          </c:spPr>
          <c:invertIfNegative val="0"/>
          <c:cat>
            <c:strRef>
              <c:f>'1.'!$C$91:$E$99</c:f>
              <c:strCache>
                <c:ptCount val="9"/>
                <c:pt idx="0">
                  <c:v>Buildings</c:v>
                </c:pt>
                <c:pt idx="1">
                  <c:v>Road, rail and waterways infrastructure</c:v>
                </c:pt>
                <c:pt idx="2">
                  <c:v>Energy system</c:v>
                </c:pt>
                <c:pt idx="3">
                  <c:v>Drinking and sewage water infrastructure</c:v>
                </c:pt>
                <c:pt idx="4">
                  <c:v>Vehicles</c:v>
                </c:pt>
                <c:pt idx="5">
                  <c:v>Machinery</c:v>
                </c:pt>
                <c:pt idx="6">
                  <c:v>Textiles</c:v>
                </c:pt>
                <c:pt idx="7">
                  <c:v>Consumer electronics</c:v>
                </c:pt>
                <c:pt idx="8">
                  <c:v>Other consumer goods</c:v>
                </c:pt>
              </c:strCache>
            </c:strRef>
          </c:cat>
          <c:val>
            <c:numRef>
              <c:f>'1.'!$BB$91:$BB$99</c:f>
              <c:numCache>
                <c:formatCode>0.00E+00</c:formatCode>
                <c:ptCount val="9"/>
                <c:pt idx="0">
                  <c:v>0</c:v>
                </c:pt>
                <c:pt idx="1">
                  <c:v>0</c:v>
                </c:pt>
                <c:pt idx="2">
                  <c:v>0</c:v>
                </c:pt>
                <c:pt idx="3">
                  <c:v>0</c:v>
                </c:pt>
                <c:pt idx="4">
                  <c:v>0</c:v>
                </c:pt>
                <c:pt idx="5">
                  <c:v>6.4998952794293963E-2</c:v>
                </c:pt>
                <c:pt idx="6">
                  <c:v>0</c:v>
                </c:pt>
                <c:pt idx="7">
                  <c:v>3</c:v>
                </c:pt>
                <c:pt idx="8">
                  <c:v>5.8341505079755702E-4</c:v>
                </c:pt>
              </c:numCache>
            </c:numRef>
          </c:val>
          <c:extLst>
            <c:ext xmlns:c16="http://schemas.microsoft.com/office/drawing/2014/chart" uri="{C3380CC4-5D6E-409C-BE32-E72D297353CC}">
              <c16:uniqueId val="{00000019-94F6-41FF-B661-507C27BE4AB4}"/>
            </c:ext>
          </c:extLst>
        </c:ser>
        <c:ser>
          <c:idx val="26"/>
          <c:order val="25"/>
          <c:tx>
            <c:strRef>
              <c:f>'1.'!$BC$90</c:f>
              <c:strCache>
                <c:ptCount val="1"/>
                <c:pt idx="0">
                  <c:v>Hf</c:v>
                </c:pt>
              </c:strCache>
            </c:strRef>
          </c:tx>
          <c:spPr>
            <a:solidFill>
              <a:schemeClr val="accent4">
                <a:lumMod val="75000"/>
              </a:schemeClr>
            </a:solidFill>
          </c:spPr>
          <c:invertIfNegative val="0"/>
          <c:cat>
            <c:strRef>
              <c:f>'1.'!$C$91:$E$99</c:f>
              <c:strCache>
                <c:ptCount val="9"/>
                <c:pt idx="0">
                  <c:v>Buildings</c:v>
                </c:pt>
                <c:pt idx="1">
                  <c:v>Road, rail and waterways infrastructure</c:v>
                </c:pt>
                <c:pt idx="2">
                  <c:v>Energy system</c:v>
                </c:pt>
                <c:pt idx="3">
                  <c:v>Drinking and sewage water infrastructure</c:v>
                </c:pt>
                <c:pt idx="4">
                  <c:v>Vehicles</c:v>
                </c:pt>
                <c:pt idx="5">
                  <c:v>Machinery</c:v>
                </c:pt>
                <c:pt idx="6">
                  <c:v>Textiles</c:v>
                </c:pt>
                <c:pt idx="7">
                  <c:v>Consumer electronics</c:v>
                </c:pt>
                <c:pt idx="8">
                  <c:v>Other consumer goods</c:v>
                </c:pt>
              </c:strCache>
            </c:strRef>
          </c:cat>
          <c:val>
            <c:numRef>
              <c:f>'1.'!$BC$91:$BC$99</c:f>
              <c:numCache>
                <c:formatCode>0.00E+00</c:formatCode>
                <c:ptCount val="9"/>
                <c:pt idx="0">
                  <c:v>0</c:v>
                </c:pt>
                <c:pt idx="1">
                  <c:v>0</c:v>
                </c:pt>
                <c:pt idx="2">
                  <c:v>0</c:v>
                </c:pt>
                <c:pt idx="3">
                  <c:v>0</c:v>
                </c:pt>
                <c:pt idx="4">
                  <c:v>0.24161863826801072</c:v>
                </c:pt>
                <c:pt idx="5">
                  <c:v>0</c:v>
                </c:pt>
                <c:pt idx="6">
                  <c:v>0</c:v>
                </c:pt>
                <c:pt idx="7">
                  <c:v>0</c:v>
                </c:pt>
                <c:pt idx="8">
                  <c:v>0</c:v>
                </c:pt>
              </c:numCache>
            </c:numRef>
          </c:val>
          <c:extLst>
            <c:ext xmlns:c16="http://schemas.microsoft.com/office/drawing/2014/chart" uri="{C3380CC4-5D6E-409C-BE32-E72D297353CC}">
              <c16:uniqueId val="{0000001A-94F6-41FF-B661-507C27BE4AB4}"/>
            </c:ext>
          </c:extLst>
        </c:ser>
        <c:dLbls>
          <c:showLegendKey val="0"/>
          <c:showVal val="0"/>
          <c:showCatName val="0"/>
          <c:showSerName val="0"/>
          <c:showPercent val="0"/>
          <c:showBubbleSize val="0"/>
        </c:dLbls>
        <c:gapWidth val="150"/>
        <c:overlap val="100"/>
        <c:axId val="641159087"/>
        <c:axId val="641151183"/>
        <c:extLst>
          <c:ext xmlns:c15="http://schemas.microsoft.com/office/drawing/2012/chart" uri="{02D57815-91ED-43cb-92C2-25804820EDAC}">
            <c15:filteredBarSeries>
              <c15:ser>
                <c:idx val="9"/>
                <c:order val="9"/>
                <c:tx>
                  <c:strRef>
                    <c:extLst>
                      <c:ext uri="{02D57815-91ED-43cb-92C2-25804820EDAC}">
                        <c15:formulaRef>
                          <c15:sqref>'1.'!$AM$90</c15:sqref>
                        </c15:formulaRef>
                      </c:ext>
                    </c:extLst>
                    <c:strCache>
                      <c:ptCount val="1"/>
                      <c:pt idx="0">
                        <c:v>Si</c:v>
                      </c:pt>
                    </c:strCache>
                  </c:strRef>
                </c:tx>
                <c:spPr>
                  <a:solidFill>
                    <a:srgbClr val="BA8CDC"/>
                  </a:solidFill>
                </c:spPr>
                <c:invertIfNegative val="0"/>
                <c:cat>
                  <c:strRef>
                    <c:extLst>
                      <c:ext uri="{02D57815-91ED-43cb-92C2-25804820EDAC}">
                        <c15:formulaRef>
                          <c15:sqref>'1.'!$C$91:$E$99</c15:sqref>
                        </c15:formulaRef>
                      </c:ext>
                    </c:extLst>
                    <c:strCache>
                      <c:ptCount val="9"/>
                      <c:pt idx="0">
                        <c:v>Buildings</c:v>
                      </c:pt>
                      <c:pt idx="1">
                        <c:v>Road, rail and waterways infrastructure</c:v>
                      </c:pt>
                      <c:pt idx="2">
                        <c:v>Energy system</c:v>
                      </c:pt>
                      <c:pt idx="3">
                        <c:v>Drinking and sewage water infrastructure</c:v>
                      </c:pt>
                      <c:pt idx="4">
                        <c:v>Vehicles</c:v>
                      </c:pt>
                      <c:pt idx="5">
                        <c:v>Machinery</c:v>
                      </c:pt>
                      <c:pt idx="6">
                        <c:v>Textiles</c:v>
                      </c:pt>
                      <c:pt idx="7">
                        <c:v>Consumer electronics</c:v>
                      </c:pt>
                      <c:pt idx="8">
                        <c:v>Other consumer goods</c:v>
                      </c:pt>
                    </c:strCache>
                  </c:strRef>
                </c:cat>
                <c:val>
                  <c:numRef>
                    <c:extLst>
                      <c:ext uri="{02D57815-91ED-43cb-92C2-25804820EDAC}">
                        <c15:formulaRef>
                          <c15:sqref>'1.'!$AM$91:$AM$99</c15:sqref>
                        </c15:formulaRef>
                      </c:ext>
                    </c:extLst>
                    <c:numCache>
                      <c:formatCode>0.00E+00</c:formatCode>
                      <c:ptCount val="9"/>
                      <c:pt idx="0">
                        <c:v>0</c:v>
                      </c:pt>
                      <c:pt idx="1">
                        <c:v>0</c:v>
                      </c:pt>
                      <c:pt idx="2">
                        <c:v>15621.760795162749</c:v>
                      </c:pt>
                      <c:pt idx="3">
                        <c:v>0</c:v>
                      </c:pt>
                      <c:pt idx="4">
                        <c:v>5.2998794841671373E-2</c:v>
                      </c:pt>
                      <c:pt idx="5">
                        <c:v>0</c:v>
                      </c:pt>
                      <c:pt idx="6">
                        <c:v>0</c:v>
                      </c:pt>
                      <c:pt idx="7">
                        <c:v>27238</c:v>
                      </c:pt>
                      <c:pt idx="8">
                        <c:v>0</c:v>
                      </c:pt>
                    </c:numCache>
                  </c:numRef>
                </c:val>
                <c:extLst>
                  <c:ext xmlns:c16="http://schemas.microsoft.com/office/drawing/2014/chart" uri="{C3380CC4-5D6E-409C-BE32-E72D297353CC}">
                    <c16:uniqueId val="{00000009-94F6-41FF-B661-507C27BE4AB4}"/>
                  </c:ext>
                </c:extLst>
              </c15:ser>
            </c15:filteredBarSeries>
            <c15:filteredBarSeries>
              <c15:ser>
                <c:idx val="16"/>
                <c:order val="15"/>
                <c:tx>
                  <c:strRef>
                    <c:extLst xmlns:c15="http://schemas.microsoft.com/office/drawing/2012/chart">
                      <c:ext xmlns:c15="http://schemas.microsoft.com/office/drawing/2012/chart" uri="{02D57815-91ED-43cb-92C2-25804820EDAC}">
                        <c15:formulaRef>
                          <c15:sqref>'1.'!$AS$90</c15:sqref>
                        </c15:formulaRef>
                      </c:ext>
                    </c:extLst>
                    <c:strCache>
                      <c:ptCount val="1"/>
                      <c:pt idx="0">
                        <c:v>Mg</c:v>
                      </c:pt>
                    </c:strCache>
                  </c:strRef>
                </c:tx>
                <c:spPr>
                  <a:solidFill>
                    <a:schemeClr val="bg1">
                      <a:lumMod val="50000"/>
                    </a:schemeClr>
                  </a:solidFill>
                </c:spPr>
                <c:invertIfNegative val="0"/>
                <c:cat>
                  <c:strRef>
                    <c:extLst xmlns:c15="http://schemas.microsoft.com/office/drawing/2012/chart">
                      <c:ext xmlns:c15="http://schemas.microsoft.com/office/drawing/2012/chart" uri="{02D57815-91ED-43cb-92C2-25804820EDAC}">
                        <c15:formulaRef>
                          <c15:sqref>'1.'!$C$91:$E$99</c15:sqref>
                        </c15:formulaRef>
                      </c:ext>
                    </c:extLst>
                    <c:strCache>
                      <c:ptCount val="9"/>
                      <c:pt idx="0">
                        <c:v>Buildings</c:v>
                      </c:pt>
                      <c:pt idx="1">
                        <c:v>Road, rail and waterways infrastructure</c:v>
                      </c:pt>
                      <c:pt idx="2">
                        <c:v>Energy system</c:v>
                      </c:pt>
                      <c:pt idx="3">
                        <c:v>Drinking and sewage water infrastructure</c:v>
                      </c:pt>
                      <c:pt idx="4">
                        <c:v>Vehicles</c:v>
                      </c:pt>
                      <c:pt idx="5">
                        <c:v>Machinery</c:v>
                      </c:pt>
                      <c:pt idx="6">
                        <c:v>Textiles</c:v>
                      </c:pt>
                      <c:pt idx="7">
                        <c:v>Consumer electronics</c:v>
                      </c:pt>
                      <c:pt idx="8">
                        <c:v>Other consumer goods</c:v>
                      </c:pt>
                    </c:strCache>
                  </c:strRef>
                </c:cat>
                <c:val>
                  <c:numRef>
                    <c:extLst xmlns:c15="http://schemas.microsoft.com/office/drawing/2012/chart">
                      <c:ext xmlns:c15="http://schemas.microsoft.com/office/drawing/2012/chart" uri="{02D57815-91ED-43cb-92C2-25804820EDAC}">
                        <c15:formulaRef>
                          <c15:sqref>'1.'!$AS$91:$AS$99</c15:sqref>
                        </c15:formulaRef>
                      </c:ext>
                    </c:extLst>
                    <c:numCache>
                      <c:formatCode>0.00E+00</c:formatCode>
                      <c:ptCount val="9"/>
                      <c:pt idx="0">
                        <c:v>0</c:v>
                      </c:pt>
                      <c:pt idx="1">
                        <c:v>0</c:v>
                      </c:pt>
                      <c:pt idx="2">
                        <c:v>0</c:v>
                      </c:pt>
                      <c:pt idx="3">
                        <c:v>0</c:v>
                      </c:pt>
                      <c:pt idx="4">
                        <c:v>341.42226003321719</c:v>
                      </c:pt>
                      <c:pt idx="5">
                        <c:v>0</c:v>
                      </c:pt>
                      <c:pt idx="6">
                        <c:v>0</c:v>
                      </c:pt>
                      <c:pt idx="7">
                        <c:v>5966</c:v>
                      </c:pt>
                      <c:pt idx="8">
                        <c:v>0</c:v>
                      </c:pt>
                    </c:numCache>
                  </c:numRef>
                </c:val>
                <c:extLst xmlns:c15="http://schemas.microsoft.com/office/drawing/2012/chart">
                  <c:ext xmlns:c16="http://schemas.microsoft.com/office/drawing/2014/chart" uri="{C3380CC4-5D6E-409C-BE32-E72D297353CC}">
                    <c16:uniqueId val="{00000010-94F6-41FF-B661-507C27BE4AB4}"/>
                  </c:ext>
                </c:extLst>
              </c15:ser>
            </c15:filteredBarSeries>
            <c15:filteredBarSeries>
              <c15:ser>
                <c:idx val="27"/>
                <c:order val="26"/>
                <c:tx>
                  <c:strRef>
                    <c:extLst xmlns:c15="http://schemas.microsoft.com/office/drawing/2012/chart">
                      <c:ext xmlns:c15="http://schemas.microsoft.com/office/drawing/2012/chart" uri="{02D57815-91ED-43cb-92C2-25804820EDAC}">
                        <c15:formulaRef>
                          <c15:sqref>'1.'!$BD$90</c15:sqref>
                        </c15:formulaRef>
                      </c:ext>
                    </c:extLst>
                    <c:strCache>
                      <c:ptCount val="1"/>
                      <c:pt idx="0">
                        <c:v>Unspecified CRM</c:v>
                      </c:pt>
                    </c:strCache>
                  </c:strRef>
                </c:tx>
                <c:spPr>
                  <a:solidFill>
                    <a:srgbClr val="F2E8FE"/>
                  </a:solidFill>
                </c:spPr>
                <c:invertIfNegative val="0"/>
                <c:cat>
                  <c:strRef>
                    <c:extLst xmlns:c15="http://schemas.microsoft.com/office/drawing/2012/chart">
                      <c:ext xmlns:c15="http://schemas.microsoft.com/office/drawing/2012/chart" uri="{02D57815-91ED-43cb-92C2-25804820EDAC}">
                        <c15:formulaRef>
                          <c15:sqref>'1.'!$C$91:$E$99</c15:sqref>
                        </c15:formulaRef>
                      </c:ext>
                    </c:extLst>
                    <c:strCache>
                      <c:ptCount val="9"/>
                      <c:pt idx="0">
                        <c:v>Buildings</c:v>
                      </c:pt>
                      <c:pt idx="1">
                        <c:v>Road, rail and waterways infrastructure</c:v>
                      </c:pt>
                      <c:pt idx="2">
                        <c:v>Energy system</c:v>
                      </c:pt>
                      <c:pt idx="3">
                        <c:v>Drinking and sewage water infrastructure</c:v>
                      </c:pt>
                      <c:pt idx="4">
                        <c:v>Vehicles</c:v>
                      </c:pt>
                      <c:pt idx="5">
                        <c:v>Machinery</c:v>
                      </c:pt>
                      <c:pt idx="6">
                        <c:v>Textiles</c:v>
                      </c:pt>
                      <c:pt idx="7">
                        <c:v>Consumer electronics</c:v>
                      </c:pt>
                      <c:pt idx="8">
                        <c:v>Other consumer goods</c:v>
                      </c:pt>
                    </c:strCache>
                  </c:strRef>
                </c:cat>
                <c:val>
                  <c:numRef>
                    <c:extLst xmlns:c15="http://schemas.microsoft.com/office/drawing/2012/chart">
                      <c:ext xmlns:c15="http://schemas.microsoft.com/office/drawing/2012/chart" uri="{02D57815-91ED-43cb-92C2-25804820EDAC}">
                        <c15:formulaRef>
                          <c15:sqref>'1.'!$BD$91:$BD$99</c15:sqref>
                        </c15:formulaRef>
                      </c:ext>
                    </c:extLst>
                    <c:numCache>
                      <c:formatCode>0.00E+00</c:formatCode>
                      <c:ptCount val="9"/>
                      <c:pt idx="0">
                        <c:v>0</c:v>
                      </c:pt>
                      <c:pt idx="1">
                        <c:v>0</c:v>
                      </c:pt>
                      <c:pt idx="2">
                        <c:v>0</c:v>
                      </c:pt>
                      <c:pt idx="3">
                        <c:v>0</c:v>
                      </c:pt>
                      <c:pt idx="4">
                        <c:v>30.83361248839509</c:v>
                      </c:pt>
                      <c:pt idx="5">
                        <c:v>0</c:v>
                      </c:pt>
                      <c:pt idx="6">
                        <c:v>0</c:v>
                      </c:pt>
                      <c:pt idx="7">
                        <c:v>0</c:v>
                      </c:pt>
                      <c:pt idx="8">
                        <c:v>18486.425323078998</c:v>
                      </c:pt>
                    </c:numCache>
                  </c:numRef>
                </c:val>
                <c:extLst xmlns:c15="http://schemas.microsoft.com/office/drawing/2012/chart">
                  <c:ext xmlns:c16="http://schemas.microsoft.com/office/drawing/2014/chart" uri="{C3380CC4-5D6E-409C-BE32-E72D297353CC}">
                    <c16:uniqueId val="{0000001B-94F6-41FF-B661-507C27BE4AB4}"/>
                  </c:ext>
                </c:extLst>
              </c15:ser>
            </c15:filteredBarSeries>
          </c:ext>
        </c:extLst>
      </c:barChart>
      <c:catAx>
        <c:axId val="641159087"/>
        <c:scaling>
          <c:orientation val="minMax"/>
        </c:scaling>
        <c:delete val="0"/>
        <c:axPos val="b"/>
        <c:numFmt formatCode="General" sourceLinked="1"/>
        <c:majorTickMark val="none"/>
        <c:minorTickMark val="none"/>
        <c:tickLblPos val="nextTo"/>
        <c:spPr>
          <a:noFill/>
          <a:ln w="9525" cap="flat" cmpd="sng" algn="ctr">
            <a:solidFill>
              <a:schemeClr val="tx1"/>
            </a:solidFill>
            <a:round/>
          </a:ln>
          <a:effectLst/>
        </c:spPr>
        <c:txPr>
          <a:bodyPr rot="-60000000" vert="horz"/>
          <a:lstStyle/>
          <a:p>
            <a:pPr>
              <a:defRPr>
                <a:solidFill>
                  <a:sysClr val="windowText" lastClr="000000"/>
                </a:solidFill>
              </a:defRPr>
            </a:pPr>
            <a:endParaRPr lang="nl-NL"/>
          </a:p>
        </c:txPr>
        <c:crossAx val="641151183"/>
        <c:crosses val="autoZero"/>
        <c:auto val="1"/>
        <c:lblAlgn val="ctr"/>
        <c:lblOffset val="100"/>
        <c:noMultiLvlLbl val="0"/>
      </c:catAx>
      <c:valAx>
        <c:axId val="641151183"/>
        <c:scaling>
          <c:orientation val="minMax"/>
        </c:scaling>
        <c:delete val="0"/>
        <c:axPos val="l"/>
        <c:title>
          <c:tx>
            <c:rich>
              <a:bodyPr/>
              <a:lstStyle/>
              <a:p>
                <a:pPr>
                  <a:defRPr b="1"/>
                </a:pPr>
                <a:r>
                  <a:rPr lang="en-US" b="1"/>
                  <a:t>ton</a:t>
                </a:r>
              </a:p>
            </c:rich>
          </c:tx>
          <c:overlay val="0"/>
        </c:title>
        <c:numFmt formatCode="0.00E+00" sourceLinked="1"/>
        <c:majorTickMark val="none"/>
        <c:minorTickMark val="none"/>
        <c:tickLblPos val="nextTo"/>
        <c:spPr>
          <a:noFill/>
          <a:ln>
            <a:solidFill>
              <a:schemeClr val="tx1"/>
            </a:solidFill>
          </a:ln>
          <a:effectLst/>
        </c:spPr>
        <c:txPr>
          <a:bodyPr rot="-60000000" vert="horz"/>
          <a:lstStyle/>
          <a:p>
            <a:pPr>
              <a:defRPr sz="800"/>
            </a:pPr>
            <a:endParaRPr lang="nl-NL"/>
          </a:p>
        </c:txPr>
        <c:crossAx val="641159087"/>
        <c:crosses val="autoZero"/>
        <c:crossBetween val="between"/>
      </c:valAx>
    </c:plotArea>
    <c:plotVisOnly val="1"/>
    <c:dispBlanksAs val="gap"/>
    <c:showDLblsOverMax val="0"/>
    <c:extLst/>
  </c:chart>
  <c:spPr>
    <a:solidFill>
      <a:schemeClr val="bg1"/>
    </a:solidFill>
    <a:ln w="9525" cap="flat" cmpd="sng" algn="ctr">
      <a:noFill/>
      <a:round/>
    </a:ln>
    <a:effectLst/>
  </c:spPr>
  <c:txPr>
    <a:bodyPr/>
    <a:lstStyle/>
    <a:p>
      <a:pPr>
        <a:defRPr sz="900" b="0">
          <a:solidFill>
            <a:sysClr val="windowText" lastClr="000000"/>
          </a:solidFill>
          <a:latin typeface="Avenir Next LT Pro" panose="020B0504020202020204" pitchFamily="34" charset="0"/>
        </a:defRPr>
      </a:pPr>
      <a:endParaRPr lang="nl-NL"/>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900" b="1" i="0" u="none" strike="noStrike" kern="1200" spc="0" baseline="0">
                <a:solidFill>
                  <a:sysClr val="windowText" lastClr="000000"/>
                </a:solidFill>
                <a:latin typeface="Avenir Next LT Pro" panose="020B0504020202020204" pitchFamily="34" charset="0"/>
                <a:ea typeface="+mn-ea"/>
                <a:cs typeface="+mn-cs"/>
              </a:defRPr>
            </a:pPr>
            <a:r>
              <a:rPr lang="en-US" sz="900" b="1" baseline="0"/>
              <a:t>In-use stocks of materials per sector, the Netherlands, ca. 2020</a:t>
            </a:r>
            <a:endParaRPr lang="en-US" sz="900" b="1"/>
          </a:p>
        </c:rich>
      </c:tx>
      <c:layout>
        <c:manualLayout>
          <c:xMode val="edge"/>
          <c:yMode val="edge"/>
          <c:x val="0.35185951356076256"/>
          <c:y val="6.4516082378803657E-2"/>
        </c:manualLayout>
      </c:layout>
      <c:overlay val="0"/>
      <c:spPr>
        <a:noFill/>
        <a:ln>
          <a:noFill/>
        </a:ln>
        <a:effectLst/>
      </c:spPr>
      <c:txPr>
        <a:bodyPr rot="0" spcFirstLastPara="1" vertOverflow="ellipsis" vert="horz" wrap="square" anchor="ctr" anchorCtr="1"/>
        <a:lstStyle/>
        <a:p>
          <a:pPr>
            <a:defRPr sz="900" b="1" i="0" u="none" strike="noStrike" kern="1200" spc="0" baseline="0">
              <a:solidFill>
                <a:sysClr val="windowText" lastClr="000000"/>
              </a:solidFill>
              <a:latin typeface="Avenir Next LT Pro" panose="020B0504020202020204" pitchFamily="34" charset="0"/>
              <a:ea typeface="+mn-ea"/>
              <a:cs typeface="+mn-cs"/>
            </a:defRPr>
          </a:pPr>
          <a:endParaRPr lang="en-US"/>
        </a:p>
      </c:txPr>
    </c:title>
    <c:autoTitleDeleted val="0"/>
    <c:plotArea>
      <c:layout>
        <c:manualLayout>
          <c:layoutTarget val="inner"/>
          <c:xMode val="edge"/>
          <c:yMode val="edge"/>
          <c:x val="0.23882967451946649"/>
          <c:y val="8.4006348231417616E-2"/>
          <c:w val="0.70464744758974407"/>
          <c:h val="0.57182365104196564"/>
        </c:manualLayout>
      </c:layout>
      <c:barChart>
        <c:barDir val="col"/>
        <c:grouping val="stacked"/>
        <c:varyColors val="0"/>
        <c:ser>
          <c:idx val="0"/>
          <c:order val="0"/>
          <c:tx>
            <c:strRef>
              <c:f>'1.'!$BH$90</c:f>
              <c:strCache>
                <c:ptCount val="1"/>
                <c:pt idx="0">
                  <c:v>Construction minerals</c:v>
                </c:pt>
              </c:strCache>
            </c:strRef>
          </c:tx>
          <c:spPr>
            <a:solidFill>
              <a:srgbClr val="003049"/>
            </a:solidFill>
            <a:ln>
              <a:noFill/>
            </a:ln>
            <a:effectLst/>
          </c:spPr>
          <c:invertIfNegative val="0"/>
          <c:cat>
            <c:strRef>
              <c:f>'1.'!$BF$91:$BF$99</c:f>
              <c:strCache>
                <c:ptCount val="9"/>
                <c:pt idx="0">
                  <c:v>Buildings</c:v>
                </c:pt>
                <c:pt idx="1">
                  <c:v>Road, rail and waterways infrastructure</c:v>
                </c:pt>
                <c:pt idx="2">
                  <c:v>Energy system</c:v>
                </c:pt>
                <c:pt idx="3">
                  <c:v>Drinking and sewage water infrastructure</c:v>
                </c:pt>
                <c:pt idx="4">
                  <c:v>Vehicles</c:v>
                </c:pt>
                <c:pt idx="5">
                  <c:v>Machinery</c:v>
                </c:pt>
                <c:pt idx="6">
                  <c:v>Textiles</c:v>
                </c:pt>
                <c:pt idx="7">
                  <c:v>Consumer electronics</c:v>
                </c:pt>
                <c:pt idx="8">
                  <c:v>Other consumer goods</c:v>
                </c:pt>
              </c:strCache>
            </c:strRef>
          </c:cat>
          <c:val>
            <c:numRef>
              <c:f>'1.'!$BH$91:$BH$99</c:f>
              <c:numCache>
                <c:formatCode>0.00E+00</c:formatCode>
                <c:ptCount val="9"/>
                <c:pt idx="0">
                  <c:v>493322020.62445456</c:v>
                </c:pt>
                <c:pt idx="1">
                  <c:v>3844627462.0065627</c:v>
                </c:pt>
                <c:pt idx="2">
                  <c:v>0</c:v>
                </c:pt>
                <c:pt idx="3">
                  <c:v>0</c:v>
                </c:pt>
                <c:pt idx="4">
                  <c:v>0</c:v>
                </c:pt>
                <c:pt idx="5">
                  <c:v>0</c:v>
                </c:pt>
                <c:pt idx="6">
                  <c:v>0</c:v>
                </c:pt>
                <c:pt idx="7">
                  <c:v>0</c:v>
                </c:pt>
                <c:pt idx="8">
                  <c:v>0</c:v>
                </c:pt>
              </c:numCache>
            </c:numRef>
          </c:val>
          <c:extLst>
            <c:ext xmlns:c16="http://schemas.microsoft.com/office/drawing/2014/chart" uri="{C3380CC4-5D6E-409C-BE32-E72D297353CC}">
              <c16:uniqueId val="{0000000B-0203-4C1F-A2C6-1F68BBB13246}"/>
            </c:ext>
          </c:extLst>
        </c:ser>
        <c:ser>
          <c:idx val="5"/>
          <c:order val="1"/>
          <c:tx>
            <c:strRef>
              <c:f>'1.'!$BI$90</c:f>
              <c:strCache>
                <c:ptCount val="1"/>
                <c:pt idx="0">
                  <c:v>Construction materials</c:v>
                </c:pt>
              </c:strCache>
            </c:strRef>
          </c:tx>
          <c:spPr>
            <a:solidFill>
              <a:schemeClr val="accent6"/>
            </a:solidFill>
            <a:ln>
              <a:noFill/>
            </a:ln>
            <a:effectLst/>
          </c:spPr>
          <c:invertIfNegative val="0"/>
          <c:val>
            <c:numRef>
              <c:f>'1.'!$BI$91:$BI$99</c:f>
              <c:numCache>
                <c:formatCode>0.00E+00</c:formatCode>
                <c:ptCount val="9"/>
                <c:pt idx="0">
                  <c:v>2021484519.3825493</c:v>
                </c:pt>
                <c:pt idx="1">
                  <c:v>1110084288.43537</c:v>
                </c:pt>
                <c:pt idx="2">
                  <c:v>6208338.2301747743</c:v>
                </c:pt>
                <c:pt idx="3">
                  <c:v>23621912</c:v>
                </c:pt>
                <c:pt idx="4">
                  <c:v>0</c:v>
                </c:pt>
                <c:pt idx="5">
                  <c:v>1947091.54635304</c:v>
                </c:pt>
                <c:pt idx="6">
                  <c:v>0</c:v>
                </c:pt>
                <c:pt idx="7">
                  <c:v>0</c:v>
                </c:pt>
                <c:pt idx="8">
                  <c:v>153944.64480295699</c:v>
                </c:pt>
              </c:numCache>
            </c:numRef>
          </c:val>
          <c:extLst>
            <c:ext xmlns:c16="http://schemas.microsoft.com/office/drawing/2014/chart" uri="{C3380CC4-5D6E-409C-BE32-E72D297353CC}">
              <c16:uniqueId val="{00000000-C154-480E-83CA-9D04D158A76C}"/>
            </c:ext>
          </c:extLst>
        </c:ser>
        <c:ser>
          <c:idx val="1"/>
          <c:order val="2"/>
          <c:tx>
            <c:strRef>
              <c:f>'1.'!$BJ$90</c:f>
              <c:strCache>
                <c:ptCount val="1"/>
                <c:pt idx="0">
                  <c:v>Metals</c:v>
                </c:pt>
              </c:strCache>
            </c:strRef>
          </c:tx>
          <c:spPr>
            <a:solidFill>
              <a:srgbClr val="D62828"/>
            </a:solidFill>
            <a:ln>
              <a:noFill/>
            </a:ln>
            <a:effectLst/>
          </c:spPr>
          <c:invertIfNegative val="0"/>
          <c:cat>
            <c:strRef>
              <c:f>'1.'!$BF$91:$BF$99</c:f>
              <c:strCache>
                <c:ptCount val="9"/>
                <c:pt idx="0">
                  <c:v>Buildings</c:v>
                </c:pt>
                <c:pt idx="1">
                  <c:v>Road, rail and waterways infrastructure</c:v>
                </c:pt>
                <c:pt idx="2">
                  <c:v>Energy system</c:v>
                </c:pt>
                <c:pt idx="3">
                  <c:v>Drinking and sewage water infrastructure</c:v>
                </c:pt>
                <c:pt idx="4">
                  <c:v>Vehicles</c:v>
                </c:pt>
                <c:pt idx="5">
                  <c:v>Machinery</c:v>
                </c:pt>
                <c:pt idx="6">
                  <c:v>Textiles</c:v>
                </c:pt>
                <c:pt idx="7">
                  <c:v>Consumer electronics</c:v>
                </c:pt>
                <c:pt idx="8">
                  <c:v>Other consumer goods</c:v>
                </c:pt>
              </c:strCache>
            </c:strRef>
          </c:cat>
          <c:val>
            <c:numRef>
              <c:f>'1.'!$BJ$91:$BJ$99</c:f>
              <c:numCache>
                <c:formatCode>0.00E+00</c:formatCode>
                <c:ptCount val="9"/>
                <c:pt idx="0">
                  <c:v>103079016.07410105</c:v>
                </c:pt>
                <c:pt idx="1">
                  <c:v>21239747.790395457</c:v>
                </c:pt>
                <c:pt idx="2">
                  <c:v>4848212.8414398106</c:v>
                </c:pt>
                <c:pt idx="3">
                  <c:v>1810190</c:v>
                </c:pt>
                <c:pt idx="4">
                  <c:v>32076203.53254763</c:v>
                </c:pt>
                <c:pt idx="5">
                  <c:v>7258568.8173241289</c:v>
                </c:pt>
                <c:pt idx="6">
                  <c:v>323305.69853835402</c:v>
                </c:pt>
                <c:pt idx="7">
                  <c:v>720865</c:v>
                </c:pt>
                <c:pt idx="8">
                  <c:v>3426059.7442176077</c:v>
                </c:pt>
              </c:numCache>
            </c:numRef>
          </c:val>
          <c:extLst>
            <c:ext xmlns:c16="http://schemas.microsoft.com/office/drawing/2014/chart" uri="{C3380CC4-5D6E-409C-BE32-E72D297353CC}">
              <c16:uniqueId val="{0000000D-0203-4C1F-A2C6-1F68BBB13246}"/>
            </c:ext>
          </c:extLst>
        </c:ser>
        <c:ser>
          <c:idx val="2"/>
          <c:order val="3"/>
          <c:tx>
            <c:strRef>
              <c:f>'1.'!$BK$90</c:f>
              <c:strCache>
                <c:ptCount val="1"/>
                <c:pt idx="0">
                  <c:v>Biobased materials</c:v>
                </c:pt>
              </c:strCache>
            </c:strRef>
          </c:tx>
          <c:spPr>
            <a:solidFill>
              <a:srgbClr val="0A9396"/>
            </a:solidFill>
            <a:ln>
              <a:noFill/>
            </a:ln>
            <a:effectLst/>
          </c:spPr>
          <c:invertIfNegative val="0"/>
          <c:cat>
            <c:strRef>
              <c:f>'1.'!$BF$91:$BF$99</c:f>
              <c:strCache>
                <c:ptCount val="9"/>
                <c:pt idx="0">
                  <c:v>Buildings</c:v>
                </c:pt>
                <c:pt idx="1">
                  <c:v>Road, rail and waterways infrastructure</c:v>
                </c:pt>
                <c:pt idx="2">
                  <c:v>Energy system</c:v>
                </c:pt>
                <c:pt idx="3">
                  <c:v>Drinking and sewage water infrastructure</c:v>
                </c:pt>
                <c:pt idx="4">
                  <c:v>Vehicles</c:v>
                </c:pt>
                <c:pt idx="5">
                  <c:v>Machinery</c:v>
                </c:pt>
                <c:pt idx="6">
                  <c:v>Textiles</c:v>
                </c:pt>
                <c:pt idx="7">
                  <c:v>Consumer electronics</c:v>
                </c:pt>
                <c:pt idx="8">
                  <c:v>Other consumer goods</c:v>
                </c:pt>
              </c:strCache>
            </c:strRef>
          </c:cat>
          <c:val>
            <c:numRef>
              <c:f>'1.'!$BK$91:$BK$99</c:f>
              <c:numCache>
                <c:formatCode>0.00E+00</c:formatCode>
                <c:ptCount val="9"/>
                <c:pt idx="0">
                  <c:v>46958721.675927602</c:v>
                </c:pt>
                <c:pt idx="1">
                  <c:v>64234.034590877432</c:v>
                </c:pt>
                <c:pt idx="2">
                  <c:v>1555.691381722083</c:v>
                </c:pt>
                <c:pt idx="3">
                  <c:v>0</c:v>
                </c:pt>
                <c:pt idx="4">
                  <c:v>2422756.9447381068</c:v>
                </c:pt>
                <c:pt idx="5">
                  <c:v>0</c:v>
                </c:pt>
                <c:pt idx="6">
                  <c:v>1061739.5642920006</c:v>
                </c:pt>
                <c:pt idx="7">
                  <c:v>0</c:v>
                </c:pt>
                <c:pt idx="8">
                  <c:v>5452220.1682905667</c:v>
                </c:pt>
              </c:numCache>
            </c:numRef>
          </c:val>
          <c:extLst>
            <c:ext xmlns:c16="http://schemas.microsoft.com/office/drawing/2014/chart" uri="{C3380CC4-5D6E-409C-BE32-E72D297353CC}">
              <c16:uniqueId val="{0000000F-0203-4C1F-A2C6-1F68BBB13246}"/>
            </c:ext>
          </c:extLst>
        </c:ser>
        <c:ser>
          <c:idx val="3"/>
          <c:order val="4"/>
          <c:tx>
            <c:strRef>
              <c:f>'1.'!$BL$90</c:f>
              <c:strCache>
                <c:ptCount val="1"/>
                <c:pt idx="0">
                  <c:v>Other materials</c:v>
                </c:pt>
              </c:strCache>
            </c:strRef>
          </c:tx>
          <c:spPr>
            <a:solidFill>
              <a:srgbClr val="80ED99"/>
            </a:solidFill>
            <a:ln>
              <a:noFill/>
            </a:ln>
            <a:effectLst/>
          </c:spPr>
          <c:invertIfNegative val="0"/>
          <c:cat>
            <c:strRef>
              <c:f>'1.'!$BF$91:$BF$99</c:f>
              <c:strCache>
                <c:ptCount val="9"/>
                <c:pt idx="0">
                  <c:v>Buildings</c:v>
                </c:pt>
                <c:pt idx="1">
                  <c:v>Road, rail and waterways infrastructure</c:v>
                </c:pt>
                <c:pt idx="2">
                  <c:v>Energy system</c:v>
                </c:pt>
                <c:pt idx="3">
                  <c:v>Drinking and sewage water infrastructure</c:v>
                </c:pt>
                <c:pt idx="4">
                  <c:v>Vehicles</c:v>
                </c:pt>
                <c:pt idx="5">
                  <c:v>Machinery</c:v>
                </c:pt>
                <c:pt idx="6">
                  <c:v>Textiles</c:v>
                </c:pt>
                <c:pt idx="7">
                  <c:v>Consumer electronics</c:v>
                </c:pt>
                <c:pt idx="8">
                  <c:v>Other consumer goods</c:v>
                </c:pt>
              </c:strCache>
            </c:strRef>
          </c:cat>
          <c:val>
            <c:numRef>
              <c:f>'1.'!$BL$91:$BL$99</c:f>
              <c:numCache>
                <c:formatCode>0.00E+00</c:formatCode>
                <c:ptCount val="9"/>
                <c:pt idx="0">
                  <c:v>42583898.174264602</c:v>
                </c:pt>
                <c:pt idx="1">
                  <c:v>255831.82895175659</c:v>
                </c:pt>
                <c:pt idx="2">
                  <c:v>896217.60856916464</c:v>
                </c:pt>
                <c:pt idx="3">
                  <c:v>5964275</c:v>
                </c:pt>
                <c:pt idx="4">
                  <c:v>1261795.7667718951</c:v>
                </c:pt>
                <c:pt idx="5">
                  <c:v>1126863.1270950751</c:v>
                </c:pt>
                <c:pt idx="6">
                  <c:v>3168659.0357988086</c:v>
                </c:pt>
                <c:pt idx="7">
                  <c:v>370211</c:v>
                </c:pt>
                <c:pt idx="8">
                  <c:v>5192623.3246896677</c:v>
                </c:pt>
              </c:numCache>
            </c:numRef>
          </c:val>
          <c:extLst>
            <c:ext xmlns:c16="http://schemas.microsoft.com/office/drawing/2014/chart" uri="{C3380CC4-5D6E-409C-BE32-E72D297353CC}">
              <c16:uniqueId val="{00000011-0203-4C1F-A2C6-1F68BBB13246}"/>
            </c:ext>
          </c:extLst>
        </c:ser>
        <c:ser>
          <c:idx val="4"/>
          <c:order val="5"/>
          <c:tx>
            <c:strRef>
              <c:f>'1.'!$BM$90</c:f>
              <c:strCache>
                <c:ptCount val="1"/>
                <c:pt idx="0">
                  <c:v>CRM</c:v>
                </c:pt>
              </c:strCache>
            </c:strRef>
          </c:tx>
          <c:spPr>
            <a:solidFill>
              <a:srgbClr val="FCBF49"/>
            </a:solidFill>
            <a:ln>
              <a:noFill/>
            </a:ln>
            <a:effectLst/>
          </c:spPr>
          <c:invertIfNegative val="0"/>
          <c:cat>
            <c:strRef>
              <c:f>'1.'!$BF$91:$BF$99</c:f>
              <c:strCache>
                <c:ptCount val="9"/>
                <c:pt idx="0">
                  <c:v>Buildings</c:v>
                </c:pt>
                <c:pt idx="1">
                  <c:v>Road, rail and waterways infrastructure</c:v>
                </c:pt>
                <c:pt idx="2">
                  <c:v>Energy system</c:v>
                </c:pt>
                <c:pt idx="3">
                  <c:v>Drinking and sewage water infrastructure</c:v>
                </c:pt>
                <c:pt idx="4">
                  <c:v>Vehicles</c:v>
                </c:pt>
                <c:pt idx="5">
                  <c:v>Machinery</c:v>
                </c:pt>
                <c:pt idx="6">
                  <c:v>Textiles</c:v>
                </c:pt>
                <c:pt idx="7">
                  <c:v>Consumer electronics</c:v>
                </c:pt>
                <c:pt idx="8">
                  <c:v>Other consumer goods</c:v>
                </c:pt>
              </c:strCache>
            </c:strRef>
          </c:cat>
          <c:val>
            <c:numRef>
              <c:f>'1.'!$BM$91:$BM$99</c:f>
              <c:numCache>
                <c:formatCode>0.00E+00</c:formatCode>
                <c:ptCount val="9"/>
                <c:pt idx="0">
                  <c:v>0</c:v>
                </c:pt>
                <c:pt idx="1">
                  <c:v>0</c:v>
                </c:pt>
                <c:pt idx="2">
                  <c:v>16107.200058030037</c:v>
                </c:pt>
                <c:pt idx="3">
                  <c:v>0</c:v>
                </c:pt>
                <c:pt idx="4">
                  <c:v>4741.0076329849435</c:v>
                </c:pt>
                <c:pt idx="5">
                  <c:v>332.38799442296175</c:v>
                </c:pt>
                <c:pt idx="6">
                  <c:v>0</c:v>
                </c:pt>
                <c:pt idx="7">
                  <c:v>34179</c:v>
                </c:pt>
                <c:pt idx="8">
                  <c:v>21685.859956402113</c:v>
                </c:pt>
              </c:numCache>
            </c:numRef>
          </c:val>
          <c:extLst>
            <c:ext xmlns:c16="http://schemas.microsoft.com/office/drawing/2014/chart" uri="{C3380CC4-5D6E-409C-BE32-E72D297353CC}">
              <c16:uniqueId val="{00000013-0203-4C1F-A2C6-1F68BBB13246}"/>
            </c:ext>
          </c:extLst>
        </c:ser>
        <c:dLbls>
          <c:showLegendKey val="0"/>
          <c:showVal val="0"/>
          <c:showCatName val="0"/>
          <c:showSerName val="0"/>
          <c:showPercent val="0"/>
          <c:showBubbleSize val="0"/>
        </c:dLbls>
        <c:gapWidth val="150"/>
        <c:overlap val="100"/>
        <c:axId val="1575683903"/>
        <c:axId val="1575692639"/>
      </c:barChart>
      <c:catAx>
        <c:axId val="1575683903"/>
        <c:scaling>
          <c:orientation val="minMax"/>
        </c:scaling>
        <c:delete val="0"/>
        <c:axPos val="b"/>
        <c:numFmt formatCode="General" sourceLinked="1"/>
        <c:majorTickMark val="none"/>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venir Next LT Pro" panose="020B0504020202020204" pitchFamily="34" charset="0"/>
                <a:ea typeface="+mn-ea"/>
                <a:cs typeface="+mn-cs"/>
              </a:defRPr>
            </a:pPr>
            <a:endParaRPr lang="nl-NL"/>
          </a:p>
        </c:txPr>
        <c:crossAx val="1575692639"/>
        <c:crosses val="autoZero"/>
        <c:auto val="1"/>
        <c:lblAlgn val="ctr"/>
        <c:lblOffset val="100"/>
        <c:noMultiLvlLbl val="0"/>
      </c:catAx>
      <c:valAx>
        <c:axId val="1575692639"/>
        <c:scaling>
          <c:orientation val="minMax"/>
        </c:scaling>
        <c:delete val="0"/>
        <c:axPos val="l"/>
        <c:title>
          <c:tx>
            <c:rich>
              <a:bodyPr rot="-5400000" spcFirstLastPara="1" vertOverflow="ellipsis" vert="horz" wrap="square" anchor="ctr" anchorCtr="1"/>
              <a:lstStyle/>
              <a:p>
                <a:pPr>
                  <a:defRPr sz="900" b="1" i="0" u="none" strike="noStrike" kern="1200" baseline="0">
                    <a:solidFill>
                      <a:sysClr val="windowText" lastClr="000000"/>
                    </a:solidFill>
                    <a:latin typeface="Avenir Next LT Pro" panose="020B0504020202020204" pitchFamily="34" charset="0"/>
                    <a:ea typeface="+mn-ea"/>
                    <a:cs typeface="+mn-cs"/>
                  </a:defRPr>
                </a:pPr>
                <a:r>
                  <a:rPr lang="en-US" b="1"/>
                  <a:t>ton</a:t>
                </a:r>
              </a:p>
            </c:rich>
          </c:tx>
          <c:overlay val="0"/>
          <c:spPr>
            <a:noFill/>
            <a:ln>
              <a:noFill/>
            </a:ln>
            <a:effectLst/>
          </c:spPr>
          <c:txPr>
            <a:bodyPr rot="-5400000" spcFirstLastPara="1" vertOverflow="ellipsis" vert="horz" wrap="square" anchor="ctr" anchorCtr="1"/>
            <a:lstStyle/>
            <a:p>
              <a:pPr>
                <a:defRPr sz="900" b="1" i="0" u="none" strike="noStrike" kern="1200" baseline="0">
                  <a:solidFill>
                    <a:sysClr val="windowText" lastClr="000000"/>
                  </a:solidFill>
                  <a:latin typeface="Avenir Next LT Pro" panose="020B0504020202020204" pitchFamily="34" charset="0"/>
                  <a:ea typeface="+mn-ea"/>
                  <a:cs typeface="+mn-cs"/>
                </a:defRPr>
              </a:pPr>
              <a:endParaRPr lang="nl-NL"/>
            </a:p>
          </c:txPr>
        </c:title>
        <c:numFmt formatCode="0.00E+00" sourceLinked="1"/>
        <c:majorTickMark val="none"/>
        <c:minorTickMark val="none"/>
        <c:tickLblPos val="nextTo"/>
        <c:spPr>
          <a:noFill/>
          <a:ln>
            <a:solidFill>
              <a:schemeClr val="tx1"/>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venir Next LT Pro" panose="020B0504020202020204" pitchFamily="34" charset="0"/>
                <a:ea typeface="+mn-ea"/>
                <a:cs typeface="+mn-cs"/>
              </a:defRPr>
            </a:pPr>
            <a:endParaRPr lang="nl-NL"/>
          </a:p>
        </c:txPr>
        <c:crossAx val="1575683903"/>
        <c:crosses val="autoZero"/>
        <c:crossBetween val="between"/>
      </c:valAx>
      <c:spPr>
        <a:noFill/>
        <a:ln w="25400">
          <a:noFill/>
        </a:ln>
        <a:effectLst/>
      </c:spPr>
    </c:plotArea>
    <c:legend>
      <c:legendPos val="r"/>
      <c:layout>
        <c:manualLayout>
          <c:xMode val="edge"/>
          <c:yMode val="edge"/>
          <c:x val="0.59516792797191997"/>
          <c:y val="0.17787763219640829"/>
          <c:w val="0.3229535054753942"/>
          <c:h val="0.3008332787392381"/>
        </c:manualLayout>
      </c:layout>
      <c:overlay val="0"/>
      <c:spPr>
        <a:noFill/>
        <a:ln>
          <a:solidFill>
            <a:schemeClr val="tx1"/>
          </a:solidFill>
        </a:ln>
        <a:effectLst/>
      </c:spPr>
      <c:txPr>
        <a:bodyPr rot="0" spcFirstLastPara="1" vertOverflow="ellipsis" vert="horz" wrap="square" anchor="ctr" anchorCtr="1"/>
        <a:lstStyle/>
        <a:p>
          <a:pPr>
            <a:defRPr sz="800" b="0" i="0" u="none" strike="noStrike" kern="1200" baseline="0">
              <a:solidFill>
                <a:sysClr val="windowText" lastClr="000000"/>
              </a:solidFill>
              <a:latin typeface="Avenir Next LT Pro" panose="020B0504020202020204" pitchFamily="34" charset="0"/>
              <a:ea typeface="+mn-ea"/>
              <a:cs typeface="+mn-cs"/>
            </a:defRPr>
          </a:pPr>
          <a:endParaRPr lang="nl-NL"/>
        </a:p>
      </c:txPr>
    </c:legend>
    <c:plotVisOnly val="1"/>
    <c:dispBlanksAs val="gap"/>
    <c:showDLblsOverMax val="0"/>
    <c:extLst/>
  </c:chart>
  <c:spPr>
    <a:solidFill>
      <a:schemeClr val="bg1"/>
    </a:solidFill>
    <a:ln w="9525" cap="flat" cmpd="sng" algn="ctr">
      <a:noFill/>
      <a:round/>
    </a:ln>
    <a:effectLst/>
  </c:spPr>
  <c:txPr>
    <a:bodyPr/>
    <a:lstStyle/>
    <a:p>
      <a:pPr>
        <a:defRPr sz="900">
          <a:solidFill>
            <a:sysClr val="windowText" lastClr="000000"/>
          </a:solidFill>
          <a:latin typeface="Avenir Next LT Pro" panose="020B0504020202020204" pitchFamily="34" charset="0"/>
        </a:defRPr>
      </a:pPr>
      <a:endParaRPr lang="nl-NL"/>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900" b="1" i="0" u="none" strike="noStrike" kern="1200" spc="0" baseline="0">
                <a:solidFill>
                  <a:sysClr val="windowText" lastClr="000000"/>
                </a:solidFill>
                <a:latin typeface="Avenir Next LT Pro" panose="020B0504020202020204" pitchFamily="34" charset="0"/>
                <a:ea typeface="+mn-ea"/>
                <a:cs typeface="+mn-cs"/>
              </a:defRPr>
            </a:pPr>
            <a:r>
              <a:rPr lang="en-US" sz="900" b="1" baseline="0"/>
              <a:t>In-use stocks of materials per sector, the Netherlands, ca. 2020 </a:t>
            </a:r>
            <a:br>
              <a:rPr lang="en-US" sz="900" b="1" baseline="0"/>
            </a:br>
            <a:r>
              <a:rPr lang="en-US" sz="900" b="0" i="1" baseline="0"/>
              <a:t>excluding buildings and infrastructure</a:t>
            </a:r>
            <a:endParaRPr lang="en-US" sz="900" b="0" i="1"/>
          </a:p>
        </c:rich>
      </c:tx>
      <c:layout>
        <c:manualLayout>
          <c:xMode val="edge"/>
          <c:yMode val="edge"/>
          <c:x val="0.27557803829936672"/>
          <c:y val="4.5887345483273598E-2"/>
        </c:manualLayout>
      </c:layout>
      <c:overlay val="0"/>
      <c:spPr>
        <a:noFill/>
        <a:ln>
          <a:noFill/>
        </a:ln>
        <a:effectLst/>
      </c:spPr>
      <c:txPr>
        <a:bodyPr rot="0" spcFirstLastPara="1" vertOverflow="ellipsis" vert="horz" wrap="square" anchor="ctr" anchorCtr="1"/>
        <a:lstStyle/>
        <a:p>
          <a:pPr>
            <a:defRPr sz="900" b="1" i="0" u="none" strike="noStrike" kern="1200" spc="0" baseline="0">
              <a:solidFill>
                <a:sysClr val="windowText" lastClr="000000"/>
              </a:solidFill>
              <a:latin typeface="Avenir Next LT Pro" panose="020B0504020202020204" pitchFamily="34" charset="0"/>
              <a:ea typeface="+mn-ea"/>
              <a:cs typeface="+mn-cs"/>
            </a:defRPr>
          </a:pPr>
          <a:endParaRPr lang="en-US"/>
        </a:p>
      </c:txPr>
    </c:title>
    <c:autoTitleDeleted val="0"/>
    <c:plotArea>
      <c:layout>
        <c:manualLayout>
          <c:layoutTarget val="inner"/>
          <c:xMode val="edge"/>
          <c:yMode val="edge"/>
          <c:x val="0.23882967451946649"/>
          <c:y val="8.4006348231417616E-2"/>
          <c:w val="0.70464744758974407"/>
          <c:h val="0.57846528262112917"/>
        </c:manualLayout>
      </c:layout>
      <c:barChart>
        <c:barDir val="col"/>
        <c:grouping val="stacked"/>
        <c:varyColors val="0"/>
        <c:ser>
          <c:idx val="0"/>
          <c:order val="0"/>
          <c:tx>
            <c:strRef>
              <c:f>'1.'!$BH$90</c:f>
              <c:strCache>
                <c:ptCount val="1"/>
                <c:pt idx="0">
                  <c:v>Construction minerals</c:v>
                </c:pt>
              </c:strCache>
            </c:strRef>
          </c:tx>
          <c:spPr>
            <a:solidFill>
              <a:srgbClr val="003049"/>
            </a:solidFill>
            <a:ln>
              <a:noFill/>
            </a:ln>
            <a:effectLst/>
          </c:spPr>
          <c:invertIfNegative val="0"/>
          <c:cat>
            <c:strRef>
              <c:extLst>
                <c:ext xmlns:c15="http://schemas.microsoft.com/office/drawing/2012/chart" uri="{02D57815-91ED-43cb-92C2-25804820EDAC}">
                  <c15:fullRef>
                    <c15:sqref>'1.'!$BF$91:$BF$99</c15:sqref>
                  </c15:fullRef>
                </c:ext>
              </c:extLst>
              <c:f>'1.'!$BF$93:$BF$99</c:f>
              <c:strCache>
                <c:ptCount val="7"/>
                <c:pt idx="0">
                  <c:v>Energy system</c:v>
                </c:pt>
                <c:pt idx="1">
                  <c:v>Drinking and sewage water infrastructure</c:v>
                </c:pt>
                <c:pt idx="2">
                  <c:v>Vehicles</c:v>
                </c:pt>
                <c:pt idx="3">
                  <c:v>Machinery</c:v>
                </c:pt>
                <c:pt idx="4">
                  <c:v>Textiles</c:v>
                </c:pt>
                <c:pt idx="5">
                  <c:v>Consumer electronics</c:v>
                </c:pt>
                <c:pt idx="6">
                  <c:v>Other consumer goods</c:v>
                </c:pt>
              </c:strCache>
            </c:strRef>
          </c:cat>
          <c:val>
            <c:numRef>
              <c:extLst>
                <c:ext xmlns:c15="http://schemas.microsoft.com/office/drawing/2012/chart" uri="{02D57815-91ED-43cb-92C2-25804820EDAC}">
                  <c15:fullRef>
                    <c15:sqref>'1.'!$BH$91:$BH$99</c15:sqref>
                  </c15:fullRef>
                </c:ext>
              </c:extLst>
              <c:f>'1.'!$BH$93:$BH$99</c:f>
              <c:numCache>
                <c:formatCode>0.00E+00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D61A-44F5-8D09-02ED615BA887}"/>
            </c:ext>
          </c:extLst>
        </c:ser>
        <c:ser>
          <c:idx val="5"/>
          <c:order val="1"/>
          <c:tx>
            <c:strRef>
              <c:f>'1.'!$BI$90</c:f>
              <c:strCache>
                <c:ptCount val="1"/>
                <c:pt idx="0">
                  <c:v>Construction materials</c:v>
                </c:pt>
              </c:strCache>
            </c:strRef>
          </c:tx>
          <c:spPr>
            <a:solidFill>
              <a:schemeClr val="accent6"/>
            </a:solidFill>
            <a:ln>
              <a:noFill/>
            </a:ln>
            <a:effectLst/>
          </c:spPr>
          <c:invertIfNegative val="0"/>
          <c:cat>
            <c:strLit>
              <c:ptCount val="7"/>
              <c:pt idx="0">
                <c:v>Energy system</c:v>
              </c:pt>
              <c:pt idx="1">
                <c:v>Drinking and sewage water infrastructure</c:v>
              </c:pt>
              <c:pt idx="2">
                <c:v>Vehicles</c:v>
              </c:pt>
              <c:pt idx="3">
                <c:v>Machinery</c:v>
              </c:pt>
              <c:pt idx="4">
                <c:v>Textiles</c:v>
              </c:pt>
              <c:pt idx="5">
                <c:v>Consumer electronics</c:v>
              </c:pt>
              <c:pt idx="6">
                <c:v>Other consumer goods</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'1.'!$BI$91:$BI$99</c15:sqref>
                  </c15:fullRef>
                </c:ext>
              </c:extLst>
              <c:f>'1.'!$BI$93:$BI$99</c:f>
              <c:numCache>
                <c:formatCode>0.00E+00</c:formatCode>
                <c:ptCount val="7"/>
                <c:pt idx="0">
                  <c:v>6208338.2301747743</c:v>
                </c:pt>
                <c:pt idx="1">
                  <c:v>23621912</c:v>
                </c:pt>
                <c:pt idx="2">
                  <c:v>0</c:v>
                </c:pt>
                <c:pt idx="3">
                  <c:v>1947091.54635304</c:v>
                </c:pt>
                <c:pt idx="4">
                  <c:v>0</c:v>
                </c:pt>
                <c:pt idx="5">
                  <c:v>0</c:v>
                </c:pt>
                <c:pt idx="6">
                  <c:v>153944.64480295699</c:v>
                </c:pt>
              </c:numCache>
            </c:numRef>
          </c:val>
          <c:extLst>
            <c:ext xmlns:c16="http://schemas.microsoft.com/office/drawing/2014/chart" uri="{C3380CC4-5D6E-409C-BE32-E72D297353CC}">
              <c16:uniqueId val="{00000000-7EA8-43EC-A170-1E0B2164C4F8}"/>
            </c:ext>
          </c:extLst>
        </c:ser>
        <c:ser>
          <c:idx val="1"/>
          <c:order val="2"/>
          <c:tx>
            <c:strRef>
              <c:f>'1.'!$BJ$90</c:f>
              <c:strCache>
                <c:ptCount val="1"/>
                <c:pt idx="0">
                  <c:v>Metals</c:v>
                </c:pt>
              </c:strCache>
            </c:strRef>
          </c:tx>
          <c:spPr>
            <a:solidFill>
              <a:srgbClr val="D62828"/>
            </a:solidFill>
            <a:ln>
              <a:noFill/>
            </a:ln>
            <a:effectLst/>
          </c:spPr>
          <c:invertIfNegative val="0"/>
          <c:cat>
            <c:strRef>
              <c:extLst>
                <c:ext xmlns:c15="http://schemas.microsoft.com/office/drawing/2012/chart" uri="{02D57815-91ED-43cb-92C2-25804820EDAC}">
                  <c15:fullRef>
                    <c15:sqref>'1.'!$BF$91:$BF$99</c15:sqref>
                  </c15:fullRef>
                </c:ext>
              </c:extLst>
              <c:f>'1.'!$BF$93:$BF$99</c:f>
              <c:strCache>
                <c:ptCount val="7"/>
                <c:pt idx="0">
                  <c:v>Energy system</c:v>
                </c:pt>
                <c:pt idx="1">
                  <c:v>Drinking and sewage water infrastructure</c:v>
                </c:pt>
                <c:pt idx="2">
                  <c:v>Vehicles</c:v>
                </c:pt>
                <c:pt idx="3">
                  <c:v>Machinery</c:v>
                </c:pt>
                <c:pt idx="4">
                  <c:v>Textiles</c:v>
                </c:pt>
                <c:pt idx="5">
                  <c:v>Consumer electronics</c:v>
                </c:pt>
                <c:pt idx="6">
                  <c:v>Other consumer goods</c:v>
                </c:pt>
              </c:strCache>
            </c:strRef>
          </c:cat>
          <c:val>
            <c:numRef>
              <c:extLst>
                <c:ext xmlns:c15="http://schemas.microsoft.com/office/drawing/2012/chart" uri="{02D57815-91ED-43cb-92C2-25804820EDAC}">
                  <c15:fullRef>
                    <c15:sqref>'1.'!$BJ$91:$BJ$99</c15:sqref>
                  </c15:fullRef>
                </c:ext>
              </c:extLst>
              <c:f>'1.'!$BJ$93:$BJ$99</c:f>
              <c:numCache>
                <c:formatCode>0.00E+00</c:formatCode>
                <c:ptCount val="7"/>
                <c:pt idx="0">
                  <c:v>4848212.8414398106</c:v>
                </c:pt>
                <c:pt idx="1">
                  <c:v>1810190</c:v>
                </c:pt>
                <c:pt idx="2">
                  <c:v>32076203.53254763</c:v>
                </c:pt>
                <c:pt idx="3">
                  <c:v>7258568.8173241289</c:v>
                </c:pt>
                <c:pt idx="4">
                  <c:v>323305.69853835402</c:v>
                </c:pt>
                <c:pt idx="5">
                  <c:v>720865</c:v>
                </c:pt>
                <c:pt idx="6">
                  <c:v>3426059.7442176077</c:v>
                </c:pt>
              </c:numCache>
            </c:numRef>
          </c:val>
          <c:extLst>
            <c:ext xmlns:c16="http://schemas.microsoft.com/office/drawing/2014/chart" uri="{C3380CC4-5D6E-409C-BE32-E72D297353CC}">
              <c16:uniqueId val="{00000001-D61A-44F5-8D09-02ED615BA887}"/>
            </c:ext>
          </c:extLst>
        </c:ser>
        <c:ser>
          <c:idx val="2"/>
          <c:order val="3"/>
          <c:tx>
            <c:strRef>
              <c:f>'1.'!$BK$90</c:f>
              <c:strCache>
                <c:ptCount val="1"/>
                <c:pt idx="0">
                  <c:v>Biobased materials</c:v>
                </c:pt>
              </c:strCache>
            </c:strRef>
          </c:tx>
          <c:spPr>
            <a:solidFill>
              <a:srgbClr val="0A9396"/>
            </a:solidFill>
            <a:ln>
              <a:noFill/>
            </a:ln>
            <a:effectLst/>
          </c:spPr>
          <c:invertIfNegative val="0"/>
          <c:cat>
            <c:strRef>
              <c:extLst>
                <c:ext xmlns:c15="http://schemas.microsoft.com/office/drawing/2012/chart" uri="{02D57815-91ED-43cb-92C2-25804820EDAC}">
                  <c15:fullRef>
                    <c15:sqref>'1.'!$BF$91:$BF$99</c15:sqref>
                  </c15:fullRef>
                </c:ext>
              </c:extLst>
              <c:f>'1.'!$BF$93:$BF$99</c:f>
              <c:strCache>
                <c:ptCount val="7"/>
                <c:pt idx="0">
                  <c:v>Energy system</c:v>
                </c:pt>
                <c:pt idx="1">
                  <c:v>Drinking and sewage water infrastructure</c:v>
                </c:pt>
                <c:pt idx="2">
                  <c:v>Vehicles</c:v>
                </c:pt>
                <c:pt idx="3">
                  <c:v>Machinery</c:v>
                </c:pt>
                <c:pt idx="4">
                  <c:v>Textiles</c:v>
                </c:pt>
                <c:pt idx="5">
                  <c:v>Consumer electronics</c:v>
                </c:pt>
                <c:pt idx="6">
                  <c:v>Other consumer goods</c:v>
                </c:pt>
              </c:strCache>
            </c:strRef>
          </c:cat>
          <c:val>
            <c:numRef>
              <c:extLst>
                <c:ext xmlns:c15="http://schemas.microsoft.com/office/drawing/2012/chart" uri="{02D57815-91ED-43cb-92C2-25804820EDAC}">
                  <c15:fullRef>
                    <c15:sqref>'1.'!$BK$91:$BK$99</c15:sqref>
                  </c15:fullRef>
                </c:ext>
              </c:extLst>
              <c:f>'1.'!$BK$93:$BK$99</c:f>
              <c:numCache>
                <c:formatCode>0.00E+00</c:formatCode>
                <c:ptCount val="7"/>
                <c:pt idx="0">
                  <c:v>1555.691381722083</c:v>
                </c:pt>
                <c:pt idx="1">
                  <c:v>0</c:v>
                </c:pt>
                <c:pt idx="2">
                  <c:v>2422756.9447381068</c:v>
                </c:pt>
                <c:pt idx="3">
                  <c:v>0</c:v>
                </c:pt>
                <c:pt idx="4">
                  <c:v>1061739.5642920006</c:v>
                </c:pt>
                <c:pt idx="5">
                  <c:v>0</c:v>
                </c:pt>
                <c:pt idx="6">
                  <c:v>5452220.1682905667</c:v>
                </c:pt>
              </c:numCache>
            </c:numRef>
          </c:val>
          <c:extLst>
            <c:ext xmlns:c16="http://schemas.microsoft.com/office/drawing/2014/chart" uri="{C3380CC4-5D6E-409C-BE32-E72D297353CC}">
              <c16:uniqueId val="{00000002-D61A-44F5-8D09-02ED615BA887}"/>
            </c:ext>
          </c:extLst>
        </c:ser>
        <c:ser>
          <c:idx val="3"/>
          <c:order val="4"/>
          <c:tx>
            <c:strRef>
              <c:f>'1.'!$BL$90</c:f>
              <c:strCache>
                <c:ptCount val="1"/>
                <c:pt idx="0">
                  <c:v>Other materials</c:v>
                </c:pt>
              </c:strCache>
            </c:strRef>
          </c:tx>
          <c:spPr>
            <a:solidFill>
              <a:srgbClr val="80ED99"/>
            </a:solidFill>
            <a:ln>
              <a:noFill/>
            </a:ln>
            <a:effectLst/>
          </c:spPr>
          <c:invertIfNegative val="0"/>
          <c:cat>
            <c:strRef>
              <c:extLst>
                <c:ext xmlns:c15="http://schemas.microsoft.com/office/drawing/2012/chart" uri="{02D57815-91ED-43cb-92C2-25804820EDAC}">
                  <c15:fullRef>
                    <c15:sqref>'1.'!$BF$91:$BF$99</c15:sqref>
                  </c15:fullRef>
                </c:ext>
              </c:extLst>
              <c:f>'1.'!$BF$93:$BF$99</c:f>
              <c:strCache>
                <c:ptCount val="7"/>
                <c:pt idx="0">
                  <c:v>Energy system</c:v>
                </c:pt>
                <c:pt idx="1">
                  <c:v>Drinking and sewage water infrastructure</c:v>
                </c:pt>
                <c:pt idx="2">
                  <c:v>Vehicles</c:v>
                </c:pt>
                <c:pt idx="3">
                  <c:v>Machinery</c:v>
                </c:pt>
                <c:pt idx="4">
                  <c:v>Textiles</c:v>
                </c:pt>
                <c:pt idx="5">
                  <c:v>Consumer electronics</c:v>
                </c:pt>
                <c:pt idx="6">
                  <c:v>Other consumer goods</c:v>
                </c:pt>
              </c:strCache>
            </c:strRef>
          </c:cat>
          <c:val>
            <c:numRef>
              <c:extLst>
                <c:ext xmlns:c15="http://schemas.microsoft.com/office/drawing/2012/chart" uri="{02D57815-91ED-43cb-92C2-25804820EDAC}">
                  <c15:fullRef>
                    <c15:sqref>'1.'!$BL$91:$BL$99</c15:sqref>
                  </c15:fullRef>
                </c:ext>
              </c:extLst>
              <c:f>'1.'!$BL$93:$BL$99</c:f>
              <c:numCache>
                <c:formatCode>0.00E+00</c:formatCode>
                <c:ptCount val="7"/>
                <c:pt idx="0">
                  <c:v>896217.60856916464</c:v>
                </c:pt>
                <c:pt idx="1">
                  <c:v>5964275</c:v>
                </c:pt>
                <c:pt idx="2">
                  <c:v>1261795.7667718951</c:v>
                </c:pt>
                <c:pt idx="3">
                  <c:v>1126863.1270950751</c:v>
                </c:pt>
                <c:pt idx="4">
                  <c:v>3168659.0357988086</c:v>
                </c:pt>
                <c:pt idx="5">
                  <c:v>370211</c:v>
                </c:pt>
                <c:pt idx="6">
                  <c:v>5192623.3246896677</c:v>
                </c:pt>
              </c:numCache>
            </c:numRef>
          </c:val>
          <c:extLst>
            <c:ext xmlns:c16="http://schemas.microsoft.com/office/drawing/2014/chart" uri="{C3380CC4-5D6E-409C-BE32-E72D297353CC}">
              <c16:uniqueId val="{00000003-D61A-44F5-8D09-02ED615BA887}"/>
            </c:ext>
          </c:extLst>
        </c:ser>
        <c:ser>
          <c:idx val="4"/>
          <c:order val="5"/>
          <c:tx>
            <c:strRef>
              <c:f>'1.'!$BM$90</c:f>
              <c:strCache>
                <c:ptCount val="1"/>
                <c:pt idx="0">
                  <c:v>CRM</c:v>
                </c:pt>
              </c:strCache>
            </c:strRef>
          </c:tx>
          <c:spPr>
            <a:solidFill>
              <a:srgbClr val="FCBF49"/>
            </a:solidFill>
            <a:ln>
              <a:noFill/>
            </a:ln>
            <a:effectLst/>
          </c:spPr>
          <c:invertIfNegative val="0"/>
          <c:cat>
            <c:strRef>
              <c:extLst>
                <c:ext xmlns:c15="http://schemas.microsoft.com/office/drawing/2012/chart" uri="{02D57815-91ED-43cb-92C2-25804820EDAC}">
                  <c15:fullRef>
                    <c15:sqref>'1.'!$BF$91:$BF$99</c15:sqref>
                  </c15:fullRef>
                </c:ext>
              </c:extLst>
              <c:f>'1.'!$BF$93:$BF$99</c:f>
              <c:strCache>
                <c:ptCount val="7"/>
                <c:pt idx="0">
                  <c:v>Energy system</c:v>
                </c:pt>
                <c:pt idx="1">
                  <c:v>Drinking and sewage water infrastructure</c:v>
                </c:pt>
                <c:pt idx="2">
                  <c:v>Vehicles</c:v>
                </c:pt>
                <c:pt idx="3">
                  <c:v>Machinery</c:v>
                </c:pt>
                <c:pt idx="4">
                  <c:v>Textiles</c:v>
                </c:pt>
                <c:pt idx="5">
                  <c:v>Consumer electronics</c:v>
                </c:pt>
                <c:pt idx="6">
                  <c:v>Other consumer goods</c:v>
                </c:pt>
              </c:strCache>
            </c:strRef>
          </c:cat>
          <c:val>
            <c:numRef>
              <c:extLst>
                <c:ext xmlns:c15="http://schemas.microsoft.com/office/drawing/2012/chart" uri="{02D57815-91ED-43cb-92C2-25804820EDAC}">
                  <c15:fullRef>
                    <c15:sqref>'1.'!$BM$91:$BM$99</c15:sqref>
                  </c15:fullRef>
                </c:ext>
              </c:extLst>
              <c:f>'1.'!$BM$93:$BM$99</c:f>
              <c:numCache>
                <c:formatCode>0.00E+00</c:formatCode>
                <c:ptCount val="7"/>
                <c:pt idx="0">
                  <c:v>16107.200058030037</c:v>
                </c:pt>
                <c:pt idx="1">
                  <c:v>0</c:v>
                </c:pt>
                <c:pt idx="2">
                  <c:v>4741.0076329849435</c:v>
                </c:pt>
                <c:pt idx="3">
                  <c:v>332.38799442296175</c:v>
                </c:pt>
                <c:pt idx="4">
                  <c:v>0</c:v>
                </c:pt>
                <c:pt idx="5">
                  <c:v>34179</c:v>
                </c:pt>
                <c:pt idx="6">
                  <c:v>21685.859956402113</c:v>
                </c:pt>
              </c:numCache>
            </c:numRef>
          </c:val>
          <c:extLst>
            <c:ext xmlns:c16="http://schemas.microsoft.com/office/drawing/2014/chart" uri="{C3380CC4-5D6E-409C-BE32-E72D297353CC}">
              <c16:uniqueId val="{00000004-D61A-44F5-8D09-02ED615BA887}"/>
            </c:ext>
          </c:extLst>
        </c:ser>
        <c:dLbls>
          <c:showLegendKey val="0"/>
          <c:showVal val="0"/>
          <c:showCatName val="0"/>
          <c:showSerName val="0"/>
          <c:showPercent val="0"/>
          <c:showBubbleSize val="0"/>
        </c:dLbls>
        <c:gapWidth val="150"/>
        <c:overlap val="100"/>
        <c:axId val="1575683903"/>
        <c:axId val="1575692639"/>
      </c:barChart>
      <c:catAx>
        <c:axId val="1575683903"/>
        <c:scaling>
          <c:orientation val="minMax"/>
        </c:scaling>
        <c:delete val="0"/>
        <c:axPos val="b"/>
        <c:numFmt formatCode="General" sourceLinked="1"/>
        <c:majorTickMark val="none"/>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venir Next LT Pro" panose="020B0504020202020204" pitchFamily="34" charset="0"/>
                <a:ea typeface="+mn-ea"/>
                <a:cs typeface="+mn-cs"/>
              </a:defRPr>
            </a:pPr>
            <a:endParaRPr lang="nl-NL"/>
          </a:p>
        </c:txPr>
        <c:crossAx val="1575692639"/>
        <c:crosses val="autoZero"/>
        <c:auto val="1"/>
        <c:lblAlgn val="ctr"/>
        <c:lblOffset val="100"/>
        <c:noMultiLvlLbl val="0"/>
      </c:catAx>
      <c:valAx>
        <c:axId val="1575692639"/>
        <c:scaling>
          <c:orientation val="minMax"/>
        </c:scaling>
        <c:delete val="0"/>
        <c:axPos val="l"/>
        <c:title>
          <c:tx>
            <c:rich>
              <a:bodyPr rot="-5400000" spcFirstLastPara="1" vertOverflow="ellipsis" vert="horz" wrap="square" anchor="ctr" anchorCtr="1"/>
              <a:lstStyle/>
              <a:p>
                <a:pPr>
                  <a:defRPr sz="900" b="1" i="0" u="none" strike="noStrike" kern="1200" baseline="0">
                    <a:solidFill>
                      <a:sysClr val="windowText" lastClr="000000"/>
                    </a:solidFill>
                    <a:latin typeface="Avenir Next LT Pro" panose="020B0504020202020204" pitchFamily="34" charset="0"/>
                    <a:ea typeface="+mn-ea"/>
                    <a:cs typeface="+mn-cs"/>
                  </a:defRPr>
                </a:pPr>
                <a:r>
                  <a:rPr lang="en-US" b="1"/>
                  <a:t>ton</a:t>
                </a:r>
              </a:p>
            </c:rich>
          </c:tx>
          <c:overlay val="0"/>
          <c:spPr>
            <a:noFill/>
            <a:ln>
              <a:noFill/>
            </a:ln>
            <a:effectLst/>
          </c:spPr>
          <c:txPr>
            <a:bodyPr rot="-5400000" spcFirstLastPara="1" vertOverflow="ellipsis" vert="horz" wrap="square" anchor="ctr" anchorCtr="1"/>
            <a:lstStyle/>
            <a:p>
              <a:pPr>
                <a:defRPr sz="900" b="1" i="0" u="none" strike="noStrike" kern="1200" baseline="0">
                  <a:solidFill>
                    <a:sysClr val="windowText" lastClr="000000"/>
                  </a:solidFill>
                  <a:latin typeface="Avenir Next LT Pro" panose="020B0504020202020204" pitchFamily="34" charset="0"/>
                  <a:ea typeface="+mn-ea"/>
                  <a:cs typeface="+mn-cs"/>
                </a:defRPr>
              </a:pPr>
              <a:endParaRPr lang="nl-NL"/>
            </a:p>
          </c:txPr>
        </c:title>
        <c:numFmt formatCode="0.00E+00" sourceLinked="1"/>
        <c:majorTickMark val="none"/>
        <c:minorTickMark val="none"/>
        <c:tickLblPos val="nextTo"/>
        <c:spPr>
          <a:noFill/>
          <a:ln>
            <a:solidFill>
              <a:schemeClr val="tx1"/>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venir Next LT Pro" panose="020B0504020202020204" pitchFamily="34" charset="0"/>
                <a:ea typeface="+mn-ea"/>
                <a:cs typeface="+mn-cs"/>
              </a:defRPr>
            </a:pPr>
            <a:endParaRPr lang="nl-NL"/>
          </a:p>
        </c:txPr>
        <c:crossAx val="1575683903"/>
        <c:crosses val="autoZero"/>
        <c:crossBetween val="between"/>
      </c:valAx>
      <c:spPr>
        <a:noFill/>
        <a:ln w="25400">
          <a:noFill/>
        </a:ln>
        <a:effectLst/>
      </c:spPr>
    </c:plotArea>
    <c:legend>
      <c:legendPos val="r"/>
      <c:layout>
        <c:manualLayout>
          <c:xMode val="edge"/>
          <c:yMode val="edge"/>
          <c:x val="0.6235973594758466"/>
          <c:y val="0.13329056859464922"/>
          <c:w val="0.27912519276601711"/>
          <c:h val="0.29824643673848816"/>
        </c:manualLayout>
      </c:layout>
      <c:overlay val="0"/>
      <c:spPr>
        <a:noFill/>
        <a:ln>
          <a:solidFill>
            <a:schemeClr val="tx1"/>
          </a:solidFill>
        </a:ln>
        <a:effectLst/>
      </c:spPr>
      <c:txPr>
        <a:bodyPr rot="0" spcFirstLastPara="1" vertOverflow="ellipsis" vert="horz" wrap="square" anchor="ctr" anchorCtr="1"/>
        <a:lstStyle/>
        <a:p>
          <a:pPr>
            <a:defRPr sz="800" b="0" i="0" u="none" strike="noStrike" kern="1200" baseline="0">
              <a:solidFill>
                <a:sysClr val="windowText" lastClr="000000"/>
              </a:solidFill>
              <a:latin typeface="Avenir Next LT Pro" panose="020B0504020202020204" pitchFamily="34" charset="0"/>
              <a:ea typeface="+mn-ea"/>
              <a:cs typeface="+mn-cs"/>
            </a:defRPr>
          </a:pPr>
          <a:endParaRPr lang="nl-NL"/>
        </a:p>
      </c:txPr>
    </c:legend>
    <c:plotVisOnly val="1"/>
    <c:dispBlanksAs val="gap"/>
    <c:showDLblsOverMax val="0"/>
    <c:extLst/>
  </c:chart>
  <c:spPr>
    <a:solidFill>
      <a:schemeClr val="bg1"/>
    </a:solidFill>
    <a:ln w="9525" cap="flat" cmpd="sng" algn="ctr">
      <a:noFill/>
      <a:round/>
    </a:ln>
    <a:effectLst/>
  </c:spPr>
  <c:txPr>
    <a:bodyPr/>
    <a:lstStyle/>
    <a:p>
      <a:pPr>
        <a:defRPr sz="900">
          <a:solidFill>
            <a:sysClr val="windowText" lastClr="000000"/>
          </a:solidFill>
          <a:latin typeface="Avenir Next LT Pro" panose="020B0504020202020204" pitchFamily="34" charset="0"/>
        </a:defRPr>
      </a:pPr>
      <a:endParaRPr lang="nl-NL"/>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900" b="1" i="0" u="none" strike="noStrike" kern="1200" spc="0" baseline="0">
                <a:solidFill>
                  <a:sysClr val="windowText" lastClr="000000"/>
                </a:solidFill>
                <a:latin typeface="Avenir Next LT Pro" panose="020B0504020202020204" pitchFamily="34" charset="0"/>
                <a:ea typeface="+mn-ea"/>
                <a:cs typeface="+mn-cs"/>
              </a:defRPr>
            </a:pPr>
            <a:r>
              <a:rPr lang="en-US" sz="900" b="1" baseline="0"/>
              <a:t>In-use stocks of materials per sector, the Netherlands, ca. 2020</a:t>
            </a:r>
            <a:br>
              <a:rPr lang="en-US" sz="900" b="1" baseline="0"/>
            </a:br>
            <a:r>
              <a:rPr lang="en-US" sz="900" b="0" i="1" baseline="0"/>
              <a:t> without construction minerals and materials</a:t>
            </a:r>
            <a:endParaRPr lang="en-US" sz="900" b="1"/>
          </a:p>
        </c:rich>
      </c:tx>
      <c:layout>
        <c:manualLayout>
          <c:xMode val="edge"/>
          <c:yMode val="edge"/>
          <c:x val="0.37654317920875752"/>
          <c:y val="4.2117837501715057E-2"/>
        </c:manualLayout>
      </c:layout>
      <c:overlay val="0"/>
      <c:spPr>
        <a:noFill/>
        <a:ln>
          <a:noFill/>
        </a:ln>
        <a:effectLst/>
      </c:spPr>
      <c:txPr>
        <a:bodyPr rot="0" spcFirstLastPara="1" vertOverflow="ellipsis" vert="horz" wrap="square" anchor="ctr" anchorCtr="1"/>
        <a:lstStyle/>
        <a:p>
          <a:pPr>
            <a:defRPr sz="900" b="1" i="0" u="none" strike="noStrike" kern="1200" spc="0" baseline="0">
              <a:solidFill>
                <a:sysClr val="windowText" lastClr="000000"/>
              </a:solidFill>
              <a:latin typeface="Avenir Next LT Pro" panose="020B0504020202020204" pitchFamily="34" charset="0"/>
              <a:ea typeface="+mn-ea"/>
              <a:cs typeface="+mn-cs"/>
            </a:defRPr>
          </a:pPr>
          <a:endParaRPr lang="en-US"/>
        </a:p>
      </c:txPr>
    </c:title>
    <c:autoTitleDeleted val="0"/>
    <c:plotArea>
      <c:layout>
        <c:manualLayout>
          <c:layoutTarget val="inner"/>
          <c:xMode val="edge"/>
          <c:yMode val="edge"/>
          <c:x val="0.23882967451946649"/>
          <c:y val="8.4006348231417616E-2"/>
          <c:w val="0.70464744758974407"/>
          <c:h val="0.5415481128474694"/>
        </c:manualLayout>
      </c:layout>
      <c:barChart>
        <c:barDir val="col"/>
        <c:grouping val="stacked"/>
        <c:varyColors val="0"/>
        <c:ser>
          <c:idx val="1"/>
          <c:order val="2"/>
          <c:tx>
            <c:strRef>
              <c:f>'1.'!$BJ$90</c:f>
              <c:strCache>
                <c:ptCount val="1"/>
                <c:pt idx="0">
                  <c:v>Metals</c:v>
                </c:pt>
              </c:strCache>
            </c:strRef>
          </c:tx>
          <c:spPr>
            <a:solidFill>
              <a:srgbClr val="D62828"/>
            </a:solidFill>
            <a:ln>
              <a:noFill/>
            </a:ln>
            <a:effectLst/>
          </c:spPr>
          <c:invertIfNegative val="0"/>
          <c:cat>
            <c:strRef>
              <c:f>'1.'!$BF$91:$BF$99</c:f>
              <c:strCache>
                <c:ptCount val="9"/>
                <c:pt idx="0">
                  <c:v>Buildings</c:v>
                </c:pt>
                <c:pt idx="1">
                  <c:v>Road, rail and waterways infrastructure</c:v>
                </c:pt>
                <c:pt idx="2">
                  <c:v>Energy system</c:v>
                </c:pt>
                <c:pt idx="3">
                  <c:v>Drinking and sewage water infrastructure</c:v>
                </c:pt>
                <c:pt idx="4">
                  <c:v>Vehicles</c:v>
                </c:pt>
                <c:pt idx="5">
                  <c:v>Machinery</c:v>
                </c:pt>
                <c:pt idx="6">
                  <c:v>Textiles</c:v>
                </c:pt>
                <c:pt idx="7">
                  <c:v>Consumer electronics</c:v>
                </c:pt>
                <c:pt idx="8">
                  <c:v>Other consumer goods</c:v>
                </c:pt>
              </c:strCache>
            </c:strRef>
          </c:cat>
          <c:val>
            <c:numRef>
              <c:f>'1.'!$BJ$91:$BJ$99</c:f>
              <c:numCache>
                <c:formatCode>0.00E+00</c:formatCode>
                <c:ptCount val="9"/>
                <c:pt idx="0">
                  <c:v>103079016.07410105</c:v>
                </c:pt>
                <c:pt idx="1">
                  <c:v>21239747.790395457</c:v>
                </c:pt>
                <c:pt idx="2">
                  <c:v>4848212.8414398106</c:v>
                </c:pt>
                <c:pt idx="3">
                  <c:v>1810190</c:v>
                </c:pt>
                <c:pt idx="4">
                  <c:v>32076203.53254763</c:v>
                </c:pt>
                <c:pt idx="5">
                  <c:v>7258568.8173241289</c:v>
                </c:pt>
                <c:pt idx="6">
                  <c:v>323305.69853835402</c:v>
                </c:pt>
                <c:pt idx="7">
                  <c:v>720865</c:v>
                </c:pt>
                <c:pt idx="8">
                  <c:v>3426059.7442176077</c:v>
                </c:pt>
              </c:numCache>
            </c:numRef>
          </c:val>
          <c:extLst>
            <c:ext xmlns:c16="http://schemas.microsoft.com/office/drawing/2014/chart" uri="{C3380CC4-5D6E-409C-BE32-E72D297353CC}">
              <c16:uniqueId val="{00000001-B330-445D-A696-9D8273A21724}"/>
            </c:ext>
          </c:extLst>
        </c:ser>
        <c:ser>
          <c:idx val="2"/>
          <c:order val="3"/>
          <c:tx>
            <c:strRef>
              <c:f>'1.'!$BK$90</c:f>
              <c:strCache>
                <c:ptCount val="1"/>
                <c:pt idx="0">
                  <c:v>Biobased materials</c:v>
                </c:pt>
              </c:strCache>
            </c:strRef>
          </c:tx>
          <c:spPr>
            <a:solidFill>
              <a:srgbClr val="0A9396"/>
            </a:solidFill>
            <a:ln>
              <a:noFill/>
            </a:ln>
            <a:effectLst/>
          </c:spPr>
          <c:invertIfNegative val="0"/>
          <c:cat>
            <c:strRef>
              <c:f>'1.'!$BF$91:$BF$99</c:f>
              <c:strCache>
                <c:ptCount val="9"/>
                <c:pt idx="0">
                  <c:v>Buildings</c:v>
                </c:pt>
                <c:pt idx="1">
                  <c:v>Road, rail and waterways infrastructure</c:v>
                </c:pt>
                <c:pt idx="2">
                  <c:v>Energy system</c:v>
                </c:pt>
                <c:pt idx="3">
                  <c:v>Drinking and sewage water infrastructure</c:v>
                </c:pt>
                <c:pt idx="4">
                  <c:v>Vehicles</c:v>
                </c:pt>
                <c:pt idx="5">
                  <c:v>Machinery</c:v>
                </c:pt>
                <c:pt idx="6">
                  <c:v>Textiles</c:v>
                </c:pt>
                <c:pt idx="7">
                  <c:v>Consumer electronics</c:v>
                </c:pt>
                <c:pt idx="8">
                  <c:v>Other consumer goods</c:v>
                </c:pt>
              </c:strCache>
            </c:strRef>
          </c:cat>
          <c:val>
            <c:numRef>
              <c:f>'1.'!$BK$91:$BK$99</c:f>
              <c:numCache>
                <c:formatCode>0.00E+00</c:formatCode>
                <c:ptCount val="9"/>
                <c:pt idx="0">
                  <c:v>46958721.675927602</c:v>
                </c:pt>
                <c:pt idx="1">
                  <c:v>64234.034590877432</c:v>
                </c:pt>
                <c:pt idx="2">
                  <c:v>1555.691381722083</c:v>
                </c:pt>
                <c:pt idx="3">
                  <c:v>0</c:v>
                </c:pt>
                <c:pt idx="4">
                  <c:v>2422756.9447381068</c:v>
                </c:pt>
                <c:pt idx="5">
                  <c:v>0</c:v>
                </c:pt>
                <c:pt idx="6">
                  <c:v>1061739.5642920006</c:v>
                </c:pt>
                <c:pt idx="7">
                  <c:v>0</c:v>
                </c:pt>
                <c:pt idx="8">
                  <c:v>5452220.1682905667</c:v>
                </c:pt>
              </c:numCache>
            </c:numRef>
          </c:val>
          <c:extLst>
            <c:ext xmlns:c16="http://schemas.microsoft.com/office/drawing/2014/chart" uri="{C3380CC4-5D6E-409C-BE32-E72D297353CC}">
              <c16:uniqueId val="{00000002-B330-445D-A696-9D8273A21724}"/>
            </c:ext>
          </c:extLst>
        </c:ser>
        <c:ser>
          <c:idx val="3"/>
          <c:order val="4"/>
          <c:tx>
            <c:strRef>
              <c:f>'1.'!$BL$90</c:f>
              <c:strCache>
                <c:ptCount val="1"/>
                <c:pt idx="0">
                  <c:v>Other materials</c:v>
                </c:pt>
              </c:strCache>
            </c:strRef>
          </c:tx>
          <c:spPr>
            <a:solidFill>
              <a:srgbClr val="80ED99"/>
            </a:solidFill>
            <a:ln>
              <a:noFill/>
            </a:ln>
            <a:effectLst/>
          </c:spPr>
          <c:invertIfNegative val="0"/>
          <c:cat>
            <c:strRef>
              <c:f>'1.'!$BF$91:$BF$99</c:f>
              <c:strCache>
                <c:ptCount val="9"/>
                <c:pt idx="0">
                  <c:v>Buildings</c:v>
                </c:pt>
                <c:pt idx="1">
                  <c:v>Road, rail and waterways infrastructure</c:v>
                </c:pt>
                <c:pt idx="2">
                  <c:v>Energy system</c:v>
                </c:pt>
                <c:pt idx="3">
                  <c:v>Drinking and sewage water infrastructure</c:v>
                </c:pt>
                <c:pt idx="4">
                  <c:v>Vehicles</c:v>
                </c:pt>
                <c:pt idx="5">
                  <c:v>Machinery</c:v>
                </c:pt>
                <c:pt idx="6">
                  <c:v>Textiles</c:v>
                </c:pt>
                <c:pt idx="7">
                  <c:v>Consumer electronics</c:v>
                </c:pt>
                <c:pt idx="8">
                  <c:v>Other consumer goods</c:v>
                </c:pt>
              </c:strCache>
            </c:strRef>
          </c:cat>
          <c:val>
            <c:numRef>
              <c:f>'1.'!$BL$91:$BL$99</c:f>
              <c:numCache>
                <c:formatCode>0.00E+00</c:formatCode>
                <c:ptCount val="9"/>
                <c:pt idx="0">
                  <c:v>42583898.174264602</c:v>
                </c:pt>
                <c:pt idx="1">
                  <c:v>255831.82895175659</c:v>
                </c:pt>
                <c:pt idx="2">
                  <c:v>896217.60856916464</c:v>
                </c:pt>
                <c:pt idx="3">
                  <c:v>5964275</c:v>
                </c:pt>
                <c:pt idx="4">
                  <c:v>1261795.7667718951</c:v>
                </c:pt>
                <c:pt idx="5">
                  <c:v>1126863.1270950751</c:v>
                </c:pt>
                <c:pt idx="6">
                  <c:v>3168659.0357988086</c:v>
                </c:pt>
                <c:pt idx="7">
                  <c:v>370211</c:v>
                </c:pt>
                <c:pt idx="8">
                  <c:v>5192623.3246896677</c:v>
                </c:pt>
              </c:numCache>
            </c:numRef>
          </c:val>
          <c:extLst>
            <c:ext xmlns:c16="http://schemas.microsoft.com/office/drawing/2014/chart" uri="{C3380CC4-5D6E-409C-BE32-E72D297353CC}">
              <c16:uniqueId val="{00000003-B330-445D-A696-9D8273A21724}"/>
            </c:ext>
          </c:extLst>
        </c:ser>
        <c:ser>
          <c:idx val="4"/>
          <c:order val="5"/>
          <c:tx>
            <c:strRef>
              <c:f>'1.'!$BM$90</c:f>
              <c:strCache>
                <c:ptCount val="1"/>
                <c:pt idx="0">
                  <c:v>CRM</c:v>
                </c:pt>
              </c:strCache>
            </c:strRef>
          </c:tx>
          <c:spPr>
            <a:solidFill>
              <a:srgbClr val="FCBF49"/>
            </a:solidFill>
            <a:ln>
              <a:noFill/>
            </a:ln>
            <a:effectLst/>
          </c:spPr>
          <c:invertIfNegative val="0"/>
          <c:cat>
            <c:strRef>
              <c:f>'1.'!$BF$91:$BF$99</c:f>
              <c:strCache>
                <c:ptCount val="9"/>
                <c:pt idx="0">
                  <c:v>Buildings</c:v>
                </c:pt>
                <c:pt idx="1">
                  <c:v>Road, rail and waterways infrastructure</c:v>
                </c:pt>
                <c:pt idx="2">
                  <c:v>Energy system</c:v>
                </c:pt>
                <c:pt idx="3">
                  <c:v>Drinking and sewage water infrastructure</c:v>
                </c:pt>
                <c:pt idx="4">
                  <c:v>Vehicles</c:v>
                </c:pt>
                <c:pt idx="5">
                  <c:v>Machinery</c:v>
                </c:pt>
                <c:pt idx="6">
                  <c:v>Textiles</c:v>
                </c:pt>
                <c:pt idx="7">
                  <c:v>Consumer electronics</c:v>
                </c:pt>
                <c:pt idx="8">
                  <c:v>Other consumer goods</c:v>
                </c:pt>
              </c:strCache>
            </c:strRef>
          </c:cat>
          <c:val>
            <c:numRef>
              <c:f>'1.'!$BM$91:$BM$99</c:f>
              <c:numCache>
                <c:formatCode>0.00E+00</c:formatCode>
                <c:ptCount val="9"/>
                <c:pt idx="0">
                  <c:v>0</c:v>
                </c:pt>
                <c:pt idx="1">
                  <c:v>0</c:v>
                </c:pt>
                <c:pt idx="2">
                  <c:v>16107.200058030037</c:v>
                </c:pt>
                <c:pt idx="3">
                  <c:v>0</c:v>
                </c:pt>
                <c:pt idx="4">
                  <c:v>4741.0076329849435</c:v>
                </c:pt>
                <c:pt idx="5">
                  <c:v>332.38799442296175</c:v>
                </c:pt>
                <c:pt idx="6">
                  <c:v>0</c:v>
                </c:pt>
                <c:pt idx="7">
                  <c:v>34179</c:v>
                </c:pt>
                <c:pt idx="8">
                  <c:v>21685.859956402113</c:v>
                </c:pt>
              </c:numCache>
            </c:numRef>
          </c:val>
          <c:extLst>
            <c:ext xmlns:c16="http://schemas.microsoft.com/office/drawing/2014/chart" uri="{C3380CC4-5D6E-409C-BE32-E72D297353CC}">
              <c16:uniqueId val="{00000004-B330-445D-A696-9D8273A21724}"/>
            </c:ext>
          </c:extLst>
        </c:ser>
        <c:dLbls>
          <c:showLegendKey val="0"/>
          <c:showVal val="0"/>
          <c:showCatName val="0"/>
          <c:showSerName val="0"/>
          <c:showPercent val="0"/>
          <c:showBubbleSize val="0"/>
        </c:dLbls>
        <c:gapWidth val="150"/>
        <c:overlap val="100"/>
        <c:axId val="1575683903"/>
        <c:axId val="1575692639"/>
        <c:extLst>
          <c:ext xmlns:c15="http://schemas.microsoft.com/office/drawing/2012/chart" uri="{02D57815-91ED-43cb-92C2-25804820EDAC}">
            <c15:filteredBarSeries>
              <c15:ser>
                <c:idx val="0"/>
                <c:order val="0"/>
                <c:tx>
                  <c:strRef>
                    <c:extLst>
                      <c:ext uri="{02D57815-91ED-43cb-92C2-25804820EDAC}">
                        <c15:formulaRef>
                          <c15:sqref>'1.'!$BH$90</c15:sqref>
                        </c15:formulaRef>
                      </c:ext>
                    </c:extLst>
                    <c:strCache>
                      <c:ptCount val="1"/>
                      <c:pt idx="0">
                        <c:v>Construction minerals</c:v>
                      </c:pt>
                    </c:strCache>
                  </c:strRef>
                </c:tx>
                <c:spPr>
                  <a:solidFill>
                    <a:srgbClr val="003049"/>
                  </a:solidFill>
                  <a:ln>
                    <a:noFill/>
                  </a:ln>
                  <a:effectLst/>
                </c:spPr>
                <c:invertIfNegative val="0"/>
                <c:cat>
                  <c:strRef>
                    <c:extLst>
                      <c:ext uri="{02D57815-91ED-43cb-92C2-25804820EDAC}">
                        <c15:formulaRef>
                          <c15:sqref>'1.'!$BF$91:$BF$99</c15:sqref>
                        </c15:formulaRef>
                      </c:ext>
                    </c:extLst>
                    <c:strCache>
                      <c:ptCount val="9"/>
                      <c:pt idx="0">
                        <c:v>Buildings</c:v>
                      </c:pt>
                      <c:pt idx="1">
                        <c:v>Road, rail and waterways infrastructure</c:v>
                      </c:pt>
                      <c:pt idx="2">
                        <c:v>Energy system</c:v>
                      </c:pt>
                      <c:pt idx="3">
                        <c:v>Drinking and sewage water infrastructure</c:v>
                      </c:pt>
                      <c:pt idx="4">
                        <c:v>Vehicles</c:v>
                      </c:pt>
                      <c:pt idx="5">
                        <c:v>Machinery</c:v>
                      </c:pt>
                      <c:pt idx="6">
                        <c:v>Textiles</c:v>
                      </c:pt>
                      <c:pt idx="7">
                        <c:v>Consumer electronics</c:v>
                      </c:pt>
                      <c:pt idx="8">
                        <c:v>Other consumer goods</c:v>
                      </c:pt>
                    </c:strCache>
                  </c:strRef>
                </c:cat>
                <c:val>
                  <c:numRef>
                    <c:extLst>
                      <c:ext uri="{02D57815-91ED-43cb-92C2-25804820EDAC}">
                        <c15:formulaRef>
                          <c15:sqref>'1.'!$BH$91:$BH$99</c15:sqref>
                        </c15:formulaRef>
                      </c:ext>
                    </c:extLst>
                    <c:numCache>
                      <c:formatCode>0.00E+00</c:formatCode>
                      <c:ptCount val="9"/>
                      <c:pt idx="0">
                        <c:v>493322020.62445456</c:v>
                      </c:pt>
                      <c:pt idx="1">
                        <c:v>3844627462.0065627</c:v>
                      </c:pt>
                      <c:pt idx="2">
                        <c:v>0</c:v>
                      </c:pt>
                      <c:pt idx="3">
                        <c:v>0</c:v>
                      </c:pt>
                      <c:pt idx="4">
                        <c:v>0</c:v>
                      </c:pt>
                      <c:pt idx="5">
                        <c:v>0</c:v>
                      </c:pt>
                      <c:pt idx="6">
                        <c:v>0</c:v>
                      </c:pt>
                      <c:pt idx="7">
                        <c:v>0</c:v>
                      </c:pt>
                      <c:pt idx="8">
                        <c:v>0</c:v>
                      </c:pt>
                    </c:numCache>
                  </c:numRef>
                </c:val>
                <c:extLst>
                  <c:ext xmlns:c16="http://schemas.microsoft.com/office/drawing/2014/chart" uri="{C3380CC4-5D6E-409C-BE32-E72D297353CC}">
                    <c16:uniqueId val="{00000000-B330-445D-A696-9D8273A21724}"/>
                  </c:ext>
                </c:extLst>
              </c15:ser>
            </c15:filteredBarSeries>
            <c15:filteredBarSeries>
              <c15:ser>
                <c:idx val="5"/>
                <c:order val="1"/>
                <c:tx>
                  <c:strRef>
                    <c:extLst xmlns:c15="http://schemas.microsoft.com/office/drawing/2012/chart">
                      <c:ext xmlns:c15="http://schemas.microsoft.com/office/drawing/2012/chart" uri="{02D57815-91ED-43cb-92C2-25804820EDAC}">
                        <c15:formulaRef>
                          <c15:sqref>'1.'!$BI$90</c15:sqref>
                        </c15:formulaRef>
                      </c:ext>
                    </c:extLst>
                    <c:strCache>
                      <c:ptCount val="1"/>
                      <c:pt idx="0">
                        <c:v>Construction materials</c:v>
                      </c:pt>
                    </c:strCache>
                  </c:strRef>
                </c:tx>
                <c:spPr>
                  <a:solidFill>
                    <a:schemeClr val="accent6"/>
                  </a:solidFill>
                  <a:ln>
                    <a:noFill/>
                  </a:ln>
                  <a:effectLst/>
                </c:spPr>
                <c:invertIfNegative val="0"/>
                <c:val>
                  <c:numRef>
                    <c:extLst xmlns:c15="http://schemas.microsoft.com/office/drawing/2012/chart">
                      <c:ext xmlns:c15="http://schemas.microsoft.com/office/drawing/2012/chart" uri="{02D57815-91ED-43cb-92C2-25804820EDAC}">
                        <c15:formulaRef>
                          <c15:sqref>'1.'!$BI$91:$BI$99</c15:sqref>
                        </c15:formulaRef>
                      </c:ext>
                    </c:extLst>
                    <c:numCache>
                      <c:formatCode>0.00E+00</c:formatCode>
                      <c:ptCount val="9"/>
                      <c:pt idx="0">
                        <c:v>2021484519.3825493</c:v>
                      </c:pt>
                      <c:pt idx="1">
                        <c:v>1110084288.43537</c:v>
                      </c:pt>
                      <c:pt idx="2">
                        <c:v>6208338.2301747743</c:v>
                      </c:pt>
                      <c:pt idx="3">
                        <c:v>23621912</c:v>
                      </c:pt>
                      <c:pt idx="4">
                        <c:v>0</c:v>
                      </c:pt>
                      <c:pt idx="5">
                        <c:v>1947091.54635304</c:v>
                      </c:pt>
                      <c:pt idx="6">
                        <c:v>0</c:v>
                      </c:pt>
                      <c:pt idx="7">
                        <c:v>0</c:v>
                      </c:pt>
                      <c:pt idx="8">
                        <c:v>153944.64480295699</c:v>
                      </c:pt>
                    </c:numCache>
                  </c:numRef>
                </c:val>
                <c:extLst xmlns:c15="http://schemas.microsoft.com/office/drawing/2012/chart">
                  <c:ext xmlns:c16="http://schemas.microsoft.com/office/drawing/2014/chart" uri="{C3380CC4-5D6E-409C-BE32-E72D297353CC}">
                    <c16:uniqueId val="{00000000-0A67-41F1-842C-1BF571966C59}"/>
                  </c:ext>
                </c:extLst>
              </c15:ser>
            </c15:filteredBarSeries>
          </c:ext>
        </c:extLst>
      </c:barChart>
      <c:catAx>
        <c:axId val="1575683903"/>
        <c:scaling>
          <c:orientation val="minMax"/>
        </c:scaling>
        <c:delete val="0"/>
        <c:axPos val="b"/>
        <c:numFmt formatCode="General" sourceLinked="1"/>
        <c:majorTickMark val="none"/>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venir Next LT Pro" panose="020B0504020202020204" pitchFamily="34" charset="0"/>
                <a:ea typeface="+mn-ea"/>
                <a:cs typeface="+mn-cs"/>
              </a:defRPr>
            </a:pPr>
            <a:endParaRPr lang="nl-NL"/>
          </a:p>
        </c:txPr>
        <c:crossAx val="1575692639"/>
        <c:crosses val="autoZero"/>
        <c:auto val="1"/>
        <c:lblAlgn val="ctr"/>
        <c:lblOffset val="100"/>
        <c:noMultiLvlLbl val="0"/>
      </c:catAx>
      <c:valAx>
        <c:axId val="1575692639"/>
        <c:scaling>
          <c:orientation val="minMax"/>
        </c:scaling>
        <c:delete val="0"/>
        <c:axPos val="l"/>
        <c:title>
          <c:tx>
            <c:rich>
              <a:bodyPr rot="-5400000" spcFirstLastPara="1" vertOverflow="ellipsis" vert="horz" wrap="square" anchor="ctr" anchorCtr="1"/>
              <a:lstStyle/>
              <a:p>
                <a:pPr>
                  <a:defRPr sz="900" b="1" i="0" u="none" strike="noStrike" kern="1200" baseline="0">
                    <a:solidFill>
                      <a:sysClr val="windowText" lastClr="000000"/>
                    </a:solidFill>
                    <a:latin typeface="Avenir Next LT Pro" panose="020B0504020202020204" pitchFamily="34" charset="0"/>
                    <a:ea typeface="+mn-ea"/>
                    <a:cs typeface="+mn-cs"/>
                  </a:defRPr>
                </a:pPr>
                <a:r>
                  <a:rPr lang="en-US" b="1"/>
                  <a:t>ton</a:t>
                </a:r>
              </a:p>
            </c:rich>
          </c:tx>
          <c:overlay val="0"/>
          <c:spPr>
            <a:noFill/>
            <a:ln>
              <a:noFill/>
            </a:ln>
            <a:effectLst/>
          </c:spPr>
          <c:txPr>
            <a:bodyPr rot="-5400000" spcFirstLastPara="1" vertOverflow="ellipsis" vert="horz" wrap="square" anchor="ctr" anchorCtr="1"/>
            <a:lstStyle/>
            <a:p>
              <a:pPr>
                <a:defRPr sz="900" b="1" i="0" u="none" strike="noStrike" kern="1200" baseline="0">
                  <a:solidFill>
                    <a:sysClr val="windowText" lastClr="000000"/>
                  </a:solidFill>
                  <a:latin typeface="Avenir Next LT Pro" panose="020B0504020202020204" pitchFamily="34" charset="0"/>
                  <a:ea typeface="+mn-ea"/>
                  <a:cs typeface="+mn-cs"/>
                </a:defRPr>
              </a:pPr>
              <a:endParaRPr lang="nl-NL"/>
            </a:p>
          </c:txPr>
        </c:title>
        <c:numFmt formatCode="0.00E+00" sourceLinked="1"/>
        <c:majorTickMark val="none"/>
        <c:minorTickMark val="none"/>
        <c:tickLblPos val="nextTo"/>
        <c:spPr>
          <a:noFill/>
          <a:ln>
            <a:solidFill>
              <a:schemeClr val="tx1"/>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venir Next LT Pro" panose="020B0504020202020204" pitchFamily="34" charset="0"/>
                <a:ea typeface="+mn-ea"/>
                <a:cs typeface="+mn-cs"/>
              </a:defRPr>
            </a:pPr>
            <a:endParaRPr lang="nl-NL"/>
          </a:p>
        </c:txPr>
        <c:crossAx val="1575683903"/>
        <c:crosses val="autoZero"/>
        <c:crossBetween val="between"/>
      </c:valAx>
      <c:spPr>
        <a:noFill/>
        <a:ln w="25400">
          <a:noFill/>
        </a:ln>
        <a:effectLst/>
      </c:spPr>
    </c:plotArea>
    <c:legend>
      <c:legendPos val="r"/>
      <c:layout>
        <c:manualLayout>
          <c:xMode val="edge"/>
          <c:yMode val="edge"/>
          <c:x val="0.63360736447192201"/>
          <c:y val="0.17787763219640829"/>
          <c:w val="0.27143031343811458"/>
          <c:h val="0.19675667144529349"/>
        </c:manualLayout>
      </c:layout>
      <c:overlay val="0"/>
      <c:spPr>
        <a:noFill/>
        <a:ln>
          <a:solidFill>
            <a:schemeClr val="tx1"/>
          </a:solidFill>
        </a:ln>
        <a:effectLst/>
      </c:spPr>
      <c:txPr>
        <a:bodyPr rot="0" spcFirstLastPara="1" vertOverflow="ellipsis" vert="horz" wrap="square" anchor="ctr" anchorCtr="1"/>
        <a:lstStyle/>
        <a:p>
          <a:pPr>
            <a:defRPr sz="800" b="0" i="0" u="none" strike="noStrike" kern="1200" baseline="0">
              <a:solidFill>
                <a:sysClr val="windowText" lastClr="000000"/>
              </a:solidFill>
              <a:latin typeface="Avenir Next LT Pro" panose="020B0504020202020204" pitchFamily="34" charset="0"/>
              <a:ea typeface="+mn-ea"/>
              <a:cs typeface="+mn-cs"/>
            </a:defRPr>
          </a:pPr>
          <a:endParaRPr lang="nl-NL"/>
        </a:p>
      </c:txPr>
    </c:legend>
    <c:plotVisOnly val="1"/>
    <c:dispBlanksAs val="gap"/>
    <c:showDLblsOverMax val="0"/>
    <c:extLst/>
  </c:chart>
  <c:spPr>
    <a:solidFill>
      <a:schemeClr val="bg1"/>
    </a:solidFill>
    <a:ln w="9525" cap="flat" cmpd="sng" algn="ctr">
      <a:noFill/>
      <a:round/>
    </a:ln>
    <a:effectLst/>
  </c:spPr>
  <c:txPr>
    <a:bodyPr/>
    <a:lstStyle/>
    <a:p>
      <a:pPr>
        <a:defRPr sz="900">
          <a:solidFill>
            <a:sysClr val="windowText" lastClr="000000"/>
          </a:solidFill>
          <a:latin typeface="Avenir Next LT Pro" panose="020B0504020202020204" pitchFamily="34" charset="0"/>
        </a:defRPr>
      </a:pPr>
      <a:endParaRPr lang="nl-NL"/>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900" b="0" i="0" u="none" strike="noStrike" kern="1200" spc="0" baseline="0">
                <a:solidFill>
                  <a:sysClr val="windowText" lastClr="000000"/>
                </a:solidFill>
                <a:latin typeface="Avenir Next LT Pro" panose="020B0504020202020204" pitchFamily="34" charset="0"/>
                <a:ea typeface="+mn-ea"/>
                <a:cs typeface="+mn-cs"/>
              </a:defRPr>
            </a:pPr>
            <a:r>
              <a:rPr lang="en-US" sz="900" b="1" baseline="0"/>
              <a:t>In-use stocks of c</a:t>
            </a:r>
            <a:r>
              <a:rPr lang="en-US" sz="900" b="1"/>
              <a:t>onstruction</a:t>
            </a:r>
            <a:r>
              <a:rPr lang="en-US" sz="900" b="1" baseline="0"/>
              <a:t> minerals and </a:t>
            </a:r>
            <a:r>
              <a:rPr lang="en-US" sz="900" b="1"/>
              <a:t>materials</a:t>
            </a:r>
            <a:r>
              <a:rPr lang="en-US" sz="900" b="1" baseline="0"/>
              <a:t> per sector, the Netherlands, ca. 2020</a:t>
            </a:r>
            <a:endParaRPr lang="en-US" sz="900" b="1"/>
          </a:p>
        </c:rich>
      </c:tx>
      <c:layout>
        <c:manualLayout>
          <c:xMode val="edge"/>
          <c:yMode val="edge"/>
          <c:x val="0.29299479066343065"/>
          <c:y val="3.8897093130267658E-2"/>
        </c:manualLayout>
      </c:layout>
      <c:overlay val="0"/>
      <c:spPr>
        <a:noFill/>
        <a:ln>
          <a:noFill/>
        </a:ln>
        <a:effectLst/>
      </c:spPr>
    </c:title>
    <c:autoTitleDeleted val="0"/>
    <c:plotArea>
      <c:layout>
        <c:manualLayout>
          <c:layoutTarget val="inner"/>
          <c:xMode val="edge"/>
          <c:yMode val="edge"/>
          <c:x val="0.21338009690629089"/>
          <c:y val="5.8661081480104668E-2"/>
          <c:w val="0.7328964750758673"/>
          <c:h val="0.5807924084177748"/>
        </c:manualLayout>
      </c:layout>
      <c:barChart>
        <c:barDir val="col"/>
        <c:grouping val="stacked"/>
        <c:varyColors val="0"/>
        <c:ser>
          <c:idx val="0"/>
          <c:order val="0"/>
          <c:tx>
            <c:strRef>
              <c:f>'1.'!$F$90</c:f>
              <c:strCache>
                <c:ptCount val="1"/>
                <c:pt idx="0">
                  <c:v>Concrete</c:v>
                </c:pt>
              </c:strCache>
            </c:strRef>
          </c:tx>
          <c:spPr>
            <a:solidFill>
              <a:schemeClr val="tx1">
                <a:lumMod val="65000"/>
                <a:lumOff val="35000"/>
              </a:schemeClr>
            </a:solidFill>
            <a:ln>
              <a:noFill/>
            </a:ln>
            <a:effectLst/>
          </c:spPr>
          <c:invertIfNegative val="0"/>
          <c:cat>
            <c:strRef>
              <c:f>'1.'!$C$91:$E$99</c:f>
              <c:strCache>
                <c:ptCount val="9"/>
                <c:pt idx="0">
                  <c:v>Buildings</c:v>
                </c:pt>
                <c:pt idx="1">
                  <c:v>Road, rail and waterways infrastructure</c:v>
                </c:pt>
                <c:pt idx="2">
                  <c:v>Energy system</c:v>
                </c:pt>
                <c:pt idx="3">
                  <c:v>Drinking and sewage water infrastructure</c:v>
                </c:pt>
                <c:pt idx="4">
                  <c:v>Vehicles</c:v>
                </c:pt>
                <c:pt idx="5">
                  <c:v>Machinery</c:v>
                </c:pt>
                <c:pt idx="6">
                  <c:v>Textiles</c:v>
                </c:pt>
                <c:pt idx="7">
                  <c:v>Consumer electronics</c:v>
                </c:pt>
                <c:pt idx="8">
                  <c:v>Other consumer goods</c:v>
                </c:pt>
              </c:strCache>
            </c:strRef>
          </c:cat>
          <c:val>
            <c:numRef>
              <c:f>'1.'!$F$91:$F$99</c:f>
              <c:numCache>
                <c:formatCode>0.00E+00</c:formatCode>
                <c:ptCount val="9"/>
                <c:pt idx="0">
                  <c:v>1877983247.2811079</c:v>
                </c:pt>
                <c:pt idx="1">
                  <c:v>276962350.96675766</c:v>
                </c:pt>
                <c:pt idx="2">
                  <c:v>6206938.2301747743</c:v>
                </c:pt>
                <c:pt idx="3">
                  <c:v>23269457</c:v>
                </c:pt>
                <c:pt idx="4">
                  <c:v>0</c:v>
                </c:pt>
                <c:pt idx="5">
                  <c:v>1947091.54635304</c:v>
                </c:pt>
                <c:pt idx="6">
                  <c:v>0</c:v>
                </c:pt>
                <c:pt idx="7">
                  <c:v>0</c:v>
                </c:pt>
                <c:pt idx="8">
                  <c:v>153944.64480295699</c:v>
                </c:pt>
              </c:numCache>
            </c:numRef>
          </c:val>
          <c:extLst>
            <c:ext xmlns:c16="http://schemas.microsoft.com/office/drawing/2014/chart" uri="{C3380CC4-5D6E-409C-BE32-E72D297353CC}">
              <c16:uniqueId val="{0000000A-083E-448B-963F-C72FE0F4BEAD}"/>
            </c:ext>
          </c:extLst>
        </c:ser>
        <c:ser>
          <c:idx val="1"/>
          <c:order val="1"/>
          <c:tx>
            <c:strRef>
              <c:f>'1.'!$G$90</c:f>
              <c:strCache>
                <c:ptCount val="1"/>
                <c:pt idx="0">
                  <c:v>Brick</c:v>
                </c:pt>
              </c:strCache>
            </c:strRef>
          </c:tx>
          <c:spPr>
            <a:solidFill>
              <a:srgbClr val="FF8601"/>
            </a:solidFill>
            <a:ln>
              <a:noFill/>
            </a:ln>
            <a:effectLst/>
          </c:spPr>
          <c:invertIfNegative val="0"/>
          <c:cat>
            <c:strRef>
              <c:f>'1.'!$C$91:$E$99</c:f>
              <c:strCache>
                <c:ptCount val="9"/>
                <c:pt idx="0">
                  <c:v>Buildings</c:v>
                </c:pt>
                <c:pt idx="1">
                  <c:v>Road, rail and waterways infrastructure</c:v>
                </c:pt>
                <c:pt idx="2">
                  <c:v>Energy system</c:v>
                </c:pt>
                <c:pt idx="3">
                  <c:v>Drinking and sewage water infrastructure</c:v>
                </c:pt>
                <c:pt idx="4">
                  <c:v>Vehicles</c:v>
                </c:pt>
                <c:pt idx="5">
                  <c:v>Machinery</c:v>
                </c:pt>
                <c:pt idx="6">
                  <c:v>Textiles</c:v>
                </c:pt>
                <c:pt idx="7">
                  <c:v>Consumer electronics</c:v>
                </c:pt>
                <c:pt idx="8">
                  <c:v>Other consumer goods</c:v>
                </c:pt>
              </c:strCache>
            </c:strRef>
          </c:cat>
          <c:val>
            <c:numRef>
              <c:f>'1.'!$G$91:$G$99</c:f>
              <c:numCache>
                <c:formatCode>0.00E+00</c:formatCode>
                <c:ptCount val="9"/>
                <c:pt idx="0">
                  <c:v>142823530.56571704</c:v>
                </c:pt>
                <c:pt idx="1">
                  <c:v>7424426.4205000009</c:v>
                </c:pt>
                <c:pt idx="2">
                  <c:v>0</c:v>
                </c:pt>
                <c:pt idx="3">
                  <c:v>0</c:v>
                </c:pt>
                <c:pt idx="4">
                  <c:v>0</c:v>
                </c:pt>
                <c:pt idx="5">
                  <c:v>0</c:v>
                </c:pt>
                <c:pt idx="6">
                  <c:v>0</c:v>
                </c:pt>
                <c:pt idx="7">
                  <c:v>0</c:v>
                </c:pt>
                <c:pt idx="8">
                  <c:v>0</c:v>
                </c:pt>
              </c:numCache>
            </c:numRef>
          </c:val>
          <c:extLst>
            <c:ext xmlns:c16="http://schemas.microsoft.com/office/drawing/2014/chart" uri="{C3380CC4-5D6E-409C-BE32-E72D297353CC}">
              <c16:uniqueId val="{0000000C-083E-448B-963F-C72FE0F4BEAD}"/>
            </c:ext>
          </c:extLst>
        </c:ser>
        <c:ser>
          <c:idx val="2"/>
          <c:order val="2"/>
          <c:tx>
            <c:strRef>
              <c:f>'1.'!$H$90</c:f>
              <c:strCache>
                <c:ptCount val="1"/>
                <c:pt idx="0">
                  <c:v>Asphalt</c:v>
                </c:pt>
              </c:strCache>
            </c:strRef>
          </c:tx>
          <c:spPr>
            <a:solidFill>
              <a:schemeClr val="tx2">
                <a:lumMod val="60000"/>
                <a:lumOff val="40000"/>
              </a:schemeClr>
            </a:solidFill>
            <a:ln>
              <a:noFill/>
            </a:ln>
            <a:effectLst/>
          </c:spPr>
          <c:invertIfNegative val="0"/>
          <c:cat>
            <c:strRef>
              <c:f>'1.'!$C$91:$E$99</c:f>
              <c:strCache>
                <c:ptCount val="9"/>
                <c:pt idx="0">
                  <c:v>Buildings</c:v>
                </c:pt>
                <c:pt idx="1">
                  <c:v>Road, rail and waterways infrastructure</c:v>
                </c:pt>
                <c:pt idx="2">
                  <c:v>Energy system</c:v>
                </c:pt>
                <c:pt idx="3">
                  <c:v>Drinking and sewage water infrastructure</c:v>
                </c:pt>
                <c:pt idx="4">
                  <c:v>Vehicles</c:v>
                </c:pt>
                <c:pt idx="5">
                  <c:v>Machinery</c:v>
                </c:pt>
                <c:pt idx="6">
                  <c:v>Textiles</c:v>
                </c:pt>
                <c:pt idx="7">
                  <c:v>Consumer electronics</c:v>
                </c:pt>
                <c:pt idx="8">
                  <c:v>Other consumer goods</c:v>
                </c:pt>
              </c:strCache>
            </c:strRef>
          </c:cat>
          <c:val>
            <c:numRef>
              <c:f>'1.'!$H$91:$H$99</c:f>
              <c:numCache>
                <c:formatCode>0.00E+00</c:formatCode>
                <c:ptCount val="9"/>
                <c:pt idx="0">
                  <c:v>0</c:v>
                </c:pt>
                <c:pt idx="1">
                  <c:v>253145002.30111837</c:v>
                </c:pt>
                <c:pt idx="2">
                  <c:v>0</c:v>
                </c:pt>
                <c:pt idx="3">
                  <c:v>0</c:v>
                </c:pt>
                <c:pt idx="4">
                  <c:v>0</c:v>
                </c:pt>
                <c:pt idx="5">
                  <c:v>0</c:v>
                </c:pt>
                <c:pt idx="6">
                  <c:v>0</c:v>
                </c:pt>
                <c:pt idx="7">
                  <c:v>0</c:v>
                </c:pt>
                <c:pt idx="8">
                  <c:v>0</c:v>
                </c:pt>
              </c:numCache>
            </c:numRef>
          </c:val>
          <c:extLst>
            <c:ext xmlns:c16="http://schemas.microsoft.com/office/drawing/2014/chart" uri="{C3380CC4-5D6E-409C-BE32-E72D297353CC}">
              <c16:uniqueId val="{0000000E-083E-448B-963F-C72FE0F4BEAD}"/>
            </c:ext>
          </c:extLst>
        </c:ser>
        <c:ser>
          <c:idx val="3"/>
          <c:order val="3"/>
          <c:tx>
            <c:strRef>
              <c:f>'1.'!$I$90</c:f>
              <c:strCache>
                <c:ptCount val="1"/>
                <c:pt idx="0">
                  <c:v>Sand, gravel, clay</c:v>
                </c:pt>
              </c:strCache>
            </c:strRef>
          </c:tx>
          <c:spPr>
            <a:solidFill>
              <a:schemeClr val="bg1">
                <a:lumMod val="75000"/>
              </a:schemeClr>
            </a:solidFill>
            <a:ln>
              <a:noFill/>
            </a:ln>
            <a:effectLst/>
          </c:spPr>
          <c:invertIfNegative val="0"/>
          <c:cat>
            <c:strRef>
              <c:f>'1.'!$C$91:$E$99</c:f>
              <c:strCache>
                <c:ptCount val="9"/>
                <c:pt idx="0">
                  <c:v>Buildings</c:v>
                </c:pt>
                <c:pt idx="1">
                  <c:v>Road, rail and waterways infrastructure</c:v>
                </c:pt>
                <c:pt idx="2">
                  <c:v>Energy system</c:v>
                </c:pt>
                <c:pt idx="3">
                  <c:v>Drinking and sewage water infrastructure</c:v>
                </c:pt>
                <c:pt idx="4">
                  <c:v>Vehicles</c:v>
                </c:pt>
                <c:pt idx="5">
                  <c:v>Machinery</c:v>
                </c:pt>
                <c:pt idx="6">
                  <c:v>Textiles</c:v>
                </c:pt>
                <c:pt idx="7">
                  <c:v>Consumer electronics</c:v>
                </c:pt>
                <c:pt idx="8">
                  <c:v>Other consumer goods</c:v>
                </c:pt>
              </c:strCache>
            </c:strRef>
          </c:cat>
          <c:val>
            <c:numRef>
              <c:f>'1.'!$I$91:$I$99</c:f>
              <c:numCache>
                <c:formatCode>0.00E+00</c:formatCode>
                <c:ptCount val="9"/>
                <c:pt idx="0">
                  <c:v>34191210.562837198</c:v>
                </c:pt>
                <c:pt idx="1">
                  <c:v>3844627462.0065627</c:v>
                </c:pt>
                <c:pt idx="2">
                  <c:v>0</c:v>
                </c:pt>
                <c:pt idx="3">
                  <c:v>0</c:v>
                </c:pt>
                <c:pt idx="4">
                  <c:v>0</c:v>
                </c:pt>
                <c:pt idx="5">
                  <c:v>0</c:v>
                </c:pt>
                <c:pt idx="6">
                  <c:v>0</c:v>
                </c:pt>
                <c:pt idx="7">
                  <c:v>0</c:v>
                </c:pt>
                <c:pt idx="8">
                  <c:v>0</c:v>
                </c:pt>
              </c:numCache>
            </c:numRef>
          </c:val>
          <c:extLst>
            <c:ext xmlns:c16="http://schemas.microsoft.com/office/drawing/2014/chart" uri="{C3380CC4-5D6E-409C-BE32-E72D297353CC}">
              <c16:uniqueId val="{00000010-083E-448B-963F-C72FE0F4BEAD}"/>
            </c:ext>
          </c:extLst>
        </c:ser>
        <c:ser>
          <c:idx val="4"/>
          <c:order val="4"/>
          <c:tx>
            <c:strRef>
              <c:f>'1.'!$J$90</c:f>
              <c:strCache>
                <c:ptCount val="1"/>
                <c:pt idx="0">
                  <c:v>Gypsum</c:v>
                </c:pt>
              </c:strCache>
            </c:strRef>
          </c:tx>
          <c:spPr>
            <a:solidFill>
              <a:srgbClr val="B56B6B"/>
            </a:solidFill>
          </c:spPr>
          <c:invertIfNegative val="0"/>
          <c:cat>
            <c:strRef>
              <c:f>'1.'!$C$91:$E$99</c:f>
              <c:strCache>
                <c:ptCount val="9"/>
                <c:pt idx="0">
                  <c:v>Buildings</c:v>
                </c:pt>
                <c:pt idx="1">
                  <c:v>Road, rail and waterways infrastructure</c:v>
                </c:pt>
                <c:pt idx="2">
                  <c:v>Energy system</c:v>
                </c:pt>
                <c:pt idx="3">
                  <c:v>Drinking and sewage water infrastructure</c:v>
                </c:pt>
                <c:pt idx="4">
                  <c:v>Vehicles</c:v>
                </c:pt>
                <c:pt idx="5">
                  <c:v>Machinery</c:v>
                </c:pt>
                <c:pt idx="6">
                  <c:v>Textiles</c:v>
                </c:pt>
                <c:pt idx="7">
                  <c:v>Consumer electronics</c:v>
                </c:pt>
                <c:pt idx="8">
                  <c:v>Other consumer goods</c:v>
                </c:pt>
              </c:strCache>
            </c:strRef>
          </c:cat>
          <c:val>
            <c:numRef>
              <c:f>'1.'!$J$91:$J$99</c:f>
              <c:numCache>
                <c:formatCode>0.00E+00</c:formatCode>
                <c:ptCount val="9"/>
                <c:pt idx="0">
                  <c:v>28790428.031033985</c:v>
                </c:pt>
                <c:pt idx="1">
                  <c:v>0</c:v>
                </c:pt>
                <c:pt idx="2">
                  <c:v>0</c:v>
                </c:pt>
                <c:pt idx="3">
                  <c:v>0</c:v>
                </c:pt>
                <c:pt idx="4">
                  <c:v>0</c:v>
                </c:pt>
                <c:pt idx="5">
                  <c:v>0</c:v>
                </c:pt>
                <c:pt idx="6">
                  <c:v>0</c:v>
                </c:pt>
                <c:pt idx="7">
                  <c:v>0</c:v>
                </c:pt>
                <c:pt idx="8">
                  <c:v>0</c:v>
                </c:pt>
              </c:numCache>
            </c:numRef>
          </c:val>
          <c:extLst>
            <c:ext xmlns:c16="http://schemas.microsoft.com/office/drawing/2014/chart" uri="{C3380CC4-5D6E-409C-BE32-E72D297353CC}">
              <c16:uniqueId val="{00000012-083E-448B-963F-C72FE0F4BEAD}"/>
            </c:ext>
          </c:extLst>
        </c:ser>
        <c:ser>
          <c:idx val="5"/>
          <c:order val="5"/>
          <c:tx>
            <c:strRef>
              <c:f>'1.'!$K$90</c:f>
              <c:strCache>
                <c:ptCount val="1"/>
                <c:pt idx="0">
                  <c:v>Stone</c:v>
                </c:pt>
              </c:strCache>
            </c:strRef>
          </c:tx>
          <c:spPr>
            <a:solidFill>
              <a:srgbClr val="9BBFB7"/>
            </a:solidFill>
          </c:spPr>
          <c:invertIfNegative val="0"/>
          <c:cat>
            <c:strRef>
              <c:f>'1.'!$C$91:$E$99</c:f>
              <c:strCache>
                <c:ptCount val="9"/>
                <c:pt idx="0">
                  <c:v>Buildings</c:v>
                </c:pt>
                <c:pt idx="1">
                  <c:v>Road, rail and waterways infrastructure</c:v>
                </c:pt>
                <c:pt idx="2">
                  <c:v>Energy system</c:v>
                </c:pt>
                <c:pt idx="3">
                  <c:v>Drinking and sewage water infrastructure</c:v>
                </c:pt>
                <c:pt idx="4">
                  <c:v>Vehicles</c:v>
                </c:pt>
                <c:pt idx="5">
                  <c:v>Machinery</c:v>
                </c:pt>
                <c:pt idx="6">
                  <c:v>Textiles</c:v>
                </c:pt>
                <c:pt idx="7">
                  <c:v>Consumer electronics</c:v>
                </c:pt>
                <c:pt idx="8">
                  <c:v>Other consumer goods</c:v>
                </c:pt>
              </c:strCache>
            </c:strRef>
          </c:cat>
          <c:val>
            <c:numRef>
              <c:f>'1.'!$K$91:$K$99</c:f>
              <c:numCache>
                <c:formatCode>0.00E+00</c:formatCode>
                <c:ptCount val="9"/>
                <c:pt idx="0">
                  <c:v>430340382.03058338</c:v>
                </c:pt>
                <c:pt idx="1">
                  <c:v>0</c:v>
                </c:pt>
                <c:pt idx="2">
                  <c:v>0</c:v>
                </c:pt>
                <c:pt idx="3">
                  <c:v>0</c:v>
                </c:pt>
                <c:pt idx="4">
                  <c:v>0</c:v>
                </c:pt>
                <c:pt idx="5">
                  <c:v>0</c:v>
                </c:pt>
                <c:pt idx="6">
                  <c:v>0</c:v>
                </c:pt>
                <c:pt idx="7">
                  <c:v>0</c:v>
                </c:pt>
                <c:pt idx="8">
                  <c:v>0</c:v>
                </c:pt>
              </c:numCache>
            </c:numRef>
          </c:val>
          <c:extLst>
            <c:ext xmlns:c16="http://schemas.microsoft.com/office/drawing/2014/chart" uri="{C3380CC4-5D6E-409C-BE32-E72D297353CC}">
              <c16:uniqueId val="{00000014-083E-448B-963F-C72FE0F4BEAD}"/>
            </c:ext>
          </c:extLst>
        </c:ser>
        <c:ser>
          <c:idx val="6"/>
          <c:order val="6"/>
          <c:tx>
            <c:strRef>
              <c:f>'1.'!$L$90</c:f>
              <c:strCache>
                <c:ptCount val="1"/>
                <c:pt idx="0">
                  <c:v>Recycled CDW</c:v>
                </c:pt>
              </c:strCache>
            </c:strRef>
          </c:tx>
          <c:spPr>
            <a:solidFill>
              <a:srgbClr val="FFD347"/>
            </a:solidFill>
          </c:spPr>
          <c:invertIfNegative val="0"/>
          <c:cat>
            <c:strRef>
              <c:f>'1.'!$C$91:$E$99</c:f>
              <c:strCache>
                <c:ptCount val="9"/>
                <c:pt idx="0">
                  <c:v>Buildings</c:v>
                </c:pt>
                <c:pt idx="1">
                  <c:v>Road, rail and waterways infrastructure</c:v>
                </c:pt>
                <c:pt idx="2">
                  <c:v>Energy system</c:v>
                </c:pt>
                <c:pt idx="3">
                  <c:v>Drinking and sewage water infrastructure</c:v>
                </c:pt>
                <c:pt idx="4">
                  <c:v>Vehicles</c:v>
                </c:pt>
                <c:pt idx="5">
                  <c:v>Machinery</c:v>
                </c:pt>
                <c:pt idx="6">
                  <c:v>Textiles</c:v>
                </c:pt>
                <c:pt idx="7">
                  <c:v>Consumer electronics</c:v>
                </c:pt>
                <c:pt idx="8">
                  <c:v>Other consumer goods</c:v>
                </c:pt>
              </c:strCache>
            </c:strRef>
          </c:cat>
          <c:val>
            <c:numRef>
              <c:f>'1.'!$L$91:$L$99</c:f>
              <c:numCache>
                <c:formatCode>0.00E+00</c:formatCode>
                <c:ptCount val="9"/>
                <c:pt idx="0">
                  <c:v>0</c:v>
                </c:pt>
                <c:pt idx="1">
                  <c:v>572521175.77157986</c:v>
                </c:pt>
                <c:pt idx="2">
                  <c:v>0</c:v>
                </c:pt>
                <c:pt idx="3">
                  <c:v>0</c:v>
                </c:pt>
                <c:pt idx="4">
                  <c:v>0</c:v>
                </c:pt>
                <c:pt idx="5">
                  <c:v>0</c:v>
                </c:pt>
                <c:pt idx="6">
                  <c:v>0</c:v>
                </c:pt>
                <c:pt idx="7">
                  <c:v>0</c:v>
                </c:pt>
                <c:pt idx="8">
                  <c:v>0</c:v>
                </c:pt>
              </c:numCache>
            </c:numRef>
          </c:val>
          <c:extLst>
            <c:ext xmlns:c16="http://schemas.microsoft.com/office/drawing/2014/chart" uri="{C3380CC4-5D6E-409C-BE32-E72D297353CC}">
              <c16:uniqueId val="{00000016-083E-448B-963F-C72FE0F4BEAD}"/>
            </c:ext>
          </c:extLst>
        </c:ser>
        <c:ser>
          <c:idx val="7"/>
          <c:order val="7"/>
          <c:tx>
            <c:strRef>
              <c:f>'1.'!$M$90</c:f>
              <c:strCache>
                <c:ptCount val="1"/>
                <c:pt idx="0">
                  <c:v>Other construction materials</c:v>
                </c:pt>
              </c:strCache>
            </c:strRef>
          </c:tx>
          <c:invertIfNegative val="0"/>
          <c:cat>
            <c:strRef>
              <c:f>'1.'!$C$91:$E$99</c:f>
              <c:strCache>
                <c:ptCount val="9"/>
                <c:pt idx="0">
                  <c:v>Buildings</c:v>
                </c:pt>
                <c:pt idx="1">
                  <c:v>Road, rail and waterways infrastructure</c:v>
                </c:pt>
                <c:pt idx="2">
                  <c:v>Energy system</c:v>
                </c:pt>
                <c:pt idx="3">
                  <c:v>Drinking and sewage water infrastructure</c:v>
                </c:pt>
                <c:pt idx="4">
                  <c:v>Vehicles</c:v>
                </c:pt>
                <c:pt idx="5">
                  <c:v>Machinery</c:v>
                </c:pt>
                <c:pt idx="6">
                  <c:v>Textiles</c:v>
                </c:pt>
                <c:pt idx="7">
                  <c:v>Consumer electronics</c:v>
                </c:pt>
                <c:pt idx="8">
                  <c:v>Other consumer goods</c:v>
                </c:pt>
              </c:strCache>
            </c:strRef>
          </c:cat>
          <c:val>
            <c:numRef>
              <c:f>'1.'!$M$91:$M$99</c:f>
              <c:numCache>
                <c:formatCode>0.00E+00</c:formatCode>
                <c:ptCount val="9"/>
                <c:pt idx="0">
                  <c:v>677741.53572449822</c:v>
                </c:pt>
                <c:pt idx="1">
                  <c:v>31332.975414499997</c:v>
                </c:pt>
                <c:pt idx="2">
                  <c:v>1400</c:v>
                </c:pt>
                <c:pt idx="3">
                  <c:v>352455</c:v>
                </c:pt>
                <c:pt idx="4">
                  <c:v>0</c:v>
                </c:pt>
                <c:pt idx="5">
                  <c:v>0</c:v>
                </c:pt>
                <c:pt idx="6">
                  <c:v>0</c:v>
                </c:pt>
                <c:pt idx="7">
                  <c:v>0</c:v>
                </c:pt>
                <c:pt idx="8">
                  <c:v>0</c:v>
                </c:pt>
              </c:numCache>
            </c:numRef>
          </c:val>
          <c:extLst>
            <c:ext xmlns:c16="http://schemas.microsoft.com/office/drawing/2014/chart" uri="{C3380CC4-5D6E-409C-BE32-E72D297353CC}">
              <c16:uniqueId val="{00000017-083E-448B-963F-C72FE0F4BEAD}"/>
            </c:ext>
          </c:extLst>
        </c:ser>
        <c:dLbls>
          <c:showLegendKey val="0"/>
          <c:showVal val="0"/>
          <c:showCatName val="0"/>
          <c:showSerName val="0"/>
          <c:showPercent val="0"/>
          <c:showBubbleSize val="0"/>
        </c:dLbls>
        <c:gapWidth val="150"/>
        <c:overlap val="100"/>
        <c:axId val="1999623967"/>
        <c:axId val="1999628543"/>
      </c:barChart>
      <c:catAx>
        <c:axId val="1999623967"/>
        <c:scaling>
          <c:orientation val="minMax"/>
        </c:scaling>
        <c:delete val="0"/>
        <c:axPos val="b"/>
        <c:numFmt formatCode="General" sourceLinked="1"/>
        <c:majorTickMark val="none"/>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venir Next LT Pro" panose="020B0504020202020204" pitchFamily="34" charset="0"/>
                <a:ea typeface="+mn-ea"/>
                <a:cs typeface="+mn-cs"/>
              </a:defRPr>
            </a:pPr>
            <a:endParaRPr lang="nl-NL"/>
          </a:p>
        </c:txPr>
        <c:crossAx val="1999628543"/>
        <c:crosses val="autoZero"/>
        <c:auto val="1"/>
        <c:lblAlgn val="ctr"/>
        <c:lblOffset val="100"/>
        <c:noMultiLvlLbl val="0"/>
      </c:catAx>
      <c:valAx>
        <c:axId val="1999628543"/>
        <c:scaling>
          <c:orientation val="minMax"/>
        </c:scaling>
        <c:delete val="0"/>
        <c:axPos val="l"/>
        <c:title>
          <c:tx>
            <c:rich>
              <a:bodyPr rot="-5400000" spcFirstLastPara="1" vertOverflow="ellipsis" vert="horz" wrap="square" anchor="ctr" anchorCtr="1"/>
              <a:lstStyle/>
              <a:p>
                <a:pPr>
                  <a:defRPr sz="900" b="1" i="0" u="none" strike="noStrike" kern="1200" baseline="0">
                    <a:solidFill>
                      <a:sysClr val="windowText" lastClr="000000"/>
                    </a:solidFill>
                    <a:latin typeface="Avenir Next LT Pro" panose="020B0504020202020204" pitchFamily="34" charset="0"/>
                    <a:ea typeface="+mn-ea"/>
                    <a:cs typeface="+mn-cs"/>
                  </a:defRPr>
                </a:pPr>
                <a:r>
                  <a:rPr lang="en-US" b="1"/>
                  <a:t>ton</a:t>
                </a:r>
              </a:p>
            </c:rich>
          </c:tx>
          <c:overlay val="0"/>
          <c:spPr>
            <a:noFill/>
            <a:ln>
              <a:noFill/>
            </a:ln>
            <a:effectLst/>
          </c:spPr>
        </c:title>
        <c:numFmt formatCode="0.00E+00" sourceLinked="1"/>
        <c:majorTickMark val="none"/>
        <c:minorTickMark val="none"/>
        <c:tickLblPos val="nextTo"/>
        <c:spPr>
          <a:noFill/>
          <a:ln>
            <a:solidFill>
              <a:schemeClr val="tx1"/>
            </a:solid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venir Next LT Pro" panose="020B0504020202020204" pitchFamily="34" charset="0"/>
                <a:ea typeface="+mn-ea"/>
                <a:cs typeface="+mn-cs"/>
              </a:defRPr>
            </a:pPr>
            <a:endParaRPr lang="nl-NL"/>
          </a:p>
        </c:txPr>
        <c:crossAx val="1999623967"/>
        <c:crosses val="autoZero"/>
        <c:crossBetween val="between"/>
      </c:valAx>
    </c:plotArea>
    <c:legend>
      <c:legendPos val="r"/>
      <c:layout>
        <c:manualLayout>
          <c:xMode val="edge"/>
          <c:yMode val="edge"/>
          <c:x val="0.51875648449615619"/>
          <c:y val="0.11661434145754913"/>
          <c:w val="0.43409321358136915"/>
          <c:h val="0.46886881548739329"/>
        </c:manualLayout>
      </c:layout>
      <c:overlay val="0"/>
      <c:spPr>
        <a:noFill/>
        <a:ln>
          <a:solidFill>
            <a:schemeClr val="tx1"/>
          </a:solidFill>
        </a:ln>
        <a:effectLst/>
      </c:spPr>
      <c:txPr>
        <a:bodyPr rot="0" spcFirstLastPara="1" vertOverflow="ellipsis" vert="horz" wrap="square" anchor="ctr" anchorCtr="1"/>
        <a:lstStyle/>
        <a:p>
          <a:pPr>
            <a:defRPr sz="800" b="0" i="0" u="none" strike="noStrike" kern="1200" baseline="0">
              <a:solidFill>
                <a:sysClr val="windowText" lastClr="000000"/>
              </a:solidFill>
              <a:latin typeface="Avenir Next LT Pro" panose="020B0504020202020204" pitchFamily="34" charset="0"/>
              <a:ea typeface="+mn-ea"/>
              <a:cs typeface="+mn-cs"/>
            </a:defRPr>
          </a:pPr>
          <a:endParaRPr lang="nl-NL"/>
        </a:p>
      </c:txPr>
    </c:legend>
    <c:plotVisOnly val="1"/>
    <c:dispBlanksAs val="gap"/>
    <c:showDLblsOverMax val="0"/>
    <c:extLst/>
  </c:chart>
  <c:spPr>
    <a:solidFill>
      <a:schemeClr val="bg1"/>
    </a:solidFill>
    <a:ln w="9525" cap="flat" cmpd="sng" algn="ctr">
      <a:noFill/>
      <a:round/>
    </a:ln>
    <a:effectLst/>
  </c:spPr>
  <c:txPr>
    <a:bodyPr/>
    <a:lstStyle/>
    <a:p>
      <a:pPr>
        <a:defRPr sz="900">
          <a:solidFill>
            <a:sysClr val="windowText" lastClr="000000"/>
          </a:solidFill>
          <a:latin typeface="Avenir Next LT Pro" panose="020B0504020202020204" pitchFamily="34" charset="0"/>
        </a:defRPr>
      </a:pPr>
      <a:endParaRPr lang="nl-NL"/>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900" b="0" i="0" u="none" strike="noStrike" kern="1200" spc="0" baseline="0">
                <a:solidFill>
                  <a:sysClr val="windowText" lastClr="000000"/>
                </a:solidFill>
                <a:latin typeface="Avenir Next LT Pro" panose="020B0504020202020204" pitchFamily="34" charset="0"/>
                <a:ea typeface="+mn-ea"/>
                <a:cs typeface="+mn-cs"/>
              </a:defRPr>
            </a:pPr>
            <a:r>
              <a:rPr lang="en-US" sz="900" b="1" i="0" u="none" strike="noStrike" kern="1200" spc="0" baseline="0">
                <a:solidFill>
                  <a:sysClr val="windowText" lastClr="000000"/>
                </a:solidFill>
                <a:latin typeface="Avenir Next LT Pro" panose="020B0504020202020204" pitchFamily="34" charset="0"/>
              </a:rPr>
              <a:t>In-use stocks of construction minerals and materials per sector, the Netherlands, ca. 2020</a:t>
            </a:r>
          </a:p>
          <a:p>
            <a:pPr>
              <a:defRPr sz="900" b="0" i="0" u="none" strike="noStrike" kern="1200" spc="0" baseline="0">
                <a:solidFill>
                  <a:sysClr val="windowText" lastClr="000000"/>
                </a:solidFill>
                <a:latin typeface="Avenir Next LT Pro" panose="020B0504020202020204" pitchFamily="34" charset="0"/>
                <a:ea typeface="+mn-ea"/>
                <a:cs typeface="+mn-cs"/>
              </a:defRPr>
            </a:pPr>
            <a:r>
              <a:rPr lang="en-US" sz="900" b="0" i="1" baseline="0"/>
              <a:t>excluding buildings and road- rail- and waterways infrastructure</a:t>
            </a:r>
            <a:endParaRPr lang="en-US" sz="900" b="0" i="1"/>
          </a:p>
        </c:rich>
      </c:tx>
      <c:layout>
        <c:manualLayout>
          <c:xMode val="edge"/>
          <c:yMode val="edge"/>
          <c:x val="0.23132492935941118"/>
          <c:y val="1.7212125055797989E-2"/>
        </c:manualLayout>
      </c:layout>
      <c:overlay val="0"/>
      <c:spPr>
        <a:noFill/>
        <a:ln>
          <a:noFill/>
        </a:ln>
        <a:effectLst/>
      </c:spPr>
    </c:title>
    <c:autoTitleDeleted val="0"/>
    <c:plotArea>
      <c:layout>
        <c:manualLayout>
          <c:layoutTarget val="inner"/>
          <c:xMode val="edge"/>
          <c:yMode val="edge"/>
          <c:x val="0.21338009690629089"/>
          <c:y val="5.8661081480104668E-2"/>
          <c:w val="0.7328964750758673"/>
          <c:h val="0.5807924084177748"/>
        </c:manualLayout>
      </c:layout>
      <c:barChart>
        <c:barDir val="col"/>
        <c:grouping val="stacked"/>
        <c:varyColors val="0"/>
        <c:ser>
          <c:idx val="0"/>
          <c:order val="0"/>
          <c:tx>
            <c:strRef>
              <c:f>'1.'!$F$90</c:f>
              <c:strCache>
                <c:ptCount val="1"/>
                <c:pt idx="0">
                  <c:v>Concrete</c:v>
                </c:pt>
              </c:strCache>
            </c:strRef>
          </c:tx>
          <c:spPr>
            <a:solidFill>
              <a:schemeClr val="tx1">
                <a:lumMod val="65000"/>
                <a:lumOff val="35000"/>
              </a:schemeClr>
            </a:solidFill>
            <a:ln>
              <a:noFill/>
            </a:ln>
            <a:effectLst/>
          </c:spPr>
          <c:invertIfNegative val="0"/>
          <c:cat>
            <c:strRef>
              <c:extLst>
                <c:ext xmlns:c15="http://schemas.microsoft.com/office/drawing/2012/chart" uri="{02D57815-91ED-43cb-92C2-25804820EDAC}">
                  <c15:fullRef>
                    <c15:sqref>'1.'!$C$91:$E$99</c15:sqref>
                  </c15:fullRef>
                </c:ext>
              </c:extLst>
              <c:f>'1.'!$C$93:$E$99</c:f>
              <c:strCache>
                <c:ptCount val="7"/>
                <c:pt idx="0">
                  <c:v>Energy system</c:v>
                </c:pt>
                <c:pt idx="1">
                  <c:v>Drinking and sewage water infrastructure</c:v>
                </c:pt>
                <c:pt idx="2">
                  <c:v>Vehicles</c:v>
                </c:pt>
                <c:pt idx="3">
                  <c:v>Machinery</c:v>
                </c:pt>
                <c:pt idx="4">
                  <c:v>Textiles</c:v>
                </c:pt>
                <c:pt idx="5">
                  <c:v>Consumer electronics</c:v>
                </c:pt>
                <c:pt idx="6">
                  <c:v>Other consumer goods</c:v>
                </c:pt>
              </c:strCache>
            </c:strRef>
          </c:cat>
          <c:val>
            <c:numRef>
              <c:extLst>
                <c:ext xmlns:c15="http://schemas.microsoft.com/office/drawing/2012/chart" uri="{02D57815-91ED-43cb-92C2-25804820EDAC}">
                  <c15:fullRef>
                    <c15:sqref>'1.'!$F$91:$F$99</c15:sqref>
                  </c15:fullRef>
                </c:ext>
              </c:extLst>
              <c:f>'1.'!$F$93:$F$99</c:f>
              <c:numCache>
                <c:formatCode>0.00E+00</c:formatCode>
                <c:ptCount val="7"/>
                <c:pt idx="0">
                  <c:v>6206938.2301747743</c:v>
                </c:pt>
                <c:pt idx="1">
                  <c:v>23269457</c:v>
                </c:pt>
                <c:pt idx="2">
                  <c:v>0</c:v>
                </c:pt>
                <c:pt idx="3">
                  <c:v>1947091.54635304</c:v>
                </c:pt>
                <c:pt idx="4">
                  <c:v>0</c:v>
                </c:pt>
                <c:pt idx="5">
                  <c:v>0</c:v>
                </c:pt>
                <c:pt idx="6">
                  <c:v>153944.64480295699</c:v>
                </c:pt>
              </c:numCache>
            </c:numRef>
          </c:val>
          <c:extLst>
            <c:ext xmlns:c16="http://schemas.microsoft.com/office/drawing/2014/chart" uri="{C3380CC4-5D6E-409C-BE32-E72D297353CC}">
              <c16:uniqueId val="{00000000-7CB1-43E2-94CC-939307418FC0}"/>
            </c:ext>
          </c:extLst>
        </c:ser>
        <c:ser>
          <c:idx val="1"/>
          <c:order val="1"/>
          <c:tx>
            <c:strRef>
              <c:f>'1.'!$G$90</c:f>
              <c:strCache>
                <c:ptCount val="1"/>
                <c:pt idx="0">
                  <c:v>Brick</c:v>
                </c:pt>
              </c:strCache>
            </c:strRef>
          </c:tx>
          <c:spPr>
            <a:solidFill>
              <a:srgbClr val="FF8601"/>
            </a:solidFill>
            <a:ln>
              <a:noFill/>
            </a:ln>
            <a:effectLst/>
          </c:spPr>
          <c:invertIfNegative val="0"/>
          <c:cat>
            <c:strRef>
              <c:extLst>
                <c:ext xmlns:c15="http://schemas.microsoft.com/office/drawing/2012/chart" uri="{02D57815-91ED-43cb-92C2-25804820EDAC}">
                  <c15:fullRef>
                    <c15:sqref>'1.'!$C$91:$E$99</c15:sqref>
                  </c15:fullRef>
                </c:ext>
              </c:extLst>
              <c:f>'1.'!$C$93:$E$99</c:f>
              <c:strCache>
                <c:ptCount val="7"/>
                <c:pt idx="0">
                  <c:v>Energy system</c:v>
                </c:pt>
                <c:pt idx="1">
                  <c:v>Drinking and sewage water infrastructure</c:v>
                </c:pt>
                <c:pt idx="2">
                  <c:v>Vehicles</c:v>
                </c:pt>
                <c:pt idx="3">
                  <c:v>Machinery</c:v>
                </c:pt>
                <c:pt idx="4">
                  <c:v>Textiles</c:v>
                </c:pt>
                <c:pt idx="5">
                  <c:v>Consumer electronics</c:v>
                </c:pt>
                <c:pt idx="6">
                  <c:v>Other consumer goods</c:v>
                </c:pt>
              </c:strCache>
            </c:strRef>
          </c:cat>
          <c:val>
            <c:numRef>
              <c:extLst>
                <c:ext xmlns:c15="http://schemas.microsoft.com/office/drawing/2012/chart" uri="{02D57815-91ED-43cb-92C2-25804820EDAC}">
                  <c15:fullRef>
                    <c15:sqref>'1.'!$G$91:$G$99</c15:sqref>
                  </c15:fullRef>
                </c:ext>
              </c:extLst>
              <c:f>'1.'!$G$93:$G$99</c:f>
              <c:numCache>
                <c:formatCode>0.00E+00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1-7CB1-43E2-94CC-939307418FC0}"/>
            </c:ext>
          </c:extLst>
        </c:ser>
        <c:ser>
          <c:idx val="2"/>
          <c:order val="2"/>
          <c:tx>
            <c:strRef>
              <c:f>'1.'!$H$90</c:f>
              <c:strCache>
                <c:ptCount val="1"/>
                <c:pt idx="0">
                  <c:v>Asphalt</c:v>
                </c:pt>
              </c:strCache>
            </c:strRef>
          </c:tx>
          <c:spPr>
            <a:solidFill>
              <a:schemeClr val="tx2">
                <a:lumMod val="60000"/>
                <a:lumOff val="40000"/>
              </a:schemeClr>
            </a:solidFill>
            <a:ln>
              <a:noFill/>
            </a:ln>
            <a:effectLst/>
          </c:spPr>
          <c:invertIfNegative val="0"/>
          <c:cat>
            <c:strRef>
              <c:extLst>
                <c:ext xmlns:c15="http://schemas.microsoft.com/office/drawing/2012/chart" uri="{02D57815-91ED-43cb-92C2-25804820EDAC}">
                  <c15:fullRef>
                    <c15:sqref>'1.'!$C$91:$E$99</c15:sqref>
                  </c15:fullRef>
                </c:ext>
              </c:extLst>
              <c:f>'1.'!$C$93:$E$99</c:f>
              <c:strCache>
                <c:ptCount val="7"/>
                <c:pt idx="0">
                  <c:v>Energy system</c:v>
                </c:pt>
                <c:pt idx="1">
                  <c:v>Drinking and sewage water infrastructure</c:v>
                </c:pt>
                <c:pt idx="2">
                  <c:v>Vehicles</c:v>
                </c:pt>
                <c:pt idx="3">
                  <c:v>Machinery</c:v>
                </c:pt>
                <c:pt idx="4">
                  <c:v>Textiles</c:v>
                </c:pt>
                <c:pt idx="5">
                  <c:v>Consumer electronics</c:v>
                </c:pt>
                <c:pt idx="6">
                  <c:v>Other consumer goods</c:v>
                </c:pt>
              </c:strCache>
            </c:strRef>
          </c:cat>
          <c:val>
            <c:numRef>
              <c:extLst>
                <c:ext xmlns:c15="http://schemas.microsoft.com/office/drawing/2012/chart" uri="{02D57815-91ED-43cb-92C2-25804820EDAC}">
                  <c15:fullRef>
                    <c15:sqref>'1.'!$H$91:$H$99</c15:sqref>
                  </c15:fullRef>
                </c:ext>
              </c:extLst>
              <c:f>'1.'!$H$93:$H$99</c:f>
              <c:numCache>
                <c:formatCode>0.00E+00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2-7CB1-43E2-94CC-939307418FC0}"/>
            </c:ext>
          </c:extLst>
        </c:ser>
        <c:ser>
          <c:idx val="3"/>
          <c:order val="3"/>
          <c:tx>
            <c:strRef>
              <c:f>'1.'!$I$90</c:f>
              <c:strCache>
                <c:ptCount val="1"/>
                <c:pt idx="0">
                  <c:v>Sand, gravel, clay</c:v>
                </c:pt>
              </c:strCache>
            </c:strRef>
          </c:tx>
          <c:spPr>
            <a:solidFill>
              <a:schemeClr val="bg1">
                <a:lumMod val="75000"/>
              </a:schemeClr>
            </a:solidFill>
            <a:ln>
              <a:noFill/>
            </a:ln>
            <a:effectLst/>
          </c:spPr>
          <c:invertIfNegative val="0"/>
          <c:cat>
            <c:strRef>
              <c:extLst>
                <c:ext xmlns:c15="http://schemas.microsoft.com/office/drawing/2012/chart" uri="{02D57815-91ED-43cb-92C2-25804820EDAC}">
                  <c15:fullRef>
                    <c15:sqref>'1.'!$C$91:$E$99</c15:sqref>
                  </c15:fullRef>
                </c:ext>
              </c:extLst>
              <c:f>'1.'!$C$93:$E$99</c:f>
              <c:strCache>
                <c:ptCount val="7"/>
                <c:pt idx="0">
                  <c:v>Energy system</c:v>
                </c:pt>
                <c:pt idx="1">
                  <c:v>Drinking and sewage water infrastructure</c:v>
                </c:pt>
                <c:pt idx="2">
                  <c:v>Vehicles</c:v>
                </c:pt>
                <c:pt idx="3">
                  <c:v>Machinery</c:v>
                </c:pt>
                <c:pt idx="4">
                  <c:v>Textiles</c:v>
                </c:pt>
                <c:pt idx="5">
                  <c:v>Consumer electronics</c:v>
                </c:pt>
                <c:pt idx="6">
                  <c:v>Other consumer goods</c:v>
                </c:pt>
              </c:strCache>
            </c:strRef>
          </c:cat>
          <c:val>
            <c:numRef>
              <c:extLst>
                <c:ext xmlns:c15="http://schemas.microsoft.com/office/drawing/2012/chart" uri="{02D57815-91ED-43cb-92C2-25804820EDAC}">
                  <c15:fullRef>
                    <c15:sqref>'1.'!$I$91:$I$99</c15:sqref>
                  </c15:fullRef>
                </c:ext>
              </c:extLst>
              <c:f>'1.'!$I$93:$I$99</c:f>
              <c:numCache>
                <c:formatCode>0.00E+00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3-7CB1-43E2-94CC-939307418FC0}"/>
            </c:ext>
          </c:extLst>
        </c:ser>
        <c:ser>
          <c:idx val="4"/>
          <c:order val="4"/>
          <c:tx>
            <c:strRef>
              <c:f>'1.'!$J$90</c:f>
              <c:strCache>
                <c:ptCount val="1"/>
                <c:pt idx="0">
                  <c:v>Gypsum</c:v>
                </c:pt>
              </c:strCache>
            </c:strRef>
          </c:tx>
          <c:spPr>
            <a:solidFill>
              <a:srgbClr val="B56B6B"/>
            </a:solidFill>
          </c:spPr>
          <c:invertIfNegative val="0"/>
          <c:cat>
            <c:strRef>
              <c:extLst>
                <c:ext xmlns:c15="http://schemas.microsoft.com/office/drawing/2012/chart" uri="{02D57815-91ED-43cb-92C2-25804820EDAC}">
                  <c15:fullRef>
                    <c15:sqref>'1.'!$C$91:$E$99</c15:sqref>
                  </c15:fullRef>
                </c:ext>
              </c:extLst>
              <c:f>'1.'!$C$93:$E$99</c:f>
              <c:strCache>
                <c:ptCount val="7"/>
                <c:pt idx="0">
                  <c:v>Energy system</c:v>
                </c:pt>
                <c:pt idx="1">
                  <c:v>Drinking and sewage water infrastructure</c:v>
                </c:pt>
                <c:pt idx="2">
                  <c:v>Vehicles</c:v>
                </c:pt>
                <c:pt idx="3">
                  <c:v>Machinery</c:v>
                </c:pt>
                <c:pt idx="4">
                  <c:v>Textiles</c:v>
                </c:pt>
                <c:pt idx="5">
                  <c:v>Consumer electronics</c:v>
                </c:pt>
                <c:pt idx="6">
                  <c:v>Other consumer goods</c:v>
                </c:pt>
              </c:strCache>
            </c:strRef>
          </c:cat>
          <c:val>
            <c:numRef>
              <c:extLst>
                <c:ext xmlns:c15="http://schemas.microsoft.com/office/drawing/2012/chart" uri="{02D57815-91ED-43cb-92C2-25804820EDAC}">
                  <c15:fullRef>
                    <c15:sqref>'1.'!$J$91:$J$99</c15:sqref>
                  </c15:fullRef>
                </c:ext>
              </c:extLst>
              <c:f>'1.'!$J$93:$J$99</c:f>
              <c:numCache>
                <c:formatCode>0.00E+00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4-7CB1-43E2-94CC-939307418FC0}"/>
            </c:ext>
          </c:extLst>
        </c:ser>
        <c:ser>
          <c:idx val="5"/>
          <c:order val="5"/>
          <c:tx>
            <c:strRef>
              <c:f>'1.'!$K$90</c:f>
              <c:strCache>
                <c:ptCount val="1"/>
                <c:pt idx="0">
                  <c:v>Stone</c:v>
                </c:pt>
              </c:strCache>
            </c:strRef>
          </c:tx>
          <c:spPr>
            <a:solidFill>
              <a:srgbClr val="9BBFB7"/>
            </a:solidFill>
          </c:spPr>
          <c:invertIfNegative val="0"/>
          <c:cat>
            <c:strRef>
              <c:extLst>
                <c:ext xmlns:c15="http://schemas.microsoft.com/office/drawing/2012/chart" uri="{02D57815-91ED-43cb-92C2-25804820EDAC}">
                  <c15:fullRef>
                    <c15:sqref>'1.'!$C$91:$E$99</c15:sqref>
                  </c15:fullRef>
                </c:ext>
              </c:extLst>
              <c:f>'1.'!$C$93:$E$99</c:f>
              <c:strCache>
                <c:ptCount val="7"/>
                <c:pt idx="0">
                  <c:v>Energy system</c:v>
                </c:pt>
                <c:pt idx="1">
                  <c:v>Drinking and sewage water infrastructure</c:v>
                </c:pt>
                <c:pt idx="2">
                  <c:v>Vehicles</c:v>
                </c:pt>
                <c:pt idx="3">
                  <c:v>Machinery</c:v>
                </c:pt>
                <c:pt idx="4">
                  <c:v>Textiles</c:v>
                </c:pt>
                <c:pt idx="5">
                  <c:v>Consumer electronics</c:v>
                </c:pt>
                <c:pt idx="6">
                  <c:v>Other consumer goods</c:v>
                </c:pt>
              </c:strCache>
            </c:strRef>
          </c:cat>
          <c:val>
            <c:numRef>
              <c:extLst>
                <c:ext xmlns:c15="http://schemas.microsoft.com/office/drawing/2012/chart" uri="{02D57815-91ED-43cb-92C2-25804820EDAC}">
                  <c15:fullRef>
                    <c15:sqref>'1.'!$K$91:$K$99</c15:sqref>
                  </c15:fullRef>
                </c:ext>
              </c:extLst>
              <c:f>'1.'!$K$93:$K$99</c:f>
              <c:numCache>
                <c:formatCode>0.00E+00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5-7CB1-43E2-94CC-939307418FC0}"/>
            </c:ext>
          </c:extLst>
        </c:ser>
        <c:ser>
          <c:idx val="6"/>
          <c:order val="6"/>
          <c:tx>
            <c:strRef>
              <c:f>'1.'!$L$90</c:f>
              <c:strCache>
                <c:ptCount val="1"/>
                <c:pt idx="0">
                  <c:v>Recycled CDW</c:v>
                </c:pt>
              </c:strCache>
            </c:strRef>
          </c:tx>
          <c:spPr>
            <a:solidFill>
              <a:srgbClr val="FFD347"/>
            </a:solidFill>
          </c:spPr>
          <c:invertIfNegative val="0"/>
          <c:cat>
            <c:strRef>
              <c:extLst>
                <c:ext xmlns:c15="http://schemas.microsoft.com/office/drawing/2012/chart" uri="{02D57815-91ED-43cb-92C2-25804820EDAC}">
                  <c15:fullRef>
                    <c15:sqref>'1.'!$C$91:$E$99</c15:sqref>
                  </c15:fullRef>
                </c:ext>
              </c:extLst>
              <c:f>'1.'!$C$93:$E$99</c:f>
              <c:strCache>
                <c:ptCount val="7"/>
                <c:pt idx="0">
                  <c:v>Energy system</c:v>
                </c:pt>
                <c:pt idx="1">
                  <c:v>Drinking and sewage water infrastructure</c:v>
                </c:pt>
                <c:pt idx="2">
                  <c:v>Vehicles</c:v>
                </c:pt>
                <c:pt idx="3">
                  <c:v>Machinery</c:v>
                </c:pt>
                <c:pt idx="4">
                  <c:v>Textiles</c:v>
                </c:pt>
                <c:pt idx="5">
                  <c:v>Consumer electronics</c:v>
                </c:pt>
                <c:pt idx="6">
                  <c:v>Other consumer goods</c:v>
                </c:pt>
              </c:strCache>
            </c:strRef>
          </c:cat>
          <c:val>
            <c:numRef>
              <c:extLst>
                <c:ext xmlns:c15="http://schemas.microsoft.com/office/drawing/2012/chart" uri="{02D57815-91ED-43cb-92C2-25804820EDAC}">
                  <c15:fullRef>
                    <c15:sqref>'1.'!$L$91:$L$99</c15:sqref>
                  </c15:fullRef>
                </c:ext>
              </c:extLst>
              <c:f>'1.'!$L$93:$L$99</c:f>
              <c:numCache>
                <c:formatCode>0.00E+00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6-7CB1-43E2-94CC-939307418FC0}"/>
            </c:ext>
          </c:extLst>
        </c:ser>
        <c:ser>
          <c:idx val="7"/>
          <c:order val="7"/>
          <c:tx>
            <c:strRef>
              <c:f>'1.'!$M$90</c:f>
              <c:strCache>
                <c:ptCount val="1"/>
                <c:pt idx="0">
                  <c:v>Other construction materials</c:v>
                </c:pt>
              </c:strCache>
            </c:strRef>
          </c:tx>
          <c:invertIfNegative val="0"/>
          <c:cat>
            <c:strRef>
              <c:extLst>
                <c:ext xmlns:c15="http://schemas.microsoft.com/office/drawing/2012/chart" uri="{02D57815-91ED-43cb-92C2-25804820EDAC}">
                  <c15:fullRef>
                    <c15:sqref>'1.'!$C$91:$E$99</c15:sqref>
                  </c15:fullRef>
                </c:ext>
              </c:extLst>
              <c:f>'1.'!$C$93:$E$99</c:f>
              <c:strCache>
                <c:ptCount val="7"/>
                <c:pt idx="0">
                  <c:v>Energy system</c:v>
                </c:pt>
                <c:pt idx="1">
                  <c:v>Drinking and sewage water infrastructure</c:v>
                </c:pt>
                <c:pt idx="2">
                  <c:v>Vehicles</c:v>
                </c:pt>
                <c:pt idx="3">
                  <c:v>Machinery</c:v>
                </c:pt>
                <c:pt idx="4">
                  <c:v>Textiles</c:v>
                </c:pt>
                <c:pt idx="5">
                  <c:v>Consumer electronics</c:v>
                </c:pt>
                <c:pt idx="6">
                  <c:v>Other consumer goods</c:v>
                </c:pt>
              </c:strCache>
            </c:strRef>
          </c:cat>
          <c:val>
            <c:numRef>
              <c:extLst>
                <c:ext xmlns:c15="http://schemas.microsoft.com/office/drawing/2012/chart" uri="{02D57815-91ED-43cb-92C2-25804820EDAC}">
                  <c15:fullRef>
                    <c15:sqref>'1.'!$M$91:$M$99</c15:sqref>
                  </c15:fullRef>
                </c:ext>
              </c:extLst>
              <c:f>'1.'!$M$93:$M$99</c:f>
              <c:numCache>
                <c:formatCode>0.00E+00</c:formatCode>
                <c:ptCount val="7"/>
                <c:pt idx="0">
                  <c:v>1400</c:v>
                </c:pt>
                <c:pt idx="1">
                  <c:v>352455</c:v>
                </c:pt>
                <c:pt idx="2">
                  <c:v>0</c:v>
                </c:pt>
                <c:pt idx="3">
                  <c:v>0</c:v>
                </c:pt>
                <c:pt idx="4">
                  <c:v>0</c:v>
                </c:pt>
                <c:pt idx="5">
                  <c:v>0</c:v>
                </c:pt>
                <c:pt idx="6">
                  <c:v>0</c:v>
                </c:pt>
              </c:numCache>
            </c:numRef>
          </c:val>
          <c:extLst>
            <c:ext xmlns:c16="http://schemas.microsoft.com/office/drawing/2014/chart" uri="{C3380CC4-5D6E-409C-BE32-E72D297353CC}">
              <c16:uniqueId val="{00000007-7CB1-43E2-94CC-939307418FC0}"/>
            </c:ext>
          </c:extLst>
        </c:ser>
        <c:dLbls>
          <c:showLegendKey val="0"/>
          <c:showVal val="0"/>
          <c:showCatName val="0"/>
          <c:showSerName val="0"/>
          <c:showPercent val="0"/>
          <c:showBubbleSize val="0"/>
        </c:dLbls>
        <c:gapWidth val="150"/>
        <c:overlap val="100"/>
        <c:axId val="1999623967"/>
        <c:axId val="1999628543"/>
      </c:barChart>
      <c:catAx>
        <c:axId val="1999623967"/>
        <c:scaling>
          <c:orientation val="minMax"/>
        </c:scaling>
        <c:delete val="0"/>
        <c:axPos val="b"/>
        <c:numFmt formatCode="General" sourceLinked="1"/>
        <c:majorTickMark val="none"/>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venir Next LT Pro" panose="020B0504020202020204" pitchFamily="34" charset="0"/>
                <a:ea typeface="+mn-ea"/>
                <a:cs typeface="+mn-cs"/>
              </a:defRPr>
            </a:pPr>
            <a:endParaRPr lang="nl-NL"/>
          </a:p>
        </c:txPr>
        <c:crossAx val="1999628543"/>
        <c:crosses val="autoZero"/>
        <c:auto val="1"/>
        <c:lblAlgn val="ctr"/>
        <c:lblOffset val="100"/>
        <c:noMultiLvlLbl val="0"/>
      </c:catAx>
      <c:valAx>
        <c:axId val="1999628543"/>
        <c:scaling>
          <c:orientation val="minMax"/>
        </c:scaling>
        <c:delete val="0"/>
        <c:axPos val="l"/>
        <c:title>
          <c:tx>
            <c:rich>
              <a:bodyPr rot="-5400000" spcFirstLastPara="1" vertOverflow="ellipsis" vert="horz" wrap="square" anchor="ctr" anchorCtr="1"/>
              <a:lstStyle/>
              <a:p>
                <a:pPr>
                  <a:defRPr sz="900" b="1" i="0" u="none" strike="noStrike" kern="1200" baseline="0">
                    <a:solidFill>
                      <a:sysClr val="windowText" lastClr="000000"/>
                    </a:solidFill>
                    <a:latin typeface="Avenir Next LT Pro" panose="020B0504020202020204" pitchFamily="34" charset="0"/>
                    <a:ea typeface="+mn-ea"/>
                    <a:cs typeface="+mn-cs"/>
                  </a:defRPr>
                </a:pPr>
                <a:r>
                  <a:rPr lang="en-US" b="1"/>
                  <a:t>ton</a:t>
                </a:r>
              </a:p>
            </c:rich>
          </c:tx>
          <c:overlay val="0"/>
          <c:spPr>
            <a:noFill/>
            <a:ln>
              <a:noFill/>
            </a:ln>
            <a:effectLst/>
          </c:spPr>
        </c:title>
        <c:numFmt formatCode="0.00E+00" sourceLinked="1"/>
        <c:majorTickMark val="none"/>
        <c:minorTickMark val="none"/>
        <c:tickLblPos val="nextTo"/>
        <c:spPr>
          <a:noFill/>
          <a:ln>
            <a:solidFill>
              <a:schemeClr val="tx1"/>
            </a:solid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venir Next LT Pro" panose="020B0504020202020204" pitchFamily="34" charset="0"/>
                <a:ea typeface="+mn-ea"/>
                <a:cs typeface="+mn-cs"/>
              </a:defRPr>
            </a:pPr>
            <a:endParaRPr lang="nl-NL"/>
          </a:p>
        </c:txPr>
        <c:crossAx val="1999623967"/>
        <c:crosses val="autoZero"/>
        <c:crossBetween val="between"/>
      </c:valAx>
    </c:plotArea>
    <c:legend>
      <c:legendPos val="r"/>
      <c:layout>
        <c:manualLayout>
          <c:xMode val="edge"/>
          <c:yMode val="edge"/>
          <c:x val="0.69065243186704361"/>
          <c:y val="0.14506794548749763"/>
          <c:w val="0.28035627784704742"/>
          <c:h val="0.45505011452308869"/>
        </c:manualLayout>
      </c:layout>
      <c:overlay val="0"/>
    </c:legend>
    <c:plotVisOnly val="1"/>
    <c:dispBlanksAs val="gap"/>
    <c:showDLblsOverMax val="0"/>
    <c:extLst/>
  </c:chart>
  <c:spPr>
    <a:solidFill>
      <a:schemeClr val="bg1"/>
    </a:solidFill>
    <a:ln w="9525" cap="flat" cmpd="sng" algn="ctr">
      <a:noFill/>
      <a:round/>
    </a:ln>
    <a:effectLst/>
  </c:spPr>
  <c:txPr>
    <a:bodyPr/>
    <a:lstStyle/>
    <a:p>
      <a:pPr>
        <a:defRPr sz="900">
          <a:solidFill>
            <a:sysClr val="windowText" lastClr="000000"/>
          </a:solidFill>
          <a:latin typeface="Avenir Next LT Pro" panose="020B0504020202020204" pitchFamily="34" charset="0"/>
        </a:defRPr>
      </a:pPr>
      <a:endParaRPr lang="nl-NL"/>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80" b="0" i="0" u="none" strike="noStrike" kern="1200" spc="0" baseline="0">
                <a:solidFill>
                  <a:sysClr val="windowText" lastClr="000000"/>
                </a:solidFill>
                <a:latin typeface="Avenir Next LT Pro" panose="020B0504020202020204" pitchFamily="34" charset="0"/>
                <a:ea typeface="+mn-ea"/>
                <a:cs typeface="+mn-cs"/>
              </a:defRPr>
            </a:pPr>
            <a:r>
              <a:rPr lang="en-US" sz="900" b="1" baseline="0"/>
              <a:t>In-use stocks of metals per sector, the Netherlands, ca. 2020</a:t>
            </a:r>
            <a:endParaRPr lang="en-US" sz="900" b="1"/>
          </a:p>
        </c:rich>
      </c:tx>
      <c:overlay val="0"/>
      <c:spPr>
        <a:noFill/>
        <a:ln>
          <a:noFill/>
        </a:ln>
        <a:effectLst/>
      </c:spPr>
      <c:txPr>
        <a:bodyPr rot="0" spcFirstLastPara="1" vertOverflow="ellipsis" vert="horz" wrap="square" anchor="ctr" anchorCtr="1"/>
        <a:lstStyle/>
        <a:p>
          <a:pPr>
            <a:defRPr sz="1080" b="0" i="0" u="none" strike="noStrike" kern="1200" spc="0" baseline="0">
              <a:solidFill>
                <a:sysClr val="windowText" lastClr="000000"/>
              </a:solidFill>
              <a:latin typeface="Avenir Next LT Pro" panose="020B0504020202020204" pitchFamily="34" charset="0"/>
              <a:ea typeface="+mn-ea"/>
              <a:cs typeface="+mn-cs"/>
            </a:defRPr>
          </a:pPr>
          <a:endParaRPr lang="en-US"/>
        </a:p>
      </c:txPr>
    </c:title>
    <c:autoTitleDeleted val="0"/>
    <c:plotArea>
      <c:layout>
        <c:manualLayout>
          <c:layoutTarget val="inner"/>
          <c:xMode val="edge"/>
          <c:yMode val="edge"/>
          <c:x val="0.19871769812172133"/>
          <c:y val="0.12557399824705601"/>
          <c:w val="0.72296929052316417"/>
          <c:h val="0.4206680568427556"/>
        </c:manualLayout>
      </c:layout>
      <c:barChart>
        <c:barDir val="col"/>
        <c:grouping val="stacked"/>
        <c:varyColors val="0"/>
        <c:ser>
          <c:idx val="0"/>
          <c:order val="0"/>
          <c:tx>
            <c:strRef>
              <c:f>'1.'!$N$90</c:f>
              <c:strCache>
                <c:ptCount val="1"/>
                <c:pt idx="0">
                  <c:v>Iron and steel</c:v>
                </c:pt>
              </c:strCache>
            </c:strRef>
          </c:tx>
          <c:spPr>
            <a:solidFill>
              <a:schemeClr val="tx2">
                <a:lumMod val="75000"/>
              </a:schemeClr>
            </a:solidFill>
            <a:ln>
              <a:noFill/>
            </a:ln>
            <a:effectLst/>
          </c:spPr>
          <c:invertIfNegative val="0"/>
          <c:cat>
            <c:strRef>
              <c:f>'1.'!$C$91:$E$99</c:f>
              <c:strCache>
                <c:ptCount val="9"/>
                <c:pt idx="0">
                  <c:v>Buildings</c:v>
                </c:pt>
                <c:pt idx="1">
                  <c:v>Road, rail and waterways infrastructure</c:v>
                </c:pt>
                <c:pt idx="2">
                  <c:v>Energy system</c:v>
                </c:pt>
                <c:pt idx="3">
                  <c:v>Drinking and sewage water infrastructure</c:v>
                </c:pt>
                <c:pt idx="4">
                  <c:v>Vehicles</c:v>
                </c:pt>
                <c:pt idx="5">
                  <c:v>Machinery</c:v>
                </c:pt>
                <c:pt idx="6">
                  <c:v>Textiles</c:v>
                </c:pt>
                <c:pt idx="7">
                  <c:v>Consumer electronics</c:v>
                </c:pt>
                <c:pt idx="8">
                  <c:v>Other consumer goods</c:v>
                </c:pt>
              </c:strCache>
            </c:strRef>
          </c:cat>
          <c:val>
            <c:numRef>
              <c:f>'1.'!$N$91:$N$99</c:f>
              <c:numCache>
                <c:formatCode>0.00E+00</c:formatCode>
                <c:ptCount val="9"/>
                <c:pt idx="0">
                  <c:v>98013902.496117115</c:v>
                </c:pt>
                <c:pt idx="1">
                  <c:v>21083641.768250555</c:v>
                </c:pt>
                <c:pt idx="2">
                  <c:v>3533376.9403552539</c:v>
                </c:pt>
                <c:pt idx="3">
                  <c:v>1810190</c:v>
                </c:pt>
                <c:pt idx="4">
                  <c:v>29512318.416391607</c:v>
                </c:pt>
                <c:pt idx="5">
                  <c:v>6808548.814405703</c:v>
                </c:pt>
                <c:pt idx="6">
                  <c:v>317316.12164756301</c:v>
                </c:pt>
                <c:pt idx="7">
                  <c:v>572929</c:v>
                </c:pt>
                <c:pt idx="8">
                  <c:v>2971474.1101978784</c:v>
                </c:pt>
              </c:numCache>
            </c:numRef>
          </c:val>
          <c:extLst>
            <c:ext xmlns:c16="http://schemas.microsoft.com/office/drawing/2014/chart" uri="{C3380CC4-5D6E-409C-BE32-E72D297353CC}">
              <c16:uniqueId val="{00000006-0255-4C39-8196-76773F74346A}"/>
            </c:ext>
          </c:extLst>
        </c:ser>
        <c:ser>
          <c:idx val="1"/>
          <c:order val="1"/>
          <c:tx>
            <c:strRef>
              <c:f>'1.'!$O$90</c:f>
              <c:strCache>
                <c:ptCount val="1"/>
                <c:pt idx="0">
                  <c:v>Copper</c:v>
                </c:pt>
              </c:strCache>
            </c:strRef>
          </c:tx>
          <c:spPr>
            <a:solidFill>
              <a:srgbClr val="C00000"/>
            </a:solidFill>
            <a:ln>
              <a:noFill/>
            </a:ln>
            <a:effectLst/>
          </c:spPr>
          <c:invertIfNegative val="0"/>
          <c:cat>
            <c:strRef>
              <c:f>'1.'!$C$91:$E$99</c:f>
              <c:strCache>
                <c:ptCount val="9"/>
                <c:pt idx="0">
                  <c:v>Buildings</c:v>
                </c:pt>
                <c:pt idx="1">
                  <c:v>Road, rail and waterways infrastructure</c:v>
                </c:pt>
                <c:pt idx="2">
                  <c:v>Energy system</c:v>
                </c:pt>
                <c:pt idx="3">
                  <c:v>Drinking and sewage water infrastructure</c:v>
                </c:pt>
                <c:pt idx="4">
                  <c:v>Vehicles</c:v>
                </c:pt>
                <c:pt idx="5">
                  <c:v>Machinery</c:v>
                </c:pt>
                <c:pt idx="6">
                  <c:v>Textiles</c:v>
                </c:pt>
                <c:pt idx="7">
                  <c:v>Consumer electronics</c:v>
                </c:pt>
                <c:pt idx="8">
                  <c:v>Other consumer goods</c:v>
                </c:pt>
              </c:strCache>
            </c:strRef>
          </c:cat>
          <c:val>
            <c:numRef>
              <c:f>'1.'!$O$91:$O$99</c:f>
              <c:numCache>
                <c:formatCode>0.00E+00</c:formatCode>
                <c:ptCount val="9"/>
                <c:pt idx="0">
                  <c:v>643410.30950136646</c:v>
                </c:pt>
                <c:pt idx="1">
                  <c:v>32634.836593877462</c:v>
                </c:pt>
                <c:pt idx="2">
                  <c:v>335383.28568021767</c:v>
                </c:pt>
                <c:pt idx="3">
                  <c:v>0</c:v>
                </c:pt>
                <c:pt idx="4">
                  <c:v>1246979.5091160736</c:v>
                </c:pt>
                <c:pt idx="5">
                  <c:v>255176.82904611962</c:v>
                </c:pt>
                <c:pt idx="6">
                  <c:v>0</c:v>
                </c:pt>
                <c:pt idx="7">
                  <c:v>49831</c:v>
                </c:pt>
                <c:pt idx="8">
                  <c:v>0</c:v>
                </c:pt>
              </c:numCache>
            </c:numRef>
          </c:val>
          <c:extLst>
            <c:ext xmlns:c16="http://schemas.microsoft.com/office/drawing/2014/chart" uri="{C3380CC4-5D6E-409C-BE32-E72D297353CC}">
              <c16:uniqueId val="{00000008-0255-4C39-8196-76773F74346A}"/>
            </c:ext>
          </c:extLst>
        </c:ser>
        <c:ser>
          <c:idx val="2"/>
          <c:order val="2"/>
          <c:tx>
            <c:strRef>
              <c:f>'1.'!$P$90</c:f>
              <c:strCache>
                <c:ptCount val="1"/>
                <c:pt idx="0">
                  <c:v>Aluminium</c:v>
                </c:pt>
              </c:strCache>
            </c:strRef>
          </c:tx>
          <c:spPr>
            <a:solidFill>
              <a:schemeClr val="accent1">
                <a:lumMod val="60000"/>
                <a:lumOff val="40000"/>
              </a:schemeClr>
            </a:solidFill>
            <a:ln>
              <a:noFill/>
            </a:ln>
            <a:effectLst/>
          </c:spPr>
          <c:invertIfNegative val="0"/>
          <c:cat>
            <c:strRef>
              <c:f>'1.'!$C$91:$E$99</c:f>
              <c:strCache>
                <c:ptCount val="9"/>
                <c:pt idx="0">
                  <c:v>Buildings</c:v>
                </c:pt>
                <c:pt idx="1">
                  <c:v>Road, rail and waterways infrastructure</c:v>
                </c:pt>
                <c:pt idx="2">
                  <c:v>Energy system</c:v>
                </c:pt>
                <c:pt idx="3">
                  <c:v>Drinking and sewage water infrastructure</c:v>
                </c:pt>
                <c:pt idx="4">
                  <c:v>Vehicles</c:v>
                </c:pt>
                <c:pt idx="5">
                  <c:v>Machinery</c:v>
                </c:pt>
                <c:pt idx="6">
                  <c:v>Textiles</c:v>
                </c:pt>
                <c:pt idx="7">
                  <c:v>Consumer electronics</c:v>
                </c:pt>
                <c:pt idx="8">
                  <c:v>Other consumer goods</c:v>
                </c:pt>
              </c:strCache>
            </c:strRef>
          </c:cat>
          <c:val>
            <c:numRef>
              <c:f>'1.'!$P$91:$P$99</c:f>
              <c:numCache>
                <c:formatCode>0.00E+00</c:formatCode>
                <c:ptCount val="9"/>
                <c:pt idx="0">
                  <c:v>2529591.9038370601</c:v>
                </c:pt>
                <c:pt idx="1">
                  <c:v>56091.089926877466</c:v>
                </c:pt>
                <c:pt idx="2">
                  <c:v>637549.06491318822</c:v>
                </c:pt>
                <c:pt idx="3">
                  <c:v>0</c:v>
                </c:pt>
                <c:pt idx="4">
                  <c:v>1206032.7958518581</c:v>
                </c:pt>
                <c:pt idx="5">
                  <c:v>152719.91613608296</c:v>
                </c:pt>
                <c:pt idx="6">
                  <c:v>0</c:v>
                </c:pt>
                <c:pt idx="7">
                  <c:v>70543</c:v>
                </c:pt>
                <c:pt idx="8">
                  <c:v>228337.44744034417</c:v>
                </c:pt>
              </c:numCache>
            </c:numRef>
          </c:val>
          <c:extLst>
            <c:ext xmlns:c16="http://schemas.microsoft.com/office/drawing/2014/chart" uri="{C3380CC4-5D6E-409C-BE32-E72D297353CC}">
              <c16:uniqueId val="{0000000A-0255-4C39-8196-76773F74346A}"/>
            </c:ext>
          </c:extLst>
        </c:ser>
        <c:ser>
          <c:idx val="3"/>
          <c:order val="3"/>
          <c:tx>
            <c:strRef>
              <c:f>'1.'!$T$90</c:f>
              <c:strCache>
                <c:ptCount val="1"/>
                <c:pt idx="0">
                  <c:v>Other metals (non critical)</c:v>
                </c:pt>
              </c:strCache>
            </c:strRef>
          </c:tx>
          <c:spPr>
            <a:solidFill>
              <a:srgbClr val="9F70C2"/>
            </a:solidFill>
            <a:ln>
              <a:noFill/>
            </a:ln>
            <a:effectLst/>
          </c:spPr>
          <c:invertIfNegative val="0"/>
          <c:cat>
            <c:strRef>
              <c:f>'1.'!$C$91:$E$99</c:f>
              <c:strCache>
                <c:ptCount val="9"/>
                <c:pt idx="0">
                  <c:v>Buildings</c:v>
                </c:pt>
                <c:pt idx="1">
                  <c:v>Road, rail and waterways infrastructure</c:v>
                </c:pt>
                <c:pt idx="2">
                  <c:v>Energy system</c:v>
                </c:pt>
                <c:pt idx="3">
                  <c:v>Drinking and sewage water infrastructure</c:v>
                </c:pt>
                <c:pt idx="4">
                  <c:v>Vehicles</c:v>
                </c:pt>
                <c:pt idx="5">
                  <c:v>Machinery</c:v>
                </c:pt>
                <c:pt idx="6">
                  <c:v>Textiles</c:v>
                </c:pt>
                <c:pt idx="7">
                  <c:v>Consumer electronics</c:v>
                </c:pt>
                <c:pt idx="8">
                  <c:v>Other consumer goods</c:v>
                </c:pt>
              </c:strCache>
            </c:strRef>
          </c:cat>
          <c:val>
            <c:numRef>
              <c:f>'1.'!$T$91:$T$99</c:f>
              <c:numCache>
                <c:formatCode>0.00E+00</c:formatCode>
                <c:ptCount val="9"/>
                <c:pt idx="0">
                  <c:v>1892111.3646455107</c:v>
                </c:pt>
                <c:pt idx="1">
                  <c:v>67374.352624148043</c:v>
                </c:pt>
                <c:pt idx="2">
                  <c:v>14200</c:v>
                </c:pt>
                <c:pt idx="3">
                  <c:v>0</c:v>
                </c:pt>
                <c:pt idx="4">
                  <c:v>300.45048837453896</c:v>
                </c:pt>
                <c:pt idx="5">
                  <c:v>21667.898665229579</c:v>
                </c:pt>
                <c:pt idx="6">
                  <c:v>5989.5768907909996</c:v>
                </c:pt>
                <c:pt idx="7">
                  <c:v>0</c:v>
                </c:pt>
                <c:pt idx="8">
                  <c:v>226248.18657938504</c:v>
                </c:pt>
              </c:numCache>
            </c:numRef>
          </c:val>
          <c:extLst>
            <c:ext xmlns:c16="http://schemas.microsoft.com/office/drawing/2014/chart" uri="{C3380CC4-5D6E-409C-BE32-E72D297353CC}">
              <c16:uniqueId val="{0000000C-0255-4C39-8196-76773F74346A}"/>
            </c:ext>
          </c:extLst>
        </c:ser>
        <c:dLbls>
          <c:showLegendKey val="0"/>
          <c:showVal val="0"/>
          <c:showCatName val="0"/>
          <c:showSerName val="0"/>
          <c:showPercent val="0"/>
          <c:showBubbleSize val="0"/>
        </c:dLbls>
        <c:gapWidth val="80"/>
        <c:overlap val="100"/>
        <c:axId val="641159087"/>
        <c:axId val="641151183"/>
        <c:extLst>
          <c:ext xmlns:c15="http://schemas.microsoft.com/office/drawing/2012/chart" uri="{02D57815-91ED-43cb-92C2-25804820EDAC}">
            <c15:filteredBarSeries>
              <c15:ser>
                <c:idx val="5"/>
                <c:order val="4"/>
                <c:tx>
                  <c:strRef>
                    <c:extLst>
                      <c:ext uri="{02D57815-91ED-43cb-92C2-25804820EDAC}">
                        <c15:formulaRef>
                          <c15:sqref>'1.'!$Q$90</c15:sqref>
                        </c15:formulaRef>
                      </c:ext>
                    </c:extLst>
                    <c:strCache>
                      <c:ptCount val="1"/>
                      <c:pt idx="0">
                        <c:v>Zinc</c:v>
                      </c:pt>
                    </c:strCache>
                  </c:strRef>
                </c:tx>
                <c:spPr>
                  <a:solidFill>
                    <a:srgbClr val="6FDFB2"/>
                  </a:solidFill>
                  <a:ln>
                    <a:noFill/>
                  </a:ln>
                  <a:effectLst/>
                </c:spPr>
                <c:invertIfNegative val="0"/>
                <c:cat>
                  <c:strRef>
                    <c:extLst>
                      <c:ext uri="{02D57815-91ED-43cb-92C2-25804820EDAC}">
                        <c15:formulaRef>
                          <c15:sqref>'1.'!$C$91:$E$99</c15:sqref>
                        </c15:formulaRef>
                      </c:ext>
                    </c:extLst>
                    <c:strCache>
                      <c:ptCount val="9"/>
                      <c:pt idx="0">
                        <c:v>Buildings</c:v>
                      </c:pt>
                      <c:pt idx="1">
                        <c:v>Road, rail and waterways infrastructure</c:v>
                      </c:pt>
                      <c:pt idx="2">
                        <c:v>Energy system</c:v>
                      </c:pt>
                      <c:pt idx="3">
                        <c:v>Drinking and sewage water infrastructure</c:v>
                      </c:pt>
                      <c:pt idx="4">
                        <c:v>Vehicles</c:v>
                      </c:pt>
                      <c:pt idx="5">
                        <c:v>Machinery</c:v>
                      </c:pt>
                      <c:pt idx="6">
                        <c:v>Textiles</c:v>
                      </c:pt>
                      <c:pt idx="7">
                        <c:v>Consumer electronics</c:v>
                      </c:pt>
                      <c:pt idx="8">
                        <c:v>Other consumer goods</c:v>
                      </c:pt>
                    </c:strCache>
                  </c:strRef>
                </c:cat>
                <c:val>
                  <c:numRef>
                    <c:extLst>
                      <c:ext uri="{02D57815-91ED-43cb-92C2-25804820EDAC}">
                        <c15:formulaRef>
                          <c15:sqref>'1.'!$Q$91:$Q$99</c15:sqref>
                        </c15:formulaRef>
                      </c:ext>
                    </c:extLst>
                    <c:numCache>
                      <c:formatCode>0.00E+00</c:formatCode>
                      <c:ptCount val="9"/>
                      <c:pt idx="0">
                        <c:v>0</c:v>
                      </c:pt>
                      <c:pt idx="1">
                        <c:v>5.7429999999999994</c:v>
                      </c:pt>
                      <c:pt idx="2">
                        <c:v>11.191312197738323</c:v>
                      </c:pt>
                      <c:pt idx="3">
                        <c:v>0</c:v>
                      </c:pt>
                      <c:pt idx="4">
                        <c:v>2143.433928645748</c:v>
                      </c:pt>
                      <c:pt idx="5">
                        <c:v>4835.9567270371099</c:v>
                      </c:pt>
                      <c:pt idx="6">
                        <c:v>0</c:v>
                      </c:pt>
                      <c:pt idx="7">
                        <c:v>0</c:v>
                      </c:pt>
                      <c:pt idx="8">
                        <c:v>0</c:v>
                      </c:pt>
                    </c:numCache>
                  </c:numRef>
                </c:val>
                <c:extLst>
                  <c:ext xmlns:c16="http://schemas.microsoft.com/office/drawing/2014/chart" uri="{C3380CC4-5D6E-409C-BE32-E72D297353CC}">
                    <c16:uniqueId val="{00000000-CC62-447A-919C-F8BA83D94D43}"/>
                  </c:ext>
                </c:extLst>
              </c15:ser>
            </c15:filteredBarSeries>
            <c15:filteredBarSeries>
              <c15:ser>
                <c:idx val="6"/>
                <c:order val="5"/>
                <c:tx>
                  <c:strRef>
                    <c:extLst xmlns:c15="http://schemas.microsoft.com/office/drawing/2012/chart">
                      <c:ext xmlns:c15="http://schemas.microsoft.com/office/drawing/2012/chart" uri="{02D57815-91ED-43cb-92C2-25804820EDAC}">
                        <c15:formulaRef>
                          <c15:sqref>'1.'!$R$90</c15:sqref>
                        </c15:formulaRef>
                      </c:ext>
                    </c:extLst>
                    <c:strCache>
                      <c:ptCount val="1"/>
                      <c:pt idx="0">
                        <c:v>Lead</c:v>
                      </c:pt>
                    </c:strCache>
                  </c:strRef>
                </c:tx>
                <c:spPr>
                  <a:solidFill>
                    <a:srgbClr val="E3E385"/>
                  </a:solidFill>
                  <a:ln>
                    <a:noFill/>
                  </a:ln>
                  <a:effectLst/>
                </c:spPr>
                <c:invertIfNegative val="0"/>
                <c:cat>
                  <c:strRef>
                    <c:extLst xmlns:c15="http://schemas.microsoft.com/office/drawing/2012/chart">
                      <c:ext xmlns:c15="http://schemas.microsoft.com/office/drawing/2012/chart" uri="{02D57815-91ED-43cb-92C2-25804820EDAC}">
                        <c15:formulaRef>
                          <c15:sqref>'1.'!$C$91:$E$99</c15:sqref>
                        </c15:formulaRef>
                      </c:ext>
                    </c:extLst>
                    <c:strCache>
                      <c:ptCount val="9"/>
                      <c:pt idx="0">
                        <c:v>Buildings</c:v>
                      </c:pt>
                      <c:pt idx="1">
                        <c:v>Road, rail and waterways infrastructure</c:v>
                      </c:pt>
                      <c:pt idx="2">
                        <c:v>Energy system</c:v>
                      </c:pt>
                      <c:pt idx="3">
                        <c:v>Drinking and sewage water infrastructure</c:v>
                      </c:pt>
                      <c:pt idx="4">
                        <c:v>Vehicles</c:v>
                      </c:pt>
                      <c:pt idx="5">
                        <c:v>Machinery</c:v>
                      </c:pt>
                      <c:pt idx="6">
                        <c:v>Textiles</c:v>
                      </c:pt>
                      <c:pt idx="7">
                        <c:v>Consumer electronics</c:v>
                      </c:pt>
                      <c:pt idx="8">
                        <c:v>Other consumer goods</c:v>
                      </c:pt>
                    </c:strCache>
                  </c:strRef>
                </c:cat>
                <c:val>
                  <c:numRef>
                    <c:extLst xmlns:c15="http://schemas.microsoft.com/office/drawing/2012/chart">
                      <c:ext xmlns:c15="http://schemas.microsoft.com/office/drawing/2012/chart" uri="{02D57815-91ED-43cb-92C2-25804820EDAC}">
                        <c15:formulaRef>
                          <c15:sqref>'1.'!$R$91:$R$99</c15:sqref>
                        </c15:formulaRef>
                      </c:ext>
                    </c:extLst>
                    <c:numCache>
                      <c:formatCode>0.00E+00</c:formatCode>
                      <c:ptCount val="9"/>
                      <c:pt idx="0">
                        <c:v>0</c:v>
                      </c:pt>
                      <c:pt idx="1">
                        <c:v>0</c:v>
                      </c:pt>
                      <c:pt idx="2">
                        <c:v>324410.69169525406</c:v>
                      </c:pt>
                      <c:pt idx="3">
                        <c:v>0</c:v>
                      </c:pt>
                      <c:pt idx="4">
                        <c:v>1994.0858183643245</c:v>
                      </c:pt>
                      <c:pt idx="5">
                        <c:v>15619.4023439555</c:v>
                      </c:pt>
                      <c:pt idx="6">
                        <c:v>0</c:v>
                      </c:pt>
                      <c:pt idx="7">
                        <c:v>0</c:v>
                      </c:pt>
                      <c:pt idx="8">
                        <c:v>0</c:v>
                      </c:pt>
                    </c:numCache>
                  </c:numRef>
                </c:val>
                <c:extLst xmlns:c15="http://schemas.microsoft.com/office/drawing/2012/chart">
                  <c:ext xmlns:c16="http://schemas.microsoft.com/office/drawing/2014/chart" uri="{C3380CC4-5D6E-409C-BE32-E72D297353CC}">
                    <c16:uniqueId val="{00000001-CC62-447A-919C-F8BA83D94D43}"/>
                  </c:ext>
                </c:extLst>
              </c15:ser>
            </c15:filteredBarSeries>
            <c15:filteredBarSeries>
              <c15:ser>
                <c:idx val="4"/>
                <c:order val="6"/>
                <c:tx>
                  <c:strRef>
                    <c:extLst xmlns:c15="http://schemas.microsoft.com/office/drawing/2012/chart">
                      <c:ext xmlns:c15="http://schemas.microsoft.com/office/drawing/2012/chart" uri="{02D57815-91ED-43cb-92C2-25804820EDAC}">
                        <c15:formulaRef>
                          <c15:sqref>'1.'!$S$90</c15:sqref>
                        </c15:formulaRef>
                      </c:ext>
                    </c:extLst>
                    <c:strCache>
                      <c:ptCount val="1"/>
                      <c:pt idx="0">
                        <c:v>Alloying elements (non critical)</c:v>
                      </c:pt>
                    </c:strCache>
                  </c:strRef>
                </c:tx>
                <c:spPr>
                  <a:solidFill>
                    <a:schemeClr val="accent5"/>
                  </a:solidFill>
                  <a:ln>
                    <a:noFill/>
                  </a:ln>
                  <a:effectLst/>
                </c:spPr>
                <c:invertIfNegative val="0"/>
                <c:cat>
                  <c:strRef>
                    <c:extLst xmlns:c15="http://schemas.microsoft.com/office/drawing/2012/chart">
                      <c:ext xmlns:c15="http://schemas.microsoft.com/office/drawing/2012/chart" uri="{02D57815-91ED-43cb-92C2-25804820EDAC}">
                        <c15:formulaRef>
                          <c15:sqref>'1.'!$C$91:$E$99</c15:sqref>
                        </c15:formulaRef>
                      </c:ext>
                    </c:extLst>
                    <c:strCache>
                      <c:ptCount val="9"/>
                      <c:pt idx="0">
                        <c:v>Buildings</c:v>
                      </c:pt>
                      <c:pt idx="1">
                        <c:v>Road, rail and waterways infrastructure</c:v>
                      </c:pt>
                      <c:pt idx="2">
                        <c:v>Energy system</c:v>
                      </c:pt>
                      <c:pt idx="3">
                        <c:v>Drinking and sewage water infrastructure</c:v>
                      </c:pt>
                      <c:pt idx="4">
                        <c:v>Vehicles</c:v>
                      </c:pt>
                      <c:pt idx="5">
                        <c:v>Machinery</c:v>
                      </c:pt>
                      <c:pt idx="6">
                        <c:v>Textiles</c:v>
                      </c:pt>
                      <c:pt idx="7">
                        <c:v>Consumer electronics</c:v>
                      </c:pt>
                      <c:pt idx="8">
                        <c:v>Other consumer goods</c:v>
                      </c:pt>
                    </c:strCache>
                  </c:strRef>
                </c:cat>
                <c:val>
                  <c:numRef>
                    <c:extLst xmlns:c15="http://schemas.microsoft.com/office/drawing/2012/chart">
                      <c:ext xmlns:c15="http://schemas.microsoft.com/office/drawing/2012/chart" uri="{02D57815-91ED-43cb-92C2-25804820EDAC}">
                        <c15:formulaRef>
                          <c15:sqref>'1.'!$S$91:$S$99</c15:sqref>
                        </c15:formulaRef>
                      </c:ext>
                    </c:extLst>
                    <c:numCache>
                      <c:formatCode>0.00E+00</c:formatCode>
                      <c:ptCount val="9"/>
                      <c:pt idx="0">
                        <c:v>0</c:v>
                      </c:pt>
                      <c:pt idx="1">
                        <c:v>0</c:v>
                      </c:pt>
                      <c:pt idx="2">
                        <c:v>3281.6674836986404</c:v>
                      </c:pt>
                      <c:pt idx="3">
                        <c:v>0</c:v>
                      </c:pt>
                      <c:pt idx="4">
                        <c:v>106434.84095270773</c:v>
                      </c:pt>
                      <c:pt idx="5">
                        <c:v>0</c:v>
                      </c:pt>
                      <c:pt idx="6">
                        <c:v>0</c:v>
                      </c:pt>
                      <c:pt idx="7">
                        <c:v>27562</c:v>
                      </c:pt>
                      <c:pt idx="8">
                        <c:v>0</c:v>
                      </c:pt>
                    </c:numCache>
                  </c:numRef>
                </c:val>
                <c:extLst xmlns:c15="http://schemas.microsoft.com/office/drawing/2012/chart">
                  <c:ext xmlns:c16="http://schemas.microsoft.com/office/drawing/2014/chart" uri="{C3380CC4-5D6E-409C-BE32-E72D297353CC}">
                    <c16:uniqueId val="{00000000-D812-46B8-99DF-92A16475C893}"/>
                  </c:ext>
                </c:extLst>
              </c15:ser>
            </c15:filteredBarSeries>
            <c15:filteredBarSeries>
              <c15:ser>
                <c:idx val="7"/>
                <c:order val="7"/>
                <c:tx>
                  <c:v>Legeringselementen</c:v>
                </c:tx>
                <c:spPr>
                  <a:solidFill>
                    <a:schemeClr val="accent1">
                      <a:lumMod val="75000"/>
                    </a:schemeClr>
                  </a:solidFill>
                  <a:ln>
                    <a:noFill/>
                  </a:ln>
                  <a:effectLst/>
                </c:spPr>
                <c:invertIfNegative val="0"/>
                <c:cat>
                  <c:strRef>
                    <c:extLst xmlns:c15="http://schemas.microsoft.com/office/drawing/2012/chart">
                      <c:ext xmlns:c15="http://schemas.microsoft.com/office/drawing/2012/chart" uri="{02D57815-91ED-43cb-92C2-25804820EDAC}">
                        <c15:formulaRef>
                          <c15:sqref>'1.'!$C$91:$E$99</c15:sqref>
                        </c15:formulaRef>
                      </c:ext>
                    </c:extLst>
                    <c:strCache>
                      <c:ptCount val="9"/>
                      <c:pt idx="0">
                        <c:v>Buildings</c:v>
                      </c:pt>
                      <c:pt idx="1">
                        <c:v>Road, rail and waterways infrastructure</c:v>
                      </c:pt>
                      <c:pt idx="2">
                        <c:v>Energy system</c:v>
                      </c:pt>
                      <c:pt idx="3">
                        <c:v>Drinking and sewage water infrastructure</c:v>
                      </c:pt>
                      <c:pt idx="4">
                        <c:v>Vehicles</c:v>
                      </c:pt>
                      <c:pt idx="5">
                        <c:v>Machinery</c:v>
                      </c:pt>
                      <c:pt idx="6">
                        <c:v>Textiles</c:v>
                      </c:pt>
                      <c:pt idx="7">
                        <c:v>Consumer electronics</c:v>
                      </c:pt>
                      <c:pt idx="8">
                        <c:v>Other consumer goods</c:v>
                      </c:pt>
                    </c:strCache>
                  </c:strRef>
                </c:cat>
                <c:val>
                  <c:numRef>
                    <c:extLst xmlns:c15="http://schemas.microsoft.com/office/drawing/2012/chart">
                      <c:ext xmlns:c15="http://schemas.microsoft.com/office/drawing/2012/chart" uri="{02D57815-91ED-43cb-92C2-25804820EDAC}">
                        <c15:formulaRef>
                          <c15:sqref>'1.'!$DD$91:$DD$99</c15:sqref>
                        </c15:formulaRef>
                      </c:ext>
                    </c:extLst>
                    <c:numCache>
                      <c:formatCode>General</c:formatCode>
                      <c:ptCount val="9"/>
                    </c:numCache>
                  </c:numRef>
                </c:val>
                <c:extLst xmlns:c15="http://schemas.microsoft.com/office/drawing/2012/chart">
                  <c:ext xmlns:c16="http://schemas.microsoft.com/office/drawing/2014/chart" uri="{C3380CC4-5D6E-409C-BE32-E72D297353CC}">
                    <c16:uniqueId val="{00000001-96BF-405A-94F4-44CA0238F40F}"/>
                  </c:ext>
                </c:extLst>
              </c15:ser>
            </c15:filteredBarSeries>
          </c:ext>
        </c:extLst>
      </c:barChart>
      <c:catAx>
        <c:axId val="641159087"/>
        <c:scaling>
          <c:orientation val="minMax"/>
        </c:scaling>
        <c:delete val="0"/>
        <c:axPos val="b"/>
        <c:numFmt formatCode="General" sourceLinked="1"/>
        <c:majorTickMark val="none"/>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venir Next LT Pro" panose="020B0504020202020204" pitchFamily="34" charset="0"/>
                <a:ea typeface="+mn-ea"/>
                <a:cs typeface="+mn-cs"/>
              </a:defRPr>
            </a:pPr>
            <a:endParaRPr lang="nl-NL"/>
          </a:p>
        </c:txPr>
        <c:crossAx val="641151183"/>
        <c:crosses val="autoZero"/>
        <c:auto val="1"/>
        <c:lblAlgn val="ctr"/>
        <c:lblOffset val="100"/>
        <c:noMultiLvlLbl val="0"/>
      </c:catAx>
      <c:valAx>
        <c:axId val="641151183"/>
        <c:scaling>
          <c:orientation val="minMax"/>
        </c:scaling>
        <c:delete val="0"/>
        <c:axPos val="l"/>
        <c:title>
          <c:tx>
            <c:rich>
              <a:bodyPr rot="-5400000" spcFirstLastPara="1" vertOverflow="ellipsis" vert="horz" wrap="square" anchor="ctr" anchorCtr="1"/>
              <a:lstStyle/>
              <a:p>
                <a:pPr>
                  <a:defRPr sz="900" b="1" i="0" u="none" strike="noStrike" kern="1200" baseline="0">
                    <a:solidFill>
                      <a:sysClr val="windowText" lastClr="000000"/>
                    </a:solidFill>
                    <a:latin typeface="Avenir Next LT Pro" panose="020B0504020202020204" pitchFamily="34" charset="0"/>
                    <a:ea typeface="+mn-ea"/>
                    <a:cs typeface="+mn-cs"/>
                  </a:defRPr>
                </a:pPr>
                <a:r>
                  <a:rPr lang="en-US" b="1"/>
                  <a:t>ton</a:t>
                </a:r>
              </a:p>
            </c:rich>
          </c:tx>
          <c:overlay val="0"/>
          <c:spPr>
            <a:noFill/>
            <a:ln>
              <a:noFill/>
            </a:ln>
            <a:effectLst/>
          </c:spPr>
          <c:txPr>
            <a:bodyPr rot="-5400000" spcFirstLastPara="1" vertOverflow="ellipsis" vert="horz" wrap="square" anchor="ctr" anchorCtr="1"/>
            <a:lstStyle/>
            <a:p>
              <a:pPr>
                <a:defRPr sz="900" b="1" i="0" u="none" strike="noStrike" kern="1200" baseline="0">
                  <a:solidFill>
                    <a:sysClr val="windowText" lastClr="000000"/>
                  </a:solidFill>
                  <a:latin typeface="Avenir Next LT Pro" panose="020B0504020202020204" pitchFamily="34" charset="0"/>
                  <a:ea typeface="+mn-ea"/>
                  <a:cs typeface="+mn-cs"/>
                </a:defRPr>
              </a:pPr>
              <a:endParaRPr lang="nl-NL"/>
            </a:p>
          </c:txPr>
        </c:title>
        <c:numFmt formatCode="0.00E+00" sourceLinked="1"/>
        <c:majorTickMark val="none"/>
        <c:minorTickMark val="none"/>
        <c:tickLblPos val="nextTo"/>
        <c:spPr>
          <a:noFill/>
          <a:ln>
            <a:solidFill>
              <a:schemeClr val="tx1"/>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venir Next LT Pro" panose="020B0504020202020204" pitchFamily="34" charset="0"/>
                <a:ea typeface="+mn-ea"/>
                <a:cs typeface="+mn-cs"/>
              </a:defRPr>
            </a:pPr>
            <a:endParaRPr lang="nl-NL"/>
          </a:p>
        </c:txPr>
        <c:crossAx val="641159087"/>
        <c:crosses val="autoZero"/>
        <c:crossBetween val="between"/>
      </c:valAx>
      <c:spPr>
        <a:noFill/>
        <a:ln>
          <a:noFill/>
        </a:ln>
        <a:effectLst/>
      </c:spPr>
    </c:plotArea>
    <c:legend>
      <c:legendPos val="r"/>
      <c:layout>
        <c:manualLayout>
          <c:xMode val="edge"/>
          <c:yMode val="edge"/>
          <c:x val="0.50378423789233084"/>
          <c:y val="0.12713549452209957"/>
          <c:w val="0.28905381492766463"/>
          <c:h val="0.23184448050466938"/>
        </c:manualLayout>
      </c:layout>
      <c:overlay val="0"/>
      <c:spPr>
        <a:noFill/>
        <a:ln>
          <a:solidFill>
            <a:schemeClr val="tx1"/>
          </a:solidFill>
        </a:ln>
        <a:effectLst/>
      </c:spPr>
      <c:txPr>
        <a:bodyPr rot="0" spcFirstLastPara="1" vertOverflow="ellipsis" vert="horz" wrap="square" anchor="ctr" anchorCtr="1"/>
        <a:lstStyle/>
        <a:p>
          <a:pPr>
            <a:defRPr sz="800" b="0" i="0" u="none" strike="noStrike" kern="1200" baseline="0">
              <a:solidFill>
                <a:sysClr val="windowText" lastClr="000000"/>
              </a:solidFill>
              <a:latin typeface="Avenir Next LT Pro" panose="020B0504020202020204" pitchFamily="34" charset="0"/>
              <a:ea typeface="+mn-ea"/>
              <a:cs typeface="+mn-cs"/>
            </a:defRPr>
          </a:pPr>
          <a:endParaRPr lang="nl-NL"/>
        </a:p>
      </c:txPr>
    </c:legend>
    <c:plotVisOnly val="1"/>
    <c:dispBlanksAs val="gap"/>
    <c:showDLblsOverMax val="0"/>
    <c:extLst/>
  </c:chart>
  <c:spPr>
    <a:solidFill>
      <a:schemeClr val="bg1"/>
    </a:solidFill>
    <a:ln w="9525" cap="flat" cmpd="sng" algn="ctr">
      <a:noFill/>
      <a:round/>
    </a:ln>
    <a:effectLst/>
  </c:spPr>
  <c:txPr>
    <a:bodyPr/>
    <a:lstStyle/>
    <a:p>
      <a:pPr>
        <a:defRPr sz="900">
          <a:solidFill>
            <a:sysClr val="windowText" lastClr="000000"/>
          </a:solidFill>
          <a:latin typeface="Avenir Next LT Pro" panose="020B0504020202020204" pitchFamily="34" charset="0"/>
        </a:defRPr>
      </a:pPr>
      <a:endParaRPr lang="nl-NL"/>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en-US" sz="1000"/>
              <a:t>In-use stock of biobased materials per sector,</a:t>
            </a:r>
            <a:r>
              <a:rPr lang="en-US" sz="1000" baseline="0"/>
              <a:t> the Netherlands, ca. 2020</a:t>
            </a:r>
            <a:endParaRPr lang="en-US" sz="1000"/>
          </a:p>
        </c:rich>
      </c:tx>
      <c:layout>
        <c:manualLayout>
          <c:xMode val="edge"/>
          <c:yMode val="edge"/>
          <c:x val="0.31116767676767676"/>
          <c:y val="2.5631904657387714E-2"/>
        </c:manualLayout>
      </c:layout>
      <c:overlay val="0"/>
    </c:title>
    <c:autoTitleDeleted val="0"/>
    <c:plotArea>
      <c:layout>
        <c:manualLayout>
          <c:layoutTarget val="inner"/>
          <c:xMode val="edge"/>
          <c:yMode val="edge"/>
          <c:x val="0.21371126370879964"/>
          <c:y val="3.9292388245922537E-2"/>
          <c:w val="0.72054478970571045"/>
          <c:h val="0.57730048436432568"/>
        </c:manualLayout>
      </c:layout>
      <c:barChart>
        <c:barDir val="col"/>
        <c:grouping val="stacked"/>
        <c:varyColors val="0"/>
        <c:ser>
          <c:idx val="0"/>
          <c:order val="0"/>
          <c:tx>
            <c:strRef>
              <c:f>'1.'!$U$90</c:f>
              <c:strCache>
                <c:ptCount val="1"/>
                <c:pt idx="0">
                  <c:v>Wood</c:v>
                </c:pt>
              </c:strCache>
            </c:strRef>
          </c:tx>
          <c:spPr>
            <a:solidFill>
              <a:srgbClr val="977157"/>
            </a:solidFill>
            <a:ln>
              <a:noFill/>
            </a:ln>
            <a:effectLst/>
          </c:spPr>
          <c:invertIfNegative val="0"/>
          <c:cat>
            <c:strRef>
              <c:f>'1.'!$C$91:$E$99</c:f>
              <c:strCache>
                <c:ptCount val="9"/>
                <c:pt idx="0">
                  <c:v>Buildings</c:v>
                </c:pt>
                <c:pt idx="1">
                  <c:v>Road, rail and waterways infrastructure</c:v>
                </c:pt>
                <c:pt idx="2">
                  <c:v>Energy system</c:v>
                </c:pt>
                <c:pt idx="3">
                  <c:v>Drinking and sewage water infrastructure</c:v>
                </c:pt>
                <c:pt idx="4">
                  <c:v>Vehicles</c:v>
                </c:pt>
                <c:pt idx="5">
                  <c:v>Machinery</c:v>
                </c:pt>
                <c:pt idx="6">
                  <c:v>Textiles</c:v>
                </c:pt>
                <c:pt idx="7">
                  <c:v>Consumer electronics</c:v>
                </c:pt>
                <c:pt idx="8">
                  <c:v>Other consumer goods</c:v>
                </c:pt>
              </c:strCache>
            </c:strRef>
          </c:cat>
          <c:val>
            <c:numRef>
              <c:f>'1.'!$U$91:$U$99</c:f>
              <c:numCache>
                <c:formatCode>0.00E+00</c:formatCode>
                <c:ptCount val="9"/>
                <c:pt idx="0">
                  <c:v>46958721.675927602</c:v>
                </c:pt>
                <c:pt idx="1">
                  <c:v>64234.034590877432</c:v>
                </c:pt>
                <c:pt idx="2">
                  <c:v>1555.691381722083</c:v>
                </c:pt>
                <c:pt idx="3">
                  <c:v>0</c:v>
                </c:pt>
                <c:pt idx="4">
                  <c:v>1173123.6783904766</c:v>
                </c:pt>
                <c:pt idx="5">
                  <c:v>0</c:v>
                </c:pt>
                <c:pt idx="6">
                  <c:v>0</c:v>
                </c:pt>
                <c:pt idx="7">
                  <c:v>0</c:v>
                </c:pt>
                <c:pt idx="8">
                  <c:v>1894873.9155759853</c:v>
                </c:pt>
              </c:numCache>
            </c:numRef>
          </c:val>
          <c:extLst>
            <c:ext xmlns:c16="http://schemas.microsoft.com/office/drawing/2014/chart" uri="{C3380CC4-5D6E-409C-BE32-E72D297353CC}">
              <c16:uniqueId val="{00000005-64B2-4F8B-A007-05A796691DDD}"/>
            </c:ext>
          </c:extLst>
        </c:ser>
        <c:ser>
          <c:idx val="1"/>
          <c:order val="1"/>
          <c:tx>
            <c:strRef>
              <c:f>'1.'!$V$90</c:f>
              <c:strCache>
                <c:ptCount val="1"/>
                <c:pt idx="0">
                  <c:v>Other biobased materials</c:v>
                </c:pt>
              </c:strCache>
            </c:strRef>
          </c:tx>
          <c:spPr>
            <a:solidFill>
              <a:schemeClr val="accent6">
                <a:lumMod val="75000"/>
              </a:schemeClr>
            </a:solidFill>
            <a:ln>
              <a:noFill/>
            </a:ln>
            <a:effectLst/>
          </c:spPr>
          <c:invertIfNegative val="0"/>
          <c:cat>
            <c:strRef>
              <c:f>'1.'!$C$91:$E$99</c:f>
              <c:strCache>
                <c:ptCount val="9"/>
                <c:pt idx="0">
                  <c:v>Buildings</c:v>
                </c:pt>
                <c:pt idx="1">
                  <c:v>Road, rail and waterways infrastructure</c:v>
                </c:pt>
                <c:pt idx="2">
                  <c:v>Energy system</c:v>
                </c:pt>
                <c:pt idx="3">
                  <c:v>Drinking and sewage water infrastructure</c:v>
                </c:pt>
                <c:pt idx="4">
                  <c:v>Vehicles</c:v>
                </c:pt>
                <c:pt idx="5">
                  <c:v>Machinery</c:v>
                </c:pt>
                <c:pt idx="6">
                  <c:v>Textiles</c:v>
                </c:pt>
                <c:pt idx="7">
                  <c:v>Consumer electronics</c:v>
                </c:pt>
                <c:pt idx="8">
                  <c:v>Other consumer goods</c:v>
                </c:pt>
              </c:strCache>
            </c:strRef>
          </c:cat>
          <c:val>
            <c:numRef>
              <c:f>'1.'!$V$91:$V$99</c:f>
              <c:numCache>
                <c:formatCode>0.00E+00</c:formatCode>
                <c:ptCount val="9"/>
                <c:pt idx="0">
                  <c:v>0</c:v>
                </c:pt>
                <c:pt idx="1">
                  <c:v>0</c:v>
                </c:pt>
                <c:pt idx="2">
                  <c:v>0</c:v>
                </c:pt>
                <c:pt idx="3">
                  <c:v>0</c:v>
                </c:pt>
                <c:pt idx="4">
                  <c:v>745963.06535392185</c:v>
                </c:pt>
                <c:pt idx="5">
                  <c:v>0</c:v>
                </c:pt>
                <c:pt idx="6">
                  <c:v>0</c:v>
                </c:pt>
                <c:pt idx="7">
                  <c:v>0</c:v>
                </c:pt>
                <c:pt idx="8">
                  <c:v>3557346.2527145818</c:v>
                </c:pt>
              </c:numCache>
            </c:numRef>
          </c:val>
          <c:extLst>
            <c:ext xmlns:c16="http://schemas.microsoft.com/office/drawing/2014/chart" uri="{C3380CC4-5D6E-409C-BE32-E72D297353CC}">
              <c16:uniqueId val="{00000007-64B2-4F8B-A007-05A796691DDD}"/>
            </c:ext>
          </c:extLst>
        </c:ser>
        <c:ser>
          <c:idx val="2"/>
          <c:order val="2"/>
          <c:tx>
            <c:strRef>
              <c:f>'1.'!$W$90</c:f>
              <c:strCache>
                <c:ptCount val="1"/>
                <c:pt idx="0">
                  <c:v>Textile, biobased</c:v>
                </c:pt>
              </c:strCache>
            </c:strRef>
          </c:tx>
          <c:spPr>
            <a:solidFill>
              <a:srgbClr val="90C476"/>
            </a:solidFill>
          </c:spPr>
          <c:invertIfNegative val="0"/>
          <c:cat>
            <c:strRef>
              <c:f>'1.'!$C$91:$E$99</c:f>
              <c:strCache>
                <c:ptCount val="9"/>
                <c:pt idx="0">
                  <c:v>Buildings</c:v>
                </c:pt>
                <c:pt idx="1">
                  <c:v>Road, rail and waterways infrastructure</c:v>
                </c:pt>
                <c:pt idx="2">
                  <c:v>Energy system</c:v>
                </c:pt>
                <c:pt idx="3">
                  <c:v>Drinking and sewage water infrastructure</c:v>
                </c:pt>
                <c:pt idx="4">
                  <c:v>Vehicles</c:v>
                </c:pt>
                <c:pt idx="5">
                  <c:v>Machinery</c:v>
                </c:pt>
                <c:pt idx="6">
                  <c:v>Textiles</c:v>
                </c:pt>
                <c:pt idx="7">
                  <c:v>Consumer electronics</c:v>
                </c:pt>
                <c:pt idx="8">
                  <c:v>Other consumer goods</c:v>
                </c:pt>
              </c:strCache>
            </c:strRef>
          </c:cat>
          <c:val>
            <c:numRef>
              <c:f>'1.'!$W$91:$W$99</c:f>
              <c:numCache>
                <c:formatCode>0.00E+00</c:formatCode>
                <c:ptCount val="9"/>
                <c:pt idx="0">
                  <c:v>0</c:v>
                </c:pt>
                <c:pt idx="1">
                  <c:v>0</c:v>
                </c:pt>
                <c:pt idx="2">
                  <c:v>0</c:v>
                </c:pt>
                <c:pt idx="3">
                  <c:v>0</c:v>
                </c:pt>
                <c:pt idx="4">
                  <c:v>503670.20099370828</c:v>
                </c:pt>
                <c:pt idx="5">
                  <c:v>0</c:v>
                </c:pt>
                <c:pt idx="6">
                  <c:v>1061739.5642920006</c:v>
                </c:pt>
                <c:pt idx="7">
                  <c:v>0</c:v>
                </c:pt>
                <c:pt idx="8">
                  <c:v>0</c:v>
                </c:pt>
              </c:numCache>
            </c:numRef>
          </c:val>
          <c:extLst>
            <c:ext xmlns:c16="http://schemas.microsoft.com/office/drawing/2014/chart" uri="{C3380CC4-5D6E-409C-BE32-E72D297353CC}">
              <c16:uniqueId val="{00000009-64B2-4F8B-A007-05A796691DDD}"/>
            </c:ext>
          </c:extLst>
        </c:ser>
        <c:dLbls>
          <c:showLegendKey val="0"/>
          <c:showVal val="0"/>
          <c:showCatName val="0"/>
          <c:showSerName val="0"/>
          <c:showPercent val="0"/>
          <c:showBubbleSize val="0"/>
        </c:dLbls>
        <c:gapWidth val="37"/>
        <c:overlap val="100"/>
        <c:axId val="641159087"/>
        <c:axId val="641151183"/>
      </c:barChart>
      <c:catAx>
        <c:axId val="641159087"/>
        <c:scaling>
          <c:orientation val="minMax"/>
        </c:scaling>
        <c:delete val="0"/>
        <c:axPos val="b"/>
        <c:numFmt formatCode="General" sourceLinked="1"/>
        <c:majorTickMark val="none"/>
        <c:minorTickMark val="none"/>
        <c:tickLblPos val="nextTo"/>
        <c:spPr>
          <a:noFill/>
          <a:ln w="9525" cap="flat" cmpd="sng" algn="ctr">
            <a:solidFill>
              <a:schemeClr val="tx1"/>
            </a:solidFill>
            <a:round/>
          </a:ln>
          <a:effectLst/>
        </c:spPr>
        <c:txPr>
          <a:bodyPr rot="-60000000" vert="horz"/>
          <a:lstStyle/>
          <a:p>
            <a:pPr>
              <a:defRPr/>
            </a:pPr>
            <a:endParaRPr lang="nl-NL"/>
          </a:p>
        </c:txPr>
        <c:crossAx val="641151183"/>
        <c:crosses val="autoZero"/>
        <c:auto val="1"/>
        <c:lblAlgn val="ctr"/>
        <c:lblOffset val="100"/>
        <c:noMultiLvlLbl val="0"/>
      </c:catAx>
      <c:valAx>
        <c:axId val="641151183"/>
        <c:scaling>
          <c:orientation val="minMax"/>
        </c:scaling>
        <c:delete val="0"/>
        <c:axPos val="l"/>
        <c:title>
          <c:tx>
            <c:rich>
              <a:bodyPr/>
              <a:lstStyle/>
              <a:p>
                <a:pPr>
                  <a:defRPr/>
                </a:pPr>
                <a:r>
                  <a:rPr lang="en-US"/>
                  <a:t>ton</a:t>
                </a:r>
              </a:p>
            </c:rich>
          </c:tx>
          <c:overlay val="0"/>
        </c:title>
        <c:numFmt formatCode="0.00E+00" sourceLinked="1"/>
        <c:majorTickMark val="none"/>
        <c:minorTickMark val="none"/>
        <c:tickLblPos val="nextTo"/>
        <c:spPr>
          <a:noFill/>
          <a:ln>
            <a:solidFill>
              <a:schemeClr val="tx1"/>
            </a:solidFill>
          </a:ln>
          <a:effectLst/>
        </c:spPr>
        <c:txPr>
          <a:bodyPr rot="-60000000" vert="horz"/>
          <a:lstStyle/>
          <a:p>
            <a:pPr>
              <a:defRPr/>
            </a:pPr>
            <a:endParaRPr lang="nl-NL"/>
          </a:p>
        </c:txPr>
        <c:crossAx val="641159087"/>
        <c:crosses val="autoZero"/>
        <c:crossBetween val="between"/>
      </c:valAx>
    </c:plotArea>
    <c:legend>
      <c:legendPos val="r"/>
      <c:layout>
        <c:manualLayout>
          <c:xMode val="edge"/>
          <c:yMode val="edge"/>
          <c:x val="0.44866893939393943"/>
          <c:y val="0.15141416970036403"/>
          <c:w val="0.4771067765716116"/>
          <c:h val="0.13898509770350895"/>
        </c:manualLayout>
      </c:layout>
      <c:overlay val="0"/>
      <c:spPr>
        <a:noFill/>
        <a:ln>
          <a:solidFill>
            <a:schemeClr val="tx1"/>
          </a:solidFill>
        </a:ln>
        <a:effectLst/>
      </c:spPr>
      <c:txPr>
        <a:bodyPr rot="0" vert="horz"/>
        <a:lstStyle/>
        <a:p>
          <a:pPr>
            <a:defRPr sz="800"/>
          </a:pPr>
          <a:endParaRPr lang="nl-NL"/>
        </a:p>
      </c:txPr>
    </c:legend>
    <c:plotVisOnly val="1"/>
    <c:dispBlanksAs val="gap"/>
    <c:showDLblsOverMax val="0"/>
    <c:extLst/>
  </c:chart>
  <c:spPr>
    <a:solidFill>
      <a:schemeClr val="bg1"/>
    </a:solidFill>
    <a:ln w="9525" cap="flat" cmpd="sng" algn="ctr">
      <a:noFill/>
      <a:round/>
    </a:ln>
    <a:effectLst/>
  </c:spPr>
  <c:txPr>
    <a:bodyPr/>
    <a:lstStyle/>
    <a:p>
      <a:pPr>
        <a:defRPr sz="900">
          <a:solidFill>
            <a:sysClr val="windowText" lastClr="000000"/>
          </a:solidFill>
          <a:latin typeface="Avenir Next LT Pro" panose="020B0504020202020204" pitchFamily="34" charset="0"/>
        </a:defRPr>
      </a:pPr>
      <a:endParaRPr lang="nl-NL"/>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000"/>
              <a:t>In-use stocks of other materials per sector,</a:t>
            </a:r>
            <a:r>
              <a:rPr lang="en-US" sz="1000" baseline="0"/>
              <a:t> the Netherlands, ca. 2020</a:t>
            </a:r>
            <a:endParaRPr lang="en-US" sz="1000"/>
          </a:p>
        </c:rich>
      </c:tx>
      <c:layout>
        <c:manualLayout>
          <c:xMode val="edge"/>
          <c:yMode val="edge"/>
          <c:x val="0.30305085258879716"/>
          <c:y val="1.9223928493040787E-2"/>
        </c:manualLayout>
      </c:layout>
      <c:overlay val="0"/>
    </c:title>
    <c:autoTitleDeleted val="0"/>
    <c:plotArea>
      <c:layout>
        <c:manualLayout>
          <c:layoutTarget val="inner"/>
          <c:xMode val="edge"/>
          <c:yMode val="edge"/>
          <c:x val="0.20258914936612418"/>
          <c:y val="4.8706949937028191E-2"/>
          <c:w val="0.74138181153076299"/>
          <c:h val="0.56301229066783198"/>
        </c:manualLayout>
      </c:layout>
      <c:barChart>
        <c:barDir val="col"/>
        <c:grouping val="stacked"/>
        <c:varyColors val="0"/>
        <c:ser>
          <c:idx val="0"/>
          <c:order val="0"/>
          <c:tx>
            <c:strRef>
              <c:f>'1.'!$X$90</c:f>
              <c:strCache>
                <c:ptCount val="1"/>
                <c:pt idx="0">
                  <c:v>Plastics</c:v>
                </c:pt>
              </c:strCache>
            </c:strRef>
          </c:tx>
          <c:spPr>
            <a:solidFill>
              <a:srgbClr val="FF0000"/>
            </a:solidFill>
            <a:ln>
              <a:noFill/>
            </a:ln>
            <a:effectLst/>
          </c:spPr>
          <c:invertIfNegative val="0"/>
          <c:cat>
            <c:strRef>
              <c:f>'1.'!$C$91:$E$99</c:f>
              <c:strCache>
                <c:ptCount val="9"/>
                <c:pt idx="0">
                  <c:v>Buildings</c:v>
                </c:pt>
                <c:pt idx="1">
                  <c:v>Road, rail and waterways infrastructure</c:v>
                </c:pt>
                <c:pt idx="2">
                  <c:v>Energy system</c:v>
                </c:pt>
                <c:pt idx="3">
                  <c:v>Drinking and sewage water infrastructure</c:v>
                </c:pt>
                <c:pt idx="4">
                  <c:v>Vehicles</c:v>
                </c:pt>
                <c:pt idx="5">
                  <c:v>Machinery</c:v>
                </c:pt>
                <c:pt idx="6">
                  <c:v>Textiles</c:v>
                </c:pt>
                <c:pt idx="7">
                  <c:v>Consumer electronics</c:v>
                </c:pt>
                <c:pt idx="8">
                  <c:v>Other consumer goods</c:v>
                </c:pt>
              </c:strCache>
            </c:strRef>
          </c:cat>
          <c:val>
            <c:numRef>
              <c:f>'1.'!$X$91:$X$99</c:f>
              <c:numCache>
                <c:formatCode>0.00E+00</c:formatCode>
                <c:ptCount val="9"/>
                <c:pt idx="0">
                  <c:v>2522564.106391815</c:v>
                </c:pt>
                <c:pt idx="1">
                  <c:v>33202.810516517333</c:v>
                </c:pt>
                <c:pt idx="2">
                  <c:v>557004.50277065567</c:v>
                </c:pt>
                <c:pt idx="3">
                  <c:v>5964275</c:v>
                </c:pt>
                <c:pt idx="4">
                  <c:v>682633.04716687452</c:v>
                </c:pt>
                <c:pt idx="5">
                  <c:v>235598.63839907147</c:v>
                </c:pt>
                <c:pt idx="6">
                  <c:v>1608603.606150371</c:v>
                </c:pt>
                <c:pt idx="7">
                  <c:v>363875</c:v>
                </c:pt>
                <c:pt idx="8">
                  <c:v>1055407.7765960153</c:v>
                </c:pt>
              </c:numCache>
            </c:numRef>
          </c:val>
          <c:extLst>
            <c:ext xmlns:c16="http://schemas.microsoft.com/office/drawing/2014/chart" uri="{C3380CC4-5D6E-409C-BE32-E72D297353CC}">
              <c16:uniqueId val="{00000008-2BFE-4E8B-8D4D-6CA6B993CA75}"/>
            </c:ext>
          </c:extLst>
        </c:ser>
        <c:ser>
          <c:idx val="1"/>
          <c:order val="1"/>
          <c:tx>
            <c:strRef>
              <c:f>'1.'!$Y$90</c:f>
              <c:strCache>
                <c:ptCount val="1"/>
                <c:pt idx="0">
                  <c:v>Insulation materials</c:v>
                </c:pt>
              </c:strCache>
            </c:strRef>
          </c:tx>
          <c:spPr>
            <a:solidFill>
              <a:schemeClr val="bg2">
                <a:lumMod val="50000"/>
              </a:schemeClr>
            </a:solidFill>
            <a:ln>
              <a:noFill/>
            </a:ln>
            <a:effectLst/>
          </c:spPr>
          <c:invertIfNegative val="0"/>
          <c:cat>
            <c:strRef>
              <c:f>'1.'!$C$91:$E$99</c:f>
              <c:strCache>
                <c:ptCount val="9"/>
                <c:pt idx="0">
                  <c:v>Buildings</c:v>
                </c:pt>
                <c:pt idx="1">
                  <c:v>Road, rail and waterways infrastructure</c:v>
                </c:pt>
                <c:pt idx="2">
                  <c:v>Energy system</c:v>
                </c:pt>
                <c:pt idx="3">
                  <c:v>Drinking and sewage water infrastructure</c:v>
                </c:pt>
                <c:pt idx="4">
                  <c:v>Vehicles</c:v>
                </c:pt>
                <c:pt idx="5">
                  <c:v>Machinery</c:v>
                </c:pt>
                <c:pt idx="6">
                  <c:v>Textiles</c:v>
                </c:pt>
                <c:pt idx="7">
                  <c:v>Consumer electronics</c:v>
                </c:pt>
                <c:pt idx="8">
                  <c:v>Other consumer goods</c:v>
                </c:pt>
              </c:strCache>
            </c:strRef>
          </c:cat>
          <c:val>
            <c:numRef>
              <c:f>'1.'!$Y$91:$Y$99</c:f>
              <c:numCache>
                <c:formatCode>0.00E+00</c:formatCode>
                <c:ptCount val="9"/>
                <c:pt idx="0">
                  <c:v>23455083.825438064</c:v>
                </c:pt>
                <c:pt idx="1">
                  <c:v>1566.1667838471578</c:v>
                </c:pt>
                <c:pt idx="2">
                  <c:v>0</c:v>
                </c:pt>
                <c:pt idx="3">
                  <c:v>0</c:v>
                </c:pt>
                <c:pt idx="4">
                  <c:v>4219.8792340207956</c:v>
                </c:pt>
                <c:pt idx="5">
                  <c:v>0</c:v>
                </c:pt>
                <c:pt idx="6">
                  <c:v>0</c:v>
                </c:pt>
                <c:pt idx="7">
                  <c:v>0</c:v>
                </c:pt>
                <c:pt idx="8">
                  <c:v>0</c:v>
                </c:pt>
              </c:numCache>
            </c:numRef>
          </c:val>
          <c:extLst>
            <c:ext xmlns:c16="http://schemas.microsoft.com/office/drawing/2014/chart" uri="{C3380CC4-5D6E-409C-BE32-E72D297353CC}">
              <c16:uniqueId val="{0000000A-2BFE-4E8B-8D4D-6CA6B993CA75}"/>
            </c:ext>
          </c:extLst>
        </c:ser>
        <c:ser>
          <c:idx val="2"/>
          <c:order val="2"/>
          <c:tx>
            <c:strRef>
              <c:f>'1.'!$Z$90</c:f>
              <c:strCache>
                <c:ptCount val="1"/>
                <c:pt idx="0">
                  <c:v>Other materials</c:v>
                </c:pt>
              </c:strCache>
            </c:strRef>
          </c:tx>
          <c:spPr>
            <a:solidFill>
              <a:srgbClr val="5D95C7"/>
            </a:solidFill>
          </c:spPr>
          <c:invertIfNegative val="0"/>
          <c:cat>
            <c:strRef>
              <c:f>'1.'!$C$91:$E$99</c:f>
              <c:strCache>
                <c:ptCount val="9"/>
                <c:pt idx="0">
                  <c:v>Buildings</c:v>
                </c:pt>
                <c:pt idx="1">
                  <c:v>Road, rail and waterways infrastructure</c:v>
                </c:pt>
                <c:pt idx="2">
                  <c:v>Energy system</c:v>
                </c:pt>
                <c:pt idx="3">
                  <c:v>Drinking and sewage water infrastructure</c:v>
                </c:pt>
                <c:pt idx="4">
                  <c:v>Vehicles</c:v>
                </c:pt>
                <c:pt idx="5">
                  <c:v>Machinery</c:v>
                </c:pt>
                <c:pt idx="6">
                  <c:v>Textiles</c:v>
                </c:pt>
                <c:pt idx="7">
                  <c:v>Consumer electronics</c:v>
                </c:pt>
                <c:pt idx="8">
                  <c:v>Other consumer goods</c:v>
                </c:pt>
              </c:strCache>
            </c:strRef>
          </c:cat>
          <c:val>
            <c:numRef>
              <c:f>'1.'!$Z$91:$Z$99</c:f>
              <c:numCache>
                <c:formatCode>0.00E+00</c:formatCode>
                <c:ptCount val="9"/>
                <c:pt idx="0">
                  <c:v>3229288.0787995197</c:v>
                </c:pt>
                <c:pt idx="1">
                  <c:v>73888.40423139208</c:v>
                </c:pt>
                <c:pt idx="2">
                  <c:v>129402.98717452597</c:v>
                </c:pt>
                <c:pt idx="3">
                  <c:v>0</c:v>
                </c:pt>
                <c:pt idx="4">
                  <c:v>563907.58063210337</c:v>
                </c:pt>
                <c:pt idx="5">
                  <c:v>875316.55826017249</c:v>
                </c:pt>
                <c:pt idx="6">
                  <c:v>0</c:v>
                </c:pt>
                <c:pt idx="7">
                  <c:v>0</c:v>
                </c:pt>
                <c:pt idx="8">
                  <c:v>3686626.0250517307</c:v>
                </c:pt>
              </c:numCache>
            </c:numRef>
          </c:val>
          <c:extLst>
            <c:ext xmlns:c16="http://schemas.microsoft.com/office/drawing/2014/chart" uri="{C3380CC4-5D6E-409C-BE32-E72D297353CC}">
              <c16:uniqueId val="{0000000C-2BFE-4E8B-8D4D-6CA6B993CA75}"/>
            </c:ext>
          </c:extLst>
        </c:ser>
        <c:ser>
          <c:idx val="3"/>
          <c:order val="3"/>
          <c:tx>
            <c:strRef>
              <c:f>'1.'!$AA$90</c:f>
              <c:strCache>
                <c:ptCount val="1"/>
                <c:pt idx="0">
                  <c:v>Glass</c:v>
                </c:pt>
              </c:strCache>
            </c:strRef>
          </c:tx>
          <c:spPr>
            <a:solidFill>
              <a:schemeClr val="tx1"/>
            </a:solidFill>
          </c:spPr>
          <c:invertIfNegative val="0"/>
          <c:cat>
            <c:strRef>
              <c:f>'1.'!$C$91:$E$99</c:f>
              <c:strCache>
                <c:ptCount val="9"/>
                <c:pt idx="0">
                  <c:v>Buildings</c:v>
                </c:pt>
                <c:pt idx="1">
                  <c:v>Road, rail and waterways infrastructure</c:v>
                </c:pt>
                <c:pt idx="2">
                  <c:v>Energy system</c:v>
                </c:pt>
                <c:pt idx="3">
                  <c:v>Drinking and sewage water infrastructure</c:v>
                </c:pt>
                <c:pt idx="4">
                  <c:v>Vehicles</c:v>
                </c:pt>
                <c:pt idx="5">
                  <c:v>Machinery</c:v>
                </c:pt>
                <c:pt idx="6">
                  <c:v>Textiles</c:v>
                </c:pt>
                <c:pt idx="7">
                  <c:v>Consumer electronics</c:v>
                </c:pt>
                <c:pt idx="8">
                  <c:v>Other consumer goods</c:v>
                </c:pt>
              </c:strCache>
            </c:strRef>
          </c:cat>
          <c:val>
            <c:numRef>
              <c:f>'1.'!$AA$91:$AA$99</c:f>
              <c:numCache>
                <c:formatCode>0.00E+00</c:formatCode>
                <c:ptCount val="9"/>
                <c:pt idx="0">
                  <c:v>5812457.4018833051</c:v>
                </c:pt>
                <c:pt idx="1">
                  <c:v>147174.44742000001</c:v>
                </c:pt>
                <c:pt idx="2">
                  <c:v>209810.118623983</c:v>
                </c:pt>
                <c:pt idx="3">
                  <c:v>0</c:v>
                </c:pt>
                <c:pt idx="4">
                  <c:v>11035.259738896217</c:v>
                </c:pt>
                <c:pt idx="5">
                  <c:v>15947.9304358312</c:v>
                </c:pt>
                <c:pt idx="6">
                  <c:v>0</c:v>
                </c:pt>
                <c:pt idx="7">
                  <c:v>6336</c:v>
                </c:pt>
                <c:pt idx="8">
                  <c:v>289856.92742420908</c:v>
                </c:pt>
              </c:numCache>
            </c:numRef>
          </c:val>
          <c:extLst>
            <c:ext xmlns:c16="http://schemas.microsoft.com/office/drawing/2014/chart" uri="{C3380CC4-5D6E-409C-BE32-E72D297353CC}">
              <c16:uniqueId val="{0000000E-2BFE-4E8B-8D4D-6CA6B993CA75}"/>
            </c:ext>
          </c:extLst>
        </c:ser>
        <c:ser>
          <c:idx val="4"/>
          <c:order val="4"/>
          <c:tx>
            <c:strRef>
              <c:f>'1.'!$AB$90</c:f>
              <c:strCache>
                <c:ptCount val="1"/>
                <c:pt idx="0">
                  <c:v>Ceramics</c:v>
                </c:pt>
              </c:strCache>
            </c:strRef>
          </c:tx>
          <c:spPr>
            <a:solidFill>
              <a:schemeClr val="accent2">
                <a:lumMod val="60000"/>
                <a:lumOff val="40000"/>
              </a:schemeClr>
            </a:solidFill>
          </c:spPr>
          <c:invertIfNegative val="0"/>
          <c:cat>
            <c:strRef>
              <c:f>'1.'!$C$91:$E$99</c:f>
              <c:strCache>
                <c:ptCount val="9"/>
                <c:pt idx="0">
                  <c:v>Buildings</c:v>
                </c:pt>
                <c:pt idx="1">
                  <c:v>Road, rail and waterways infrastructure</c:v>
                </c:pt>
                <c:pt idx="2">
                  <c:v>Energy system</c:v>
                </c:pt>
                <c:pt idx="3">
                  <c:v>Drinking and sewage water infrastructure</c:v>
                </c:pt>
                <c:pt idx="4">
                  <c:v>Vehicles</c:v>
                </c:pt>
                <c:pt idx="5">
                  <c:v>Machinery</c:v>
                </c:pt>
                <c:pt idx="6">
                  <c:v>Textiles</c:v>
                </c:pt>
                <c:pt idx="7">
                  <c:v>Consumer electronics</c:v>
                </c:pt>
                <c:pt idx="8">
                  <c:v>Other consumer goods</c:v>
                </c:pt>
              </c:strCache>
            </c:strRef>
          </c:cat>
          <c:val>
            <c:numRef>
              <c:f>'1.'!$AB$91:$AB$99</c:f>
              <c:numCache>
                <c:formatCode>0.00E+00</c:formatCode>
                <c:ptCount val="9"/>
                <c:pt idx="0">
                  <c:v>7564504.7617518958</c:v>
                </c:pt>
                <c:pt idx="1">
                  <c:v>0</c:v>
                </c:pt>
                <c:pt idx="2">
                  <c:v>0</c:v>
                </c:pt>
                <c:pt idx="3">
                  <c:v>0</c:v>
                </c:pt>
                <c:pt idx="4">
                  <c:v>0</c:v>
                </c:pt>
                <c:pt idx="5">
                  <c:v>0</c:v>
                </c:pt>
                <c:pt idx="6">
                  <c:v>0</c:v>
                </c:pt>
                <c:pt idx="7">
                  <c:v>0</c:v>
                </c:pt>
                <c:pt idx="8">
                  <c:v>0</c:v>
                </c:pt>
              </c:numCache>
            </c:numRef>
          </c:val>
          <c:extLst>
            <c:ext xmlns:c16="http://schemas.microsoft.com/office/drawing/2014/chart" uri="{C3380CC4-5D6E-409C-BE32-E72D297353CC}">
              <c16:uniqueId val="{00000010-2BFE-4E8B-8D4D-6CA6B993CA75}"/>
            </c:ext>
          </c:extLst>
        </c:ser>
        <c:ser>
          <c:idx val="5"/>
          <c:order val="5"/>
          <c:tx>
            <c:strRef>
              <c:f>'1.'!$AC$90</c:f>
              <c:strCache>
                <c:ptCount val="1"/>
                <c:pt idx="0">
                  <c:v>Textile, unspec.</c:v>
                </c:pt>
              </c:strCache>
            </c:strRef>
          </c:tx>
          <c:spPr>
            <a:solidFill>
              <a:srgbClr val="E6549D"/>
            </a:solidFill>
          </c:spPr>
          <c:invertIfNegative val="0"/>
          <c:cat>
            <c:strRef>
              <c:f>'1.'!$C$91:$E$99</c:f>
              <c:strCache>
                <c:ptCount val="9"/>
                <c:pt idx="0">
                  <c:v>Buildings</c:v>
                </c:pt>
                <c:pt idx="1">
                  <c:v>Road, rail and waterways infrastructure</c:v>
                </c:pt>
                <c:pt idx="2">
                  <c:v>Energy system</c:v>
                </c:pt>
                <c:pt idx="3">
                  <c:v>Drinking and sewage water infrastructure</c:v>
                </c:pt>
                <c:pt idx="4">
                  <c:v>Vehicles</c:v>
                </c:pt>
                <c:pt idx="5">
                  <c:v>Machinery</c:v>
                </c:pt>
                <c:pt idx="6">
                  <c:v>Textiles</c:v>
                </c:pt>
                <c:pt idx="7">
                  <c:v>Consumer electronics</c:v>
                </c:pt>
                <c:pt idx="8">
                  <c:v>Other consumer goods</c:v>
                </c:pt>
              </c:strCache>
            </c:strRef>
          </c:cat>
          <c:val>
            <c:numRef>
              <c:f>'1.'!$AC$91:$AC$99</c:f>
              <c:numCache>
                <c:formatCode>0.00E+00</c:formatCode>
                <c:ptCount val="9"/>
                <c:pt idx="0">
                  <c:v>0</c:v>
                </c:pt>
                <c:pt idx="1">
                  <c:v>0</c:v>
                </c:pt>
                <c:pt idx="2">
                  <c:v>0</c:v>
                </c:pt>
                <c:pt idx="3">
                  <c:v>0</c:v>
                </c:pt>
                <c:pt idx="4">
                  <c:v>0</c:v>
                </c:pt>
                <c:pt idx="5">
                  <c:v>0</c:v>
                </c:pt>
                <c:pt idx="6">
                  <c:v>1560055.4296484373</c:v>
                </c:pt>
                <c:pt idx="7">
                  <c:v>0</c:v>
                </c:pt>
                <c:pt idx="8">
                  <c:v>160732.59561771227</c:v>
                </c:pt>
              </c:numCache>
            </c:numRef>
          </c:val>
          <c:extLst>
            <c:ext xmlns:c16="http://schemas.microsoft.com/office/drawing/2014/chart" uri="{C3380CC4-5D6E-409C-BE32-E72D297353CC}">
              <c16:uniqueId val="{00000012-2BFE-4E8B-8D4D-6CA6B993CA75}"/>
            </c:ext>
          </c:extLst>
        </c:ser>
        <c:dLbls>
          <c:showLegendKey val="0"/>
          <c:showVal val="0"/>
          <c:showCatName val="0"/>
          <c:showSerName val="0"/>
          <c:showPercent val="0"/>
          <c:showBubbleSize val="0"/>
        </c:dLbls>
        <c:gapWidth val="73"/>
        <c:overlap val="100"/>
        <c:axId val="641159087"/>
        <c:axId val="641151183"/>
      </c:barChart>
      <c:catAx>
        <c:axId val="641159087"/>
        <c:scaling>
          <c:orientation val="minMax"/>
        </c:scaling>
        <c:delete val="0"/>
        <c:axPos val="b"/>
        <c:numFmt formatCode="General" sourceLinked="1"/>
        <c:majorTickMark val="none"/>
        <c:minorTickMark val="none"/>
        <c:tickLblPos val="nextTo"/>
        <c:spPr>
          <a:noFill/>
          <a:ln w="9525" cap="flat" cmpd="sng" algn="ctr">
            <a:solidFill>
              <a:schemeClr val="tx1"/>
            </a:solidFill>
            <a:round/>
          </a:ln>
          <a:effectLst/>
        </c:spPr>
        <c:txPr>
          <a:bodyPr rot="-60000000" vert="horz"/>
          <a:lstStyle/>
          <a:p>
            <a:pPr>
              <a:defRPr/>
            </a:pPr>
            <a:endParaRPr lang="nl-NL"/>
          </a:p>
        </c:txPr>
        <c:crossAx val="641151183"/>
        <c:crosses val="autoZero"/>
        <c:auto val="1"/>
        <c:lblAlgn val="ctr"/>
        <c:lblOffset val="100"/>
        <c:noMultiLvlLbl val="0"/>
      </c:catAx>
      <c:valAx>
        <c:axId val="641151183"/>
        <c:scaling>
          <c:orientation val="minMax"/>
        </c:scaling>
        <c:delete val="0"/>
        <c:axPos val="l"/>
        <c:title>
          <c:tx>
            <c:rich>
              <a:bodyPr/>
              <a:lstStyle/>
              <a:p>
                <a:pPr>
                  <a:defRPr/>
                </a:pPr>
                <a:r>
                  <a:rPr lang="en-US"/>
                  <a:t>ton</a:t>
                </a:r>
              </a:p>
            </c:rich>
          </c:tx>
          <c:overlay val="0"/>
        </c:title>
        <c:numFmt formatCode="0.00E+00" sourceLinked="1"/>
        <c:majorTickMark val="none"/>
        <c:minorTickMark val="none"/>
        <c:tickLblPos val="nextTo"/>
        <c:spPr>
          <a:noFill/>
          <a:ln>
            <a:solidFill>
              <a:schemeClr val="tx1"/>
            </a:solidFill>
          </a:ln>
          <a:effectLst/>
        </c:spPr>
        <c:txPr>
          <a:bodyPr rot="-60000000" vert="horz"/>
          <a:lstStyle/>
          <a:p>
            <a:pPr>
              <a:defRPr sz="800"/>
            </a:pPr>
            <a:endParaRPr lang="nl-NL"/>
          </a:p>
        </c:txPr>
        <c:crossAx val="641159087"/>
        <c:crosses val="autoZero"/>
        <c:crossBetween val="between"/>
      </c:valAx>
    </c:plotArea>
    <c:legend>
      <c:legendPos val="r"/>
      <c:layout>
        <c:manualLayout>
          <c:xMode val="edge"/>
          <c:yMode val="edge"/>
          <c:x val="0.59820828949924443"/>
          <c:y val="0.11360711033071716"/>
          <c:w val="0.33455410974605276"/>
          <c:h val="0.31916893522301215"/>
        </c:manualLayout>
      </c:layout>
      <c:overlay val="0"/>
      <c:spPr>
        <a:noFill/>
        <a:ln>
          <a:solidFill>
            <a:schemeClr val="tx1"/>
          </a:solidFill>
        </a:ln>
        <a:effectLst/>
      </c:spPr>
      <c:txPr>
        <a:bodyPr rot="0" vert="horz"/>
        <a:lstStyle/>
        <a:p>
          <a:pPr>
            <a:defRPr sz="800"/>
          </a:pPr>
          <a:endParaRPr lang="nl-NL"/>
        </a:p>
      </c:txPr>
    </c:legend>
    <c:plotVisOnly val="1"/>
    <c:dispBlanksAs val="gap"/>
    <c:showDLblsOverMax val="0"/>
    <c:extLst/>
  </c:chart>
  <c:spPr>
    <a:solidFill>
      <a:schemeClr val="bg1"/>
    </a:solidFill>
    <a:ln w="9525" cap="flat" cmpd="sng" algn="ctr">
      <a:noFill/>
      <a:round/>
    </a:ln>
    <a:effectLst/>
  </c:spPr>
  <c:txPr>
    <a:bodyPr/>
    <a:lstStyle/>
    <a:p>
      <a:pPr>
        <a:defRPr sz="900">
          <a:solidFill>
            <a:sysClr val="windowText" lastClr="000000"/>
          </a:solidFill>
          <a:latin typeface="Avenir Next LT Pro" panose="020B0504020202020204" pitchFamily="34" charset="0"/>
        </a:defRPr>
      </a:pPr>
      <a:endParaRPr lang="nl-NL"/>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900" b="0" i="0" u="none" strike="noStrike" kern="1200" spc="0" baseline="0">
                <a:solidFill>
                  <a:sysClr val="windowText" lastClr="000000"/>
                </a:solidFill>
                <a:latin typeface="Avenir Next LT Pro" panose="020B0504020202020204" pitchFamily="34" charset="0"/>
                <a:ea typeface="+mn-ea"/>
                <a:cs typeface="+mn-cs"/>
              </a:defRPr>
            </a:pPr>
            <a:r>
              <a:rPr lang="en-US" sz="900" b="1" i="0" u="none" strike="noStrike" kern="1200" spc="0" baseline="0">
                <a:solidFill>
                  <a:sysClr val="windowText" lastClr="000000"/>
                </a:solidFill>
                <a:latin typeface="Avenir Next LT Pro" panose="020B0504020202020204" pitchFamily="34" charset="0"/>
              </a:rPr>
              <a:t>In-use stocks of construction minerals and materials per sector, the Netherlands, ca. 2020</a:t>
            </a:r>
          </a:p>
          <a:p>
            <a:pPr>
              <a:defRPr sz="900" b="0" i="0" u="none" strike="noStrike" kern="1200" spc="0" baseline="0">
                <a:solidFill>
                  <a:sysClr val="windowText" lastClr="000000"/>
                </a:solidFill>
                <a:latin typeface="Avenir Next LT Pro" panose="020B0504020202020204" pitchFamily="34" charset="0"/>
                <a:ea typeface="+mn-ea"/>
                <a:cs typeface="+mn-cs"/>
              </a:defRPr>
            </a:pPr>
            <a:r>
              <a:rPr lang="en-US" sz="900" b="0" i="1" baseline="0"/>
              <a:t>without sand, gravel, soil and clay</a:t>
            </a:r>
            <a:endParaRPr lang="en-US" sz="900" b="0" i="1"/>
          </a:p>
        </c:rich>
      </c:tx>
      <c:layout>
        <c:manualLayout>
          <c:xMode val="edge"/>
          <c:yMode val="edge"/>
          <c:x val="0.29299479066343065"/>
          <c:y val="3.8897093130267658E-2"/>
        </c:manualLayout>
      </c:layout>
      <c:overlay val="0"/>
      <c:spPr>
        <a:noFill/>
        <a:ln>
          <a:noFill/>
        </a:ln>
        <a:effectLst/>
      </c:spPr>
    </c:title>
    <c:autoTitleDeleted val="0"/>
    <c:plotArea>
      <c:layout>
        <c:manualLayout>
          <c:layoutTarget val="inner"/>
          <c:xMode val="edge"/>
          <c:yMode val="edge"/>
          <c:x val="0.21338009690629089"/>
          <c:y val="5.8661081480104668E-2"/>
          <c:w val="0.7328964750758673"/>
          <c:h val="0.5807924084177748"/>
        </c:manualLayout>
      </c:layout>
      <c:barChart>
        <c:barDir val="col"/>
        <c:grouping val="stacked"/>
        <c:varyColors val="0"/>
        <c:ser>
          <c:idx val="0"/>
          <c:order val="0"/>
          <c:tx>
            <c:strRef>
              <c:f>'1.'!$F$90</c:f>
              <c:strCache>
                <c:ptCount val="1"/>
                <c:pt idx="0">
                  <c:v>Concrete</c:v>
                </c:pt>
              </c:strCache>
            </c:strRef>
          </c:tx>
          <c:spPr>
            <a:solidFill>
              <a:schemeClr val="tx1">
                <a:lumMod val="65000"/>
                <a:lumOff val="35000"/>
              </a:schemeClr>
            </a:solidFill>
            <a:ln>
              <a:noFill/>
            </a:ln>
            <a:effectLst/>
          </c:spPr>
          <c:invertIfNegative val="0"/>
          <c:cat>
            <c:strRef>
              <c:f>'1.'!$C$91:$E$99</c:f>
              <c:strCache>
                <c:ptCount val="9"/>
                <c:pt idx="0">
                  <c:v>Buildings</c:v>
                </c:pt>
                <c:pt idx="1">
                  <c:v>Road, rail and waterways infrastructure</c:v>
                </c:pt>
                <c:pt idx="2">
                  <c:v>Energy system</c:v>
                </c:pt>
                <c:pt idx="3">
                  <c:v>Drinking and sewage water infrastructure</c:v>
                </c:pt>
                <c:pt idx="4">
                  <c:v>Vehicles</c:v>
                </c:pt>
                <c:pt idx="5">
                  <c:v>Machinery</c:v>
                </c:pt>
                <c:pt idx="6">
                  <c:v>Textiles</c:v>
                </c:pt>
                <c:pt idx="7">
                  <c:v>Consumer electronics</c:v>
                </c:pt>
                <c:pt idx="8">
                  <c:v>Other consumer goods</c:v>
                </c:pt>
              </c:strCache>
            </c:strRef>
          </c:cat>
          <c:val>
            <c:numRef>
              <c:f>'1.'!$F$91:$F$99</c:f>
              <c:numCache>
                <c:formatCode>0.00E+00</c:formatCode>
                <c:ptCount val="9"/>
                <c:pt idx="0">
                  <c:v>1877983247.2811079</c:v>
                </c:pt>
                <c:pt idx="1">
                  <c:v>276962350.96675766</c:v>
                </c:pt>
                <c:pt idx="2">
                  <c:v>6206938.2301747743</c:v>
                </c:pt>
                <c:pt idx="3">
                  <c:v>23269457</c:v>
                </c:pt>
                <c:pt idx="4">
                  <c:v>0</c:v>
                </c:pt>
                <c:pt idx="5">
                  <c:v>1947091.54635304</c:v>
                </c:pt>
                <c:pt idx="6">
                  <c:v>0</c:v>
                </c:pt>
                <c:pt idx="7">
                  <c:v>0</c:v>
                </c:pt>
                <c:pt idx="8">
                  <c:v>153944.64480295699</c:v>
                </c:pt>
              </c:numCache>
            </c:numRef>
          </c:val>
          <c:extLst>
            <c:ext xmlns:c16="http://schemas.microsoft.com/office/drawing/2014/chart" uri="{C3380CC4-5D6E-409C-BE32-E72D297353CC}">
              <c16:uniqueId val="{00000000-22C4-4EC9-B30E-E2F846E1E6D8}"/>
            </c:ext>
          </c:extLst>
        </c:ser>
        <c:ser>
          <c:idx val="1"/>
          <c:order val="1"/>
          <c:tx>
            <c:strRef>
              <c:f>'1.'!$G$90</c:f>
              <c:strCache>
                <c:ptCount val="1"/>
                <c:pt idx="0">
                  <c:v>Brick</c:v>
                </c:pt>
              </c:strCache>
            </c:strRef>
          </c:tx>
          <c:spPr>
            <a:solidFill>
              <a:srgbClr val="FF8601"/>
            </a:solidFill>
            <a:ln>
              <a:noFill/>
            </a:ln>
            <a:effectLst/>
          </c:spPr>
          <c:invertIfNegative val="0"/>
          <c:cat>
            <c:strRef>
              <c:f>'1.'!$C$91:$E$99</c:f>
              <c:strCache>
                <c:ptCount val="9"/>
                <c:pt idx="0">
                  <c:v>Buildings</c:v>
                </c:pt>
                <c:pt idx="1">
                  <c:v>Road, rail and waterways infrastructure</c:v>
                </c:pt>
                <c:pt idx="2">
                  <c:v>Energy system</c:v>
                </c:pt>
                <c:pt idx="3">
                  <c:v>Drinking and sewage water infrastructure</c:v>
                </c:pt>
                <c:pt idx="4">
                  <c:v>Vehicles</c:v>
                </c:pt>
                <c:pt idx="5">
                  <c:v>Machinery</c:v>
                </c:pt>
                <c:pt idx="6">
                  <c:v>Textiles</c:v>
                </c:pt>
                <c:pt idx="7">
                  <c:v>Consumer electronics</c:v>
                </c:pt>
                <c:pt idx="8">
                  <c:v>Other consumer goods</c:v>
                </c:pt>
              </c:strCache>
            </c:strRef>
          </c:cat>
          <c:val>
            <c:numRef>
              <c:f>'1.'!$G$91:$G$99</c:f>
              <c:numCache>
                <c:formatCode>0.00E+00</c:formatCode>
                <c:ptCount val="9"/>
                <c:pt idx="0">
                  <c:v>142823530.56571704</c:v>
                </c:pt>
                <c:pt idx="1">
                  <c:v>7424426.4205000009</c:v>
                </c:pt>
                <c:pt idx="2">
                  <c:v>0</c:v>
                </c:pt>
                <c:pt idx="3">
                  <c:v>0</c:v>
                </c:pt>
                <c:pt idx="4">
                  <c:v>0</c:v>
                </c:pt>
                <c:pt idx="5">
                  <c:v>0</c:v>
                </c:pt>
                <c:pt idx="6">
                  <c:v>0</c:v>
                </c:pt>
                <c:pt idx="7">
                  <c:v>0</c:v>
                </c:pt>
                <c:pt idx="8">
                  <c:v>0</c:v>
                </c:pt>
              </c:numCache>
            </c:numRef>
          </c:val>
          <c:extLst>
            <c:ext xmlns:c16="http://schemas.microsoft.com/office/drawing/2014/chart" uri="{C3380CC4-5D6E-409C-BE32-E72D297353CC}">
              <c16:uniqueId val="{00000001-22C4-4EC9-B30E-E2F846E1E6D8}"/>
            </c:ext>
          </c:extLst>
        </c:ser>
        <c:ser>
          <c:idx val="2"/>
          <c:order val="2"/>
          <c:tx>
            <c:strRef>
              <c:f>'1.'!$H$90</c:f>
              <c:strCache>
                <c:ptCount val="1"/>
                <c:pt idx="0">
                  <c:v>Asphalt</c:v>
                </c:pt>
              </c:strCache>
            </c:strRef>
          </c:tx>
          <c:spPr>
            <a:solidFill>
              <a:schemeClr val="tx2">
                <a:lumMod val="60000"/>
                <a:lumOff val="40000"/>
              </a:schemeClr>
            </a:solidFill>
            <a:ln>
              <a:noFill/>
            </a:ln>
            <a:effectLst/>
          </c:spPr>
          <c:invertIfNegative val="0"/>
          <c:cat>
            <c:strRef>
              <c:f>'1.'!$C$91:$E$99</c:f>
              <c:strCache>
                <c:ptCount val="9"/>
                <c:pt idx="0">
                  <c:v>Buildings</c:v>
                </c:pt>
                <c:pt idx="1">
                  <c:v>Road, rail and waterways infrastructure</c:v>
                </c:pt>
                <c:pt idx="2">
                  <c:v>Energy system</c:v>
                </c:pt>
                <c:pt idx="3">
                  <c:v>Drinking and sewage water infrastructure</c:v>
                </c:pt>
                <c:pt idx="4">
                  <c:v>Vehicles</c:v>
                </c:pt>
                <c:pt idx="5">
                  <c:v>Machinery</c:v>
                </c:pt>
                <c:pt idx="6">
                  <c:v>Textiles</c:v>
                </c:pt>
                <c:pt idx="7">
                  <c:v>Consumer electronics</c:v>
                </c:pt>
                <c:pt idx="8">
                  <c:v>Other consumer goods</c:v>
                </c:pt>
              </c:strCache>
            </c:strRef>
          </c:cat>
          <c:val>
            <c:numRef>
              <c:f>'1.'!$H$91:$H$99</c:f>
              <c:numCache>
                <c:formatCode>0.00E+00</c:formatCode>
                <c:ptCount val="9"/>
                <c:pt idx="0">
                  <c:v>0</c:v>
                </c:pt>
                <c:pt idx="1">
                  <c:v>253145002.30111837</c:v>
                </c:pt>
                <c:pt idx="2">
                  <c:v>0</c:v>
                </c:pt>
                <c:pt idx="3">
                  <c:v>0</c:v>
                </c:pt>
                <c:pt idx="4">
                  <c:v>0</c:v>
                </c:pt>
                <c:pt idx="5">
                  <c:v>0</c:v>
                </c:pt>
                <c:pt idx="6">
                  <c:v>0</c:v>
                </c:pt>
                <c:pt idx="7">
                  <c:v>0</c:v>
                </c:pt>
                <c:pt idx="8">
                  <c:v>0</c:v>
                </c:pt>
              </c:numCache>
            </c:numRef>
          </c:val>
          <c:extLst>
            <c:ext xmlns:c16="http://schemas.microsoft.com/office/drawing/2014/chart" uri="{C3380CC4-5D6E-409C-BE32-E72D297353CC}">
              <c16:uniqueId val="{00000002-22C4-4EC9-B30E-E2F846E1E6D8}"/>
            </c:ext>
          </c:extLst>
        </c:ser>
        <c:ser>
          <c:idx val="4"/>
          <c:order val="4"/>
          <c:tx>
            <c:strRef>
              <c:f>'1.'!$J$90</c:f>
              <c:strCache>
                <c:ptCount val="1"/>
                <c:pt idx="0">
                  <c:v>Gypsum</c:v>
                </c:pt>
              </c:strCache>
            </c:strRef>
          </c:tx>
          <c:spPr>
            <a:solidFill>
              <a:srgbClr val="B56B6B"/>
            </a:solidFill>
          </c:spPr>
          <c:invertIfNegative val="0"/>
          <c:cat>
            <c:strRef>
              <c:f>'1.'!$C$91:$E$99</c:f>
              <c:strCache>
                <c:ptCount val="9"/>
                <c:pt idx="0">
                  <c:v>Buildings</c:v>
                </c:pt>
                <c:pt idx="1">
                  <c:v>Road, rail and waterways infrastructure</c:v>
                </c:pt>
                <c:pt idx="2">
                  <c:v>Energy system</c:v>
                </c:pt>
                <c:pt idx="3">
                  <c:v>Drinking and sewage water infrastructure</c:v>
                </c:pt>
                <c:pt idx="4">
                  <c:v>Vehicles</c:v>
                </c:pt>
                <c:pt idx="5">
                  <c:v>Machinery</c:v>
                </c:pt>
                <c:pt idx="6">
                  <c:v>Textiles</c:v>
                </c:pt>
                <c:pt idx="7">
                  <c:v>Consumer electronics</c:v>
                </c:pt>
                <c:pt idx="8">
                  <c:v>Other consumer goods</c:v>
                </c:pt>
              </c:strCache>
            </c:strRef>
          </c:cat>
          <c:val>
            <c:numRef>
              <c:f>'1.'!$J$91:$J$99</c:f>
              <c:numCache>
                <c:formatCode>0.00E+00</c:formatCode>
                <c:ptCount val="9"/>
                <c:pt idx="0">
                  <c:v>28790428.031033985</c:v>
                </c:pt>
                <c:pt idx="1">
                  <c:v>0</c:v>
                </c:pt>
                <c:pt idx="2">
                  <c:v>0</c:v>
                </c:pt>
                <c:pt idx="3">
                  <c:v>0</c:v>
                </c:pt>
                <c:pt idx="4">
                  <c:v>0</c:v>
                </c:pt>
                <c:pt idx="5">
                  <c:v>0</c:v>
                </c:pt>
                <c:pt idx="6">
                  <c:v>0</c:v>
                </c:pt>
                <c:pt idx="7">
                  <c:v>0</c:v>
                </c:pt>
                <c:pt idx="8">
                  <c:v>0</c:v>
                </c:pt>
              </c:numCache>
            </c:numRef>
          </c:val>
          <c:extLst>
            <c:ext xmlns:c16="http://schemas.microsoft.com/office/drawing/2014/chart" uri="{C3380CC4-5D6E-409C-BE32-E72D297353CC}">
              <c16:uniqueId val="{00000004-22C4-4EC9-B30E-E2F846E1E6D8}"/>
            </c:ext>
          </c:extLst>
        </c:ser>
        <c:ser>
          <c:idx val="5"/>
          <c:order val="5"/>
          <c:tx>
            <c:strRef>
              <c:f>'1.'!$K$90</c:f>
              <c:strCache>
                <c:ptCount val="1"/>
                <c:pt idx="0">
                  <c:v>Stone</c:v>
                </c:pt>
              </c:strCache>
            </c:strRef>
          </c:tx>
          <c:spPr>
            <a:solidFill>
              <a:srgbClr val="9BBFB7"/>
            </a:solidFill>
          </c:spPr>
          <c:invertIfNegative val="0"/>
          <c:cat>
            <c:strRef>
              <c:f>'1.'!$C$91:$E$99</c:f>
              <c:strCache>
                <c:ptCount val="9"/>
                <c:pt idx="0">
                  <c:v>Buildings</c:v>
                </c:pt>
                <c:pt idx="1">
                  <c:v>Road, rail and waterways infrastructure</c:v>
                </c:pt>
                <c:pt idx="2">
                  <c:v>Energy system</c:v>
                </c:pt>
                <c:pt idx="3">
                  <c:v>Drinking and sewage water infrastructure</c:v>
                </c:pt>
                <c:pt idx="4">
                  <c:v>Vehicles</c:v>
                </c:pt>
                <c:pt idx="5">
                  <c:v>Machinery</c:v>
                </c:pt>
                <c:pt idx="6">
                  <c:v>Textiles</c:v>
                </c:pt>
                <c:pt idx="7">
                  <c:v>Consumer electronics</c:v>
                </c:pt>
                <c:pt idx="8">
                  <c:v>Other consumer goods</c:v>
                </c:pt>
              </c:strCache>
            </c:strRef>
          </c:cat>
          <c:val>
            <c:numRef>
              <c:f>'1.'!$K$91:$K$99</c:f>
              <c:numCache>
                <c:formatCode>0.00E+00</c:formatCode>
                <c:ptCount val="9"/>
                <c:pt idx="0">
                  <c:v>430340382.03058338</c:v>
                </c:pt>
                <c:pt idx="1">
                  <c:v>0</c:v>
                </c:pt>
                <c:pt idx="2">
                  <c:v>0</c:v>
                </c:pt>
                <c:pt idx="3">
                  <c:v>0</c:v>
                </c:pt>
                <c:pt idx="4">
                  <c:v>0</c:v>
                </c:pt>
                <c:pt idx="5">
                  <c:v>0</c:v>
                </c:pt>
                <c:pt idx="6">
                  <c:v>0</c:v>
                </c:pt>
                <c:pt idx="7">
                  <c:v>0</c:v>
                </c:pt>
                <c:pt idx="8">
                  <c:v>0</c:v>
                </c:pt>
              </c:numCache>
            </c:numRef>
          </c:val>
          <c:extLst>
            <c:ext xmlns:c16="http://schemas.microsoft.com/office/drawing/2014/chart" uri="{C3380CC4-5D6E-409C-BE32-E72D297353CC}">
              <c16:uniqueId val="{00000005-22C4-4EC9-B30E-E2F846E1E6D8}"/>
            </c:ext>
          </c:extLst>
        </c:ser>
        <c:ser>
          <c:idx val="6"/>
          <c:order val="6"/>
          <c:tx>
            <c:strRef>
              <c:f>'1.'!$L$90</c:f>
              <c:strCache>
                <c:ptCount val="1"/>
                <c:pt idx="0">
                  <c:v>Recycled CDW</c:v>
                </c:pt>
              </c:strCache>
            </c:strRef>
          </c:tx>
          <c:spPr>
            <a:solidFill>
              <a:srgbClr val="FFD347"/>
            </a:solidFill>
          </c:spPr>
          <c:invertIfNegative val="0"/>
          <c:cat>
            <c:strRef>
              <c:f>'1.'!$C$91:$E$99</c:f>
              <c:strCache>
                <c:ptCount val="9"/>
                <c:pt idx="0">
                  <c:v>Buildings</c:v>
                </c:pt>
                <c:pt idx="1">
                  <c:v>Road, rail and waterways infrastructure</c:v>
                </c:pt>
                <c:pt idx="2">
                  <c:v>Energy system</c:v>
                </c:pt>
                <c:pt idx="3">
                  <c:v>Drinking and sewage water infrastructure</c:v>
                </c:pt>
                <c:pt idx="4">
                  <c:v>Vehicles</c:v>
                </c:pt>
                <c:pt idx="5">
                  <c:v>Machinery</c:v>
                </c:pt>
                <c:pt idx="6">
                  <c:v>Textiles</c:v>
                </c:pt>
                <c:pt idx="7">
                  <c:v>Consumer electronics</c:v>
                </c:pt>
                <c:pt idx="8">
                  <c:v>Other consumer goods</c:v>
                </c:pt>
              </c:strCache>
            </c:strRef>
          </c:cat>
          <c:val>
            <c:numRef>
              <c:f>'1.'!$L$91:$L$99</c:f>
              <c:numCache>
                <c:formatCode>0.00E+00</c:formatCode>
                <c:ptCount val="9"/>
                <c:pt idx="0">
                  <c:v>0</c:v>
                </c:pt>
                <c:pt idx="1">
                  <c:v>572521175.77157986</c:v>
                </c:pt>
                <c:pt idx="2">
                  <c:v>0</c:v>
                </c:pt>
                <c:pt idx="3">
                  <c:v>0</c:v>
                </c:pt>
                <c:pt idx="4">
                  <c:v>0</c:v>
                </c:pt>
                <c:pt idx="5">
                  <c:v>0</c:v>
                </c:pt>
                <c:pt idx="6">
                  <c:v>0</c:v>
                </c:pt>
                <c:pt idx="7">
                  <c:v>0</c:v>
                </c:pt>
                <c:pt idx="8">
                  <c:v>0</c:v>
                </c:pt>
              </c:numCache>
            </c:numRef>
          </c:val>
          <c:extLst>
            <c:ext xmlns:c16="http://schemas.microsoft.com/office/drawing/2014/chart" uri="{C3380CC4-5D6E-409C-BE32-E72D297353CC}">
              <c16:uniqueId val="{00000006-22C4-4EC9-B30E-E2F846E1E6D8}"/>
            </c:ext>
          </c:extLst>
        </c:ser>
        <c:ser>
          <c:idx val="7"/>
          <c:order val="7"/>
          <c:tx>
            <c:strRef>
              <c:f>'1.'!$M$90</c:f>
              <c:strCache>
                <c:ptCount val="1"/>
                <c:pt idx="0">
                  <c:v>Other construction materials</c:v>
                </c:pt>
              </c:strCache>
            </c:strRef>
          </c:tx>
          <c:invertIfNegative val="0"/>
          <c:cat>
            <c:strRef>
              <c:f>'1.'!$C$91:$E$99</c:f>
              <c:strCache>
                <c:ptCount val="9"/>
                <c:pt idx="0">
                  <c:v>Buildings</c:v>
                </c:pt>
                <c:pt idx="1">
                  <c:v>Road, rail and waterways infrastructure</c:v>
                </c:pt>
                <c:pt idx="2">
                  <c:v>Energy system</c:v>
                </c:pt>
                <c:pt idx="3">
                  <c:v>Drinking and sewage water infrastructure</c:v>
                </c:pt>
                <c:pt idx="4">
                  <c:v>Vehicles</c:v>
                </c:pt>
                <c:pt idx="5">
                  <c:v>Machinery</c:v>
                </c:pt>
                <c:pt idx="6">
                  <c:v>Textiles</c:v>
                </c:pt>
                <c:pt idx="7">
                  <c:v>Consumer electronics</c:v>
                </c:pt>
                <c:pt idx="8">
                  <c:v>Other consumer goods</c:v>
                </c:pt>
              </c:strCache>
            </c:strRef>
          </c:cat>
          <c:val>
            <c:numRef>
              <c:f>'1.'!$M$91:$M$99</c:f>
              <c:numCache>
                <c:formatCode>0.00E+00</c:formatCode>
                <c:ptCount val="9"/>
                <c:pt idx="0">
                  <c:v>677741.53572449822</c:v>
                </c:pt>
                <c:pt idx="1">
                  <c:v>31332.975414499997</c:v>
                </c:pt>
                <c:pt idx="2">
                  <c:v>1400</c:v>
                </c:pt>
                <c:pt idx="3">
                  <c:v>352455</c:v>
                </c:pt>
                <c:pt idx="4">
                  <c:v>0</c:v>
                </c:pt>
                <c:pt idx="5">
                  <c:v>0</c:v>
                </c:pt>
                <c:pt idx="6">
                  <c:v>0</c:v>
                </c:pt>
                <c:pt idx="7">
                  <c:v>0</c:v>
                </c:pt>
                <c:pt idx="8">
                  <c:v>0</c:v>
                </c:pt>
              </c:numCache>
            </c:numRef>
          </c:val>
          <c:extLst>
            <c:ext xmlns:c16="http://schemas.microsoft.com/office/drawing/2014/chart" uri="{C3380CC4-5D6E-409C-BE32-E72D297353CC}">
              <c16:uniqueId val="{00000007-22C4-4EC9-B30E-E2F846E1E6D8}"/>
            </c:ext>
          </c:extLst>
        </c:ser>
        <c:dLbls>
          <c:showLegendKey val="0"/>
          <c:showVal val="0"/>
          <c:showCatName val="0"/>
          <c:showSerName val="0"/>
          <c:showPercent val="0"/>
          <c:showBubbleSize val="0"/>
        </c:dLbls>
        <c:gapWidth val="150"/>
        <c:overlap val="100"/>
        <c:axId val="1999623967"/>
        <c:axId val="1999628543"/>
        <c:extLst>
          <c:ext xmlns:c15="http://schemas.microsoft.com/office/drawing/2012/chart" uri="{02D57815-91ED-43cb-92C2-25804820EDAC}">
            <c15:filteredBarSeries>
              <c15:ser>
                <c:idx val="3"/>
                <c:order val="3"/>
                <c:tx>
                  <c:strRef>
                    <c:extLst>
                      <c:ext uri="{02D57815-91ED-43cb-92C2-25804820EDAC}">
                        <c15:formulaRef>
                          <c15:sqref>'1.'!$I$90</c15:sqref>
                        </c15:formulaRef>
                      </c:ext>
                    </c:extLst>
                    <c:strCache>
                      <c:ptCount val="1"/>
                      <c:pt idx="0">
                        <c:v>Sand, gravel, clay</c:v>
                      </c:pt>
                    </c:strCache>
                  </c:strRef>
                </c:tx>
                <c:spPr>
                  <a:solidFill>
                    <a:schemeClr val="bg1">
                      <a:lumMod val="75000"/>
                    </a:schemeClr>
                  </a:solidFill>
                  <a:ln>
                    <a:noFill/>
                  </a:ln>
                  <a:effectLst/>
                </c:spPr>
                <c:invertIfNegative val="0"/>
                <c:cat>
                  <c:strRef>
                    <c:extLst>
                      <c:ext uri="{02D57815-91ED-43cb-92C2-25804820EDAC}">
                        <c15:formulaRef>
                          <c15:sqref>'1.'!$C$91:$E$99</c15:sqref>
                        </c15:formulaRef>
                      </c:ext>
                    </c:extLst>
                    <c:strCache>
                      <c:ptCount val="9"/>
                      <c:pt idx="0">
                        <c:v>Buildings</c:v>
                      </c:pt>
                      <c:pt idx="1">
                        <c:v>Road, rail and waterways infrastructure</c:v>
                      </c:pt>
                      <c:pt idx="2">
                        <c:v>Energy system</c:v>
                      </c:pt>
                      <c:pt idx="3">
                        <c:v>Drinking and sewage water infrastructure</c:v>
                      </c:pt>
                      <c:pt idx="4">
                        <c:v>Vehicles</c:v>
                      </c:pt>
                      <c:pt idx="5">
                        <c:v>Machinery</c:v>
                      </c:pt>
                      <c:pt idx="6">
                        <c:v>Textiles</c:v>
                      </c:pt>
                      <c:pt idx="7">
                        <c:v>Consumer electronics</c:v>
                      </c:pt>
                      <c:pt idx="8">
                        <c:v>Other consumer goods</c:v>
                      </c:pt>
                    </c:strCache>
                  </c:strRef>
                </c:cat>
                <c:val>
                  <c:numRef>
                    <c:extLst>
                      <c:ext uri="{02D57815-91ED-43cb-92C2-25804820EDAC}">
                        <c15:formulaRef>
                          <c15:sqref>'1.'!$I$91:$I$99</c15:sqref>
                        </c15:formulaRef>
                      </c:ext>
                    </c:extLst>
                    <c:numCache>
                      <c:formatCode>0.00E+00</c:formatCode>
                      <c:ptCount val="9"/>
                      <c:pt idx="0">
                        <c:v>34191210.562837198</c:v>
                      </c:pt>
                      <c:pt idx="1">
                        <c:v>3844627462.0065627</c:v>
                      </c:pt>
                      <c:pt idx="2">
                        <c:v>0</c:v>
                      </c:pt>
                      <c:pt idx="3">
                        <c:v>0</c:v>
                      </c:pt>
                      <c:pt idx="4">
                        <c:v>0</c:v>
                      </c:pt>
                      <c:pt idx="5">
                        <c:v>0</c:v>
                      </c:pt>
                      <c:pt idx="6">
                        <c:v>0</c:v>
                      </c:pt>
                      <c:pt idx="7">
                        <c:v>0</c:v>
                      </c:pt>
                      <c:pt idx="8">
                        <c:v>0</c:v>
                      </c:pt>
                    </c:numCache>
                  </c:numRef>
                </c:val>
                <c:extLst>
                  <c:ext xmlns:c16="http://schemas.microsoft.com/office/drawing/2014/chart" uri="{C3380CC4-5D6E-409C-BE32-E72D297353CC}">
                    <c16:uniqueId val="{00000003-22C4-4EC9-B30E-E2F846E1E6D8}"/>
                  </c:ext>
                </c:extLst>
              </c15:ser>
            </c15:filteredBarSeries>
          </c:ext>
        </c:extLst>
      </c:barChart>
      <c:catAx>
        <c:axId val="1999623967"/>
        <c:scaling>
          <c:orientation val="minMax"/>
        </c:scaling>
        <c:delete val="0"/>
        <c:axPos val="b"/>
        <c:numFmt formatCode="General" sourceLinked="1"/>
        <c:majorTickMark val="none"/>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venir Next LT Pro" panose="020B0504020202020204" pitchFamily="34" charset="0"/>
                <a:ea typeface="+mn-ea"/>
                <a:cs typeface="+mn-cs"/>
              </a:defRPr>
            </a:pPr>
            <a:endParaRPr lang="nl-NL"/>
          </a:p>
        </c:txPr>
        <c:crossAx val="1999628543"/>
        <c:crosses val="autoZero"/>
        <c:auto val="1"/>
        <c:lblAlgn val="ctr"/>
        <c:lblOffset val="100"/>
        <c:noMultiLvlLbl val="0"/>
      </c:catAx>
      <c:valAx>
        <c:axId val="1999628543"/>
        <c:scaling>
          <c:orientation val="minMax"/>
        </c:scaling>
        <c:delete val="0"/>
        <c:axPos val="l"/>
        <c:title>
          <c:tx>
            <c:rich>
              <a:bodyPr rot="-5400000" spcFirstLastPara="1" vertOverflow="ellipsis" vert="horz" wrap="square" anchor="ctr" anchorCtr="1"/>
              <a:lstStyle/>
              <a:p>
                <a:pPr>
                  <a:defRPr sz="900" b="1" i="0" u="none" strike="noStrike" kern="1200" baseline="0">
                    <a:solidFill>
                      <a:sysClr val="windowText" lastClr="000000"/>
                    </a:solidFill>
                    <a:latin typeface="Avenir Next LT Pro" panose="020B0504020202020204" pitchFamily="34" charset="0"/>
                    <a:ea typeface="+mn-ea"/>
                    <a:cs typeface="+mn-cs"/>
                  </a:defRPr>
                </a:pPr>
                <a:r>
                  <a:rPr lang="en-US" b="1"/>
                  <a:t>ton</a:t>
                </a:r>
              </a:p>
            </c:rich>
          </c:tx>
          <c:overlay val="0"/>
          <c:spPr>
            <a:noFill/>
            <a:ln>
              <a:noFill/>
            </a:ln>
            <a:effectLst/>
          </c:spPr>
        </c:title>
        <c:numFmt formatCode="0.00E+00" sourceLinked="1"/>
        <c:majorTickMark val="none"/>
        <c:minorTickMark val="none"/>
        <c:tickLblPos val="nextTo"/>
        <c:spPr>
          <a:noFill/>
          <a:ln>
            <a:solidFill>
              <a:schemeClr val="tx1"/>
            </a:solid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venir Next LT Pro" panose="020B0504020202020204" pitchFamily="34" charset="0"/>
                <a:ea typeface="+mn-ea"/>
                <a:cs typeface="+mn-cs"/>
              </a:defRPr>
            </a:pPr>
            <a:endParaRPr lang="nl-NL"/>
          </a:p>
        </c:txPr>
        <c:crossAx val="1999623967"/>
        <c:crosses val="autoZero"/>
        <c:crossBetween val="between"/>
      </c:valAx>
    </c:plotArea>
    <c:legend>
      <c:legendPos val="r"/>
      <c:layout>
        <c:manualLayout>
          <c:xMode val="edge"/>
          <c:yMode val="edge"/>
          <c:x val="0.57193728419500778"/>
          <c:y val="0.19082044151004951"/>
          <c:w val="0.42336787790298813"/>
          <c:h val="0.35671958653253955"/>
        </c:manualLayout>
      </c:layout>
      <c:overlay val="0"/>
      <c:spPr>
        <a:noFill/>
        <a:ln>
          <a:solidFill>
            <a:schemeClr val="tx1"/>
          </a:solidFill>
        </a:ln>
        <a:effectLst/>
      </c:spPr>
      <c:txPr>
        <a:bodyPr rot="0" spcFirstLastPara="1" vertOverflow="ellipsis" vert="horz" wrap="square" anchor="ctr" anchorCtr="1"/>
        <a:lstStyle/>
        <a:p>
          <a:pPr>
            <a:defRPr sz="800" b="0" i="0" u="none" strike="noStrike" kern="1200" baseline="0">
              <a:solidFill>
                <a:sysClr val="windowText" lastClr="000000"/>
              </a:solidFill>
              <a:latin typeface="Avenir Next LT Pro" panose="020B0504020202020204" pitchFamily="34" charset="0"/>
              <a:ea typeface="+mn-ea"/>
              <a:cs typeface="+mn-cs"/>
            </a:defRPr>
          </a:pPr>
          <a:endParaRPr lang="nl-NL"/>
        </a:p>
      </c:txPr>
    </c:legend>
    <c:plotVisOnly val="1"/>
    <c:dispBlanksAs val="gap"/>
    <c:showDLblsOverMax val="0"/>
    <c:extLst/>
  </c:chart>
  <c:spPr>
    <a:solidFill>
      <a:schemeClr val="bg1"/>
    </a:solidFill>
    <a:ln w="9525" cap="flat" cmpd="sng" algn="ctr">
      <a:noFill/>
      <a:round/>
    </a:ln>
    <a:effectLst/>
  </c:spPr>
  <c:txPr>
    <a:bodyPr/>
    <a:lstStyle/>
    <a:p>
      <a:pPr>
        <a:defRPr sz="900">
          <a:solidFill>
            <a:sysClr val="windowText" lastClr="000000"/>
          </a:solidFill>
          <a:latin typeface="Avenir Next LT Pro" panose="020B0504020202020204" pitchFamily="34" charset="0"/>
        </a:defRPr>
      </a:pPr>
      <a:endParaRPr lang="nl-NL"/>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80" b="0" i="0" u="none" strike="noStrike" kern="1200" spc="0" baseline="0">
                <a:solidFill>
                  <a:sysClr val="windowText" lastClr="000000"/>
                </a:solidFill>
                <a:latin typeface="Avenir Next LT Pro" panose="020B0504020202020204" pitchFamily="34" charset="0"/>
                <a:ea typeface="+mn-ea"/>
                <a:cs typeface="+mn-cs"/>
              </a:defRPr>
            </a:pPr>
            <a:r>
              <a:rPr lang="en-US" sz="900" b="1" baseline="0"/>
              <a:t>In-use stocks of metals per sector, the Netherlands, ca. 2020</a:t>
            </a:r>
          </a:p>
          <a:p>
            <a:pPr>
              <a:defRPr/>
            </a:pPr>
            <a:r>
              <a:rPr lang="en-US" sz="900" b="0" i="1" baseline="0"/>
              <a:t>without iron &amp; steel</a:t>
            </a:r>
            <a:endParaRPr lang="en-US" sz="900" b="0" i="1"/>
          </a:p>
        </c:rich>
      </c:tx>
      <c:overlay val="0"/>
      <c:spPr>
        <a:noFill/>
        <a:ln>
          <a:noFill/>
        </a:ln>
        <a:effectLst/>
      </c:spPr>
      <c:txPr>
        <a:bodyPr rot="0" spcFirstLastPara="1" vertOverflow="ellipsis" vert="horz" wrap="square" anchor="ctr" anchorCtr="1"/>
        <a:lstStyle/>
        <a:p>
          <a:pPr>
            <a:defRPr sz="1080" b="0" i="0" u="none" strike="noStrike" kern="1200" spc="0" baseline="0">
              <a:solidFill>
                <a:sysClr val="windowText" lastClr="000000"/>
              </a:solidFill>
              <a:latin typeface="Avenir Next LT Pro" panose="020B0504020202020204" pitchFamily="34" charset="0"/>
              <a:ea typeface="+mn-ea"/>
              <a:cs typeface="+mn-cs"/>
            </a:defRPr>
          </a:pPr>
          <a:endParaRPr lang="nl-NL"/>
        </a:p>
      </c:txPr>
    </c:title>
    <c:autoTitleDeleted val="0"/>
    <c:plotArea>
      <c:layout>
        <c:manualLayout>
          <c:layoutTarget val="inner"/>
          <c:xMode val="edge"/>
          <c:yMode val="edge"/>
          <c:x val="0.19871769812172133"/>
          <c:y val="0.12557399824705601"/>
          <c:w val="0.72296929052316417"/>
          <c:h val="0.46321788948628589"/>
        </c:manualLayout>
      </c:layout>
      <c:barChart>
        <c:barDir val="col"/>
        <c:grouping val="stacked"/>
        <c:varyColors val="0"/>
        <c:ser>
          <c:idx val="1"/>
          <c:order val="1"/>
          <c:tx>
            <c:strRef>
              <c:f>'1.'!$O$90</c:f>
              <c:strCache>
                <c:ptCount val="1"/>
                <c:pt idx="0">
                  <c:v>Copper</c:v>
                </c:pt>
              </c:strCache>
            </c:strRef>
          </c:tx>
          <c:spPr>
            <a:solidFill>
              <a:srgbClr val="C00000"/>
            </a:solidFill>
            <a:ln>
              <a:noFill/>
            </a:ln>
            <a:effectLst/>
          </c:spPr>
          <c:invertIfNegative val="0"/>
          <c:cat>
            <c:strRef>
              <c:f>'1.'!$C$91:$E$99</c:f>
              <c:strCache>
                <c:ptCount val="9"/>
                <c:pt idx="0">
                  <c:v>Buildings</c:v>
                </c:pt>
                <c:pt idx="1">
                  <c:v>Road, rail and waterways infrastructure</c:v>
                </c:pt>
                <c:pt idx="2">
                  <c:v>Energy system</c:v>
                </c:pt>
                <c:pt idx="3">
                  <c:v>Drinking and sewage water infrastructure</c:v>
                </c:pt>
                <c:pt idx="4">
                  <c:v>Vehicles</c:v>
                </c:pt>
                <c:pt idx="5">
                  <c:v>Machinery</c:v>
                </c:pt>
                <c:pt idx="6">
                  <c:v>Textiles</c:v>
                </c:pt>
                <c:pt idx="7">
                  <c:v>Consumer electronics</c:v>
                </c:pt>
                <c:pt idx="8">
                  <c:v>Other consumer goods</c:v>
                </c:pt>
              </c:strCache>
            </c:strRef>
          </c:cat>
          <c:val>
            <c:numRef>
              <c:f>'1.'!$O$91:$O$99</c:f>
              <c:numCache>
                <c:formatCode>0.00E+00</c:formatCode>
                <c:ptCount val="9"/>
                <c:pt idx="0">
                  <c:v>643410.30950136646</c:v>
                </c:pt>
                <c:pt idx="1">
                  <c:v>32634.836593877462</c:v>
                </c:pt>
                <c:pt idx="2">
                  <c:v>335383.28568021767</c:v>
                </c:pt>
                <c:pt idx="3">
                  <c:v>0</c:v>
                </c:pt>
                <c:pt idx="4">
                  <c:v>1246979.5091160736</c:v>
                </c:pt>
                <c:pt idx="5">
                  <c:v>255176.82904611962</c:v>
                </c:pt>
                <c:pt idx="6">
                  <c:v>0</c:v>
                </c:pt>
                <c:pt idx="7">
                  <c:v>49831</c:v>
                </c:pt>
                <c:pt idx="8">
                  <c:v>0</c:v>
                </c:pt>
              </c:numCache>
            </c:numRef>
          </c:val>
          <c:extLst>
            <c:ext xmlns:c16="http://schemas.microsoft.com/office/drawing/2014/chart" uri="{C3380CC4-5D6E-409C-BE32-E72D297353CC}">
              <c16:uniqueId val="{00000001-64AE-4458-9B8C-CC704EEDB9ED}"/>
            </c:ext>
          </c:extLst>
        </c:ser>
        <c:ser>
          <c:idx val="2"/>
          <c:order val="2"/>
          <c:tx>
            <c:strRef>
              <c:f>'1.'!$P$90</c:f>
              <c:strCache>
                <c:ptCount val="1"/>
                <c:pt idx="0">
                  <c:v>Aluminium</c:v>
                </c:pt>
              </c:strCache>
            </c:strRef>
          </c:tx>
          <c:spPr>
            <a:solidFill>
              <a:schemeClr val="accent1">
                <a:lumMod val="60000"/>
                <a:lumOff val="40000"/>
              </a:schemeClr>
            </a:solidFill>
            <a:ln>
              <a:noFill/>
            </a:ln>
            <a:effectLst/>
          </c:spPr>
          <c:invertIfNegative val="0"/>
          <c:cat>
            <c:strRef>
              <c:f>'1.'!$C$91:$E$99</c:f>
              <c:strCache>
                <c:ptCount val="9"/>
                <c:pt idx="0">
                  <c:v>Buildings</c:v>
                </c:pt>
                <c:pt idx="1">
                  <c:v>Road, rail and waterways infrastructure</c:v>
                </c:pt>
                <c:pt idx="2">
                  <c:v>Energy system</c:v>
                </c:pt>
                <c:pt idx="3">
                  <c:v>Drinking and sewage water infrastructure</c:v>
                </c:pt>
                <c:pt idx="4">
                  <c:v>Vehicles</c:v>
                </c:pt>
                <c:pt idx="5">
                  <c:v>Machinery</c:v>
                </c:pt>
                <c:pt idx="6">
                  <c:v>Textiles</c:v>
                </c:pt>
                <c:pt idx="7">
                  <c:v>Consumer electronics</c:v>
                </c:pt>
                <c:pt idx="8">
                  <c:v>Other consumer goods</c:v>
                </c:pt>
              </c:strCache>
            </c:strRef>
          </c:cat>
          <c:val>
            <c:numRef>
              <c:f>'1.'!$P$91:$P$99</c:f>
              <c:numCache>
                <c:formatCode>0.00E+00</c:formatCode>
                <c:ptCount val="9"/>
                <c:pt idx="0">
                  <c:v>2529591.9038370601</c:v>
                </c:pt>
                <c:pt idx="1">
                  <c:v>56091.089926877466</c:v>
                </c:pt>
                <c:pt idx="2">
                  <c:v>637549.06491318822</c:v>
                </c:pt>
                <c:pt idx="3">
                  <c:v>0</c:v>
                </c:pt>
                <c:pt idx="4">
                  <c:v>1206032.7958518581</c:v>
                </c:pt>
                <c:pt idx="5">
                  <c:v>152719.91613608296</c:v>
                </c:pt>
                <c:pt idx="6">
                  <c:v>0</c:v>
                </c:pt>
                <c:pt idx="7">
                  <c:v>70543</c:v>
                </c:pt>
                <c:pt idx="8">
                  <c:v>228337.44744034417</c:v>
                </c:pt>
              </c:numCache>
            </c:numRef>
          </c:val>
          <c:extLst>
            <c:ext xmlns:c16="http://schemas.microsoft.com/office/drawing/2014/chart" uri="{C3380CC4-5D6E-409C-BE32-E72D297353CC}">
              <c16:uniqueId val="{00000002-64AE-4458-9B8C-CC704EEDB9ED}"/>
            </c:ext>
          </c:extLst>
        </c:ser>
        <c:ser>
          <c:idx val="3"/>
          <c:order val="3"/>
          <c:tx>
            <c:strRef>
              <c:f>'1.'!$T$90</c:f>
              <c:strCache>
                <c:ptCount val="1"/>
                <c:pt idx="0">
                  <c:v>Other metals (non critical)</c:v>
                </c:pt>
              </c:strCache>
            </c:strRef>
          </c:tx>
          <c:spPr>
            <a:solidFill>
              <a:srgbClr val="9F70C2"/>
            </a:solidFill>
            <a:ln>
              <a:noFill/>
            </a:ln>
            <a:effectLst/>
          </c:spPr>
          <c:invertIfNegative val="0"/>
          <c:cat>
            <c:strRef>
              <c:f>'1.'!$C$91:$E$99</c:f>
              <c:strCache>
                <c:ptCount val="9"/>
                <c:pt idx="0">
                  <c:v>Buildings</c:v>
                </c:pt>
                <c:pt idx="1">
                  <c:v>Road, rail and waterways infrastructure</c:v>
                </c:pt>
                <c:pt idx="2">
                  <c:v>Energy system</c:v>
                </c:pt>
                <c:pt idx="3">
                  <c:v>Drinking and sewage water infrastructure</c:v>
                </c:pt>
                <c:pt idx="4">
                  <c:v>Vehicles</c:v>
                </c:pt>
                <c:pt idx="5">
                  <c:v>Machinery</c:v>
                </c:pt>
                <c:pt idx="6">
                  <c:v>Textiles</c:v>
                </c:pt>
                <c:pt idx="7">
                  <c:v>Consumer electronics</c:v>
                </c:pt>
                <c:pt idx="8">
                  <c:v>Other consumer goods</c:v>
                </c:pt>
              </c:strCache>
            </c:strRef>
          </c:cat>
          <c:val>
            <c:numRef>
              <c:f>'1.'!$T$91:$T$99</c:f>
              <c:numCache>
                <c:formatCode>0.00E+00</c:formatCode>
                <c:ptCount val="9"/>
                <c:pt idx="0">
                  <c:v>1892111.3646455107</c:v>
                </c:pt>
                <c:pt idx="1">
                  <c:v>67374.352624148043</c:v>
                </c:pt>
                <c:pt idx="2">
                  <c:v>14200</c:v>
                </c:pt>
                <c:pt idx="3">
                  <c:v>0</c:v>
                </c:pt>
                <c:pt idx="4">
                  <c:v>300.45048837453896</c:v>
                </c:pt>
                <c:pt idx="5">
                  <c:v>21667.898665229579</c:v>
                </c:pt>
                <c:pt idx="6">
                  <c:v>5989.5768907909996</c:v>
                </c:pt>
                <c:pt idx="7">
                  <c:v>0</c:v>
                </c:pt>
                <c:pt idx="8">
                  <c:v>226248.18657938504</c:v>
                </c:pt>
              </c:numCache>
            </c:numRef>
          </c:val>
          <c:extLst>
            <c:ext xmlns:c16="http://schemas.microsoft.com/office/drawing/2014/chart" uri="{C3380CC4-5D6E-409C-BE32-E72D297353CC}">
              <c16:uniqueId val="{00000003-64AE-4458-9B8C-CC704EEDB9ED}"/>
            </c:ext>
          </c:extLst>
        </c:ser>
        <c:ser>
          <c:idx val="5"/>
          <c:order val="4"/>
          <c:tx>
            <c:strRef>
              <c:f>'1.'!$Q$90</c:f>
              <c:strCache>
                <c:ptCount val="1"/>
                <c:pt idx="0">
                  <c:v>Zinc</c:v>
                </c:pt>
              </c:strCache>
            </c:strRef>
          </c:tx>
          <c:spPr>
            <a:solidFill>
              <a:srgbClr val="6FDFB2"/>
            </a:solidFill>
            <a:ln>
              <a:noFill/>
            </a:ln>
            <a:effectLst/>
          </c:spPr>
          <c:invertIfNegative val="0"/>
          <c:cat>
            <c:strRef>
              <c:f>'1.'!$C$91:$E$99</c:f>
              <c:strCache>
                <c:ptCount val="9"/>
                <c:pt idx="0">
                  <c:v>Buildings</c:v>
                </c:pt>
                <c:pt idx="1">
                  <c:v>Road, rail and waterways infrastructure</c:v>
                </c:pt>
                <c:pt idx="2">
                  <c:v>Energy system</c:v>
                </c:pt>
                <c:pt idx="3">
                  <c:v>Drinking and sewage water infrastructure</c:v>
                </c:pt>
                <c:pt idx="4">
                  <c:v>Vehicles</c:v>
                </c:pt>
                <c:pt idx="5">
                  <c:v>Machinery</c:v>
                </c:pt>
                <c:pt idx="6">
                  <c:v>Textiles</c:v>
                </c:pt>
                <c:pt idx="7">
                  <c:v>Consumer electronics</c:v>
                </c:pt>
                <c:pt idx="8">
                  <c:v>Other consumer goods</c:v>
                </c:pt>
              </c:strCache>
            </c:strRef>
          </c:cat>
          <c:val>
            <c:numRef>
              <c:f>'1.'!$Q$91:$Q$99</c:f>
              <c:numCache>
                <c:formatCode>0.00E+00</c:formatCode>
                <c:ptCount val="9"/>
                <c:pt idx="0">
                  <c:v>0</c:v>
                </c:pt>
                <c:pt idx="1">
                  <c:v>5.7429999999999994</c:v>
                </c:pt>
                <c:pt idx="2">
                  <c:v>11.191312197738323</c:v>
                </c:pt>
                <c:pt idx="3">
                  <c:v>0</c:v>
                </c:pt>
                <c:pt idx="4">
                  <c:v>2143.433928645748</c:v>
                </c:pt>
                <c:pt idx="5">
                  <c:v>4835.9567270371099</c:v>
                </c:pt>
                <c:pt idx="6">
                  <c:v>0</c:v>
                </c:pt>
                <c:pt idx="7">
                  <c:v>0</c:v>
                </c:pt>
                <c:pt idx="8">
                  <c:v>0</c:v>
                </c:pt>
              </c:numCache>
            </c:numRef>
          </c:val>
          <c:extLst>
            <c:ext xmlns:c16="http://schemas.microsoft.com/office/drawing/2014/chart" uri="{C3380CC4-5D6E-409C-BE32-E72D297353CC}">
              <c16:uniqueId val="{00000004-64AE-4458-9B8C-CC704EEDB9ED}"/>
            </c:ext>
          </c:extLst>
        </c:ser>
        <c:ser>
          <c:idx val="6"/>
          <c:order val="5"/>
          <c:tx>
            <c:strRef>
              <c:f>'1.'!$R$90</c:f>
              <c:strCache>
                <c:ptCount val="1"/>
                <c:pt idx="0">
                  <c:v>Lead</c:v>
                </c:pt>
              </c:strCache>
            </c:strRef>
          </c:tx>
          <c:spPr>
            <a:solidFill>
              <a:srgbClr val="E3E385"/>
            </a:solidFill>
            <a:ln>
              <a:noFill/>
            </a:ln>
            <a:effectLst/>
          </c:spPr>
          <c:invertIfNegative val="0"/>
          <c:cat>
            <c:strRef>
              <c:f>'1.'!$C$91:$E$99</c:f>
              <c:strCache>
                <c:ptCount val="9"/>
                <c:pt idx="0">
                  <c:v>Buildings</c:v>
                </c:pt>
                <c:pt idx="1">
                  <c:v>Road, rail and waterways infrastructure</c:v>
                </c:pt>
                <c:pt idx="2">
                  <c:v>Energy system</c:v>
                </c:pt>
                <c:pt idx="3">
                  <c:v>Drinking and sewage water infrastructure</c:v>
                </c:pt>
                <c:pt idx="4">
                  <c:v>Vehicles</c:v>
                </c:pt>
                <c:pt idx="5">
                  <c:v>Machinery</c:v>
                </c:pt>
                <c:pt idx="6">
                  <c:v>Textiles</c:v>
                </c:pt>
                <c:pt idx="7">
                  <c:v>Consumer electronics</c:v>
                </c:pt>
                <c:pt idx="8">
                  <c:v>Other consumer goods</c:v>
                </c:pt>
              </c:strCache>
            </c:strRef>
          </c:cat>
          <c:val>
            <c:numRef>
              <c:f>'1.'!$R$91:$R$99</c:f>
              <c:numCache>
                <c:formatCode>0.00E+00</c:formatCode>
                <c:ptCount val="9"/>
                <c:pt idx="0">
                  <c:v>0</c:v>
                </c:pt>
                <c:pt idx="1">
                  <c:v>0</c:v>
                </c:pt>
                <c:pt idx="2">
                  <c:v>324410.69169525406</c:v>
                </c:pt>
                <c:pt idx="3">
                  <c:v>0</c:v>
                </c:pt>
                <c:pt idx="4">
                  <c:v>1994.0858183643245</c:v>
                </c:pt>
                <c:pt idx="5">
                  <c:v>15619.4023439555</c:v>
                </c:pt>
                <c:pt idx="6">
                  <c:v>0</c:v>
                </c:pt>
                <c:pt idx="7">
                  <c:v>0</c:v>
                </c:pt>
                <c:pt idx="8">
                  <c:v>0</c:v>
                </c:pt>
              </c:numCache>
            </c:numRef>
          </c:val>
          <c:extLst>
            <c:ext xmlns:c16="http://schemas.microsoft.com/office/drawing/2014/chart" uri="{C3380CC4-5D6E-409C-BE32-E72D297353CC}">
              <c16:uniqueId val="{00000005-64AE-4458-9B8C-CC704EEDB9ED}"/>
            </c:ext>
          </c:extLst>
        </c:ser>
        <c:ser>
          <c:idx val="4"/>
          <c:order val="6"/>
          <c:tx>
            <c:strRef>
              <c:f>'1.'!$S$90</c:f>
              <c:strCache>
                <c:ptCount val="1"/>
                <c:pt idx="0">
                  <c:v>Alloying elements (non critical)</c:v>
                </c:pt>
              </c:strCache>
            </c:strRef>
          </c:tx>
          <c:spPr>
            <a:solidFill>
              <a:schemeClr val="accent5"/>
            </a:solidFill>
            <a:ln>
              <a:noFill/>
            </a:ln>
            <a:effectLst/>
          </c:spPr>
          <c:invertIfNegative val="0"/>
          <c:cat>
            <c:strRef>
              <c:f>'1.'!$C$91:$E$99</c:f>
              <c:strCache>
                <c:ptCount val="9"/>
                <c:pt idx="0">
                  <c:v>Buildings</c:v>
                </c:pt>
                <c:pt idx="1">
                  <c:v>Road, rail and waterways infrastructure</c:v>
                </c:pt>
                <c:pt idx="2">
                  <c:v>Energy system</c:v>
                </c:pt>
                <c:pt idx="3">
                  <c:v>Drinking and sewage water infrastructure</c:v>
                </c:pt>
                <c:pt idx="4">
                  <c:v>Vehicles</c:v>
                </c:pt>
                <c:pt idx="5">
                  <c:v>Machinery</c:v>
                </c:pt>
                <c:pt idx="6">
                  <c:v>Textiles</c:v>
                </c:pt>
                <c:pt idx="7">
                  <c:v>Consumer electronics</c:v>
                </c:pt>
                <c:pt idx="8">
                  <c:v>Other consumer goods</c:v>
                </c:pt>
              </c:strCache>
            </c:strRef>
          </c:cat>
          <c:val>
            <c:numRef>
              <c:f>'1.'!$S$91:$S$99</c:f>
              <c:numCache>
                <c:formatCode>0.00E+00</c:formatCode>
                <c:ptCount val="9"/>
                <c:pt idx="0">
                  <c:v>0</c:v>
                </c:pt>
                <c:pt idx="1">
                  <c:v>0</c:v>
                </c:pt>
                <c:pt idx="2">
                  <c:v>3281.6674836986404</c:v>
                </c:pt>
                <c:pt idx="3">
                  <c:v>0</c:v>
                </c:pt>
                <c:pt idx="4">
                  <c:v>106434.84095270773</c:v>
                </c:pt>
                <c:pt idx="5">
                  <c:v>0</c:v>
                </c:pt>
                <c:pt idx="6">
                  <c:v>0</c:v>
                </c:pt>
                <c:pt idx="7">
                  <c:v>27562</c:v>
                </c:pt>
                <c:pt idx="8">
                  <c:v>0</c:v>
                </c:pt>
              </c:numCache>
            </c:numRef>
          </c:val>
          <c:extLst>
            <c:ext xmlns:c16="http://schemas.microsoft.com/office/drawing/2014/chart" uri="{C3380CC4-5D6E-409C-BE32-E72D297353CC}">
              <c16:uniqueId val="{00000006-64AE-4458-9B8C-CC704EEDB9ED}"/>
            </c:ext>
          </c:extLst>
        </c:ser>
        <c:dLbls>
          <c:showLegendKey val="0"/>
          <c:showVal val="0"/>
          <c:showCatName val="0"/>
          <c:showSerName val="0"/>
          <c:showPercent val="0"/>
          <c:showBubbleSize val="0"/>
        </c:dLbls>
        <c:gapWidth val="80"/>
        <c:overlap val="100"/>
        <c:axId val="641159087"/>
        <c:axId val="641151183"/>
        <c:extLst>
          <c:ext xmlns:c15="http://schemas.microsoft.com/office/drawing/2012/chart" uri="{02D57815-91ED-43cb-92C2-25804820EDAC}">
            <c15:filteredBarSeries>
              <c15:ser>
                <c:idx val="0"/>
                <c:order val="0"/>
                <c:tx>
                  <c:strRef>
                    <c:extLst>
                      <c:ext uri="{02D57815-91ED-43cb-92C2-25804820EDAC}">
                        <c15:formulaRef>
                          <c15:sqref>'1.'!$N$90</c15:sqref>
                        </c15:formulaRef>
                      </c:ext>
                    </c:extLst>
                    <c:strCache>
                      <c:ptCount val="1"/>
                      <c:pt idx="0">
                        <c:v>Iron and steel</c:v>
                      </c:pt>
                    </c:strCache>
                  </c:strRef>
                </c:tx>
                <c:spPr>
                  <a:solidFill>
                    <a:schemeClr val="tx2">
                      <a:lumMod val="75000"/>
                    </a:schemeClr>
                  </a:solidFill>
                  <a:ln>
                    <a:noFill/>
                  </a:ln>
                  <a:effectLst/>
                </c:spPr>
                <c:invertIfNegative val="0"/>
                <c:cat>
                  <c:strRef>
                    <c:extLst>
                      <c:ext uri="{02D57815-91ED-43cb-92C2-25804820EDAC}">
                        <c15:formulaRef>
                          <c15:sqref>'1.'!$C$91:$E$99</c15:sqref>
                        </c15:formulaRef>
                      </c:ext>
                    </c:extLst>
                    <c:strCache>
                      <c:ptCount val="9"/>
                      <c:pt idx="0">
                        <c:v>Buildings</c:v>
                      </c:pt>
                      <c:pt idx="1">
                        <c:v>Road, rail and waterways infrastructure</c:v>
                      </c:pt>
                      <c:pt idx="2">
                        <c:v>Energy system</c:v>
                      </c:pt>
                      <c:pt idx="3">
                        <c:v>Drinking and sewage water infrastructure</c:v>
                      </c:pt>
                      <c:pt idx="4">
                        <c:v>Vehicles</c:v>
                      </c:pt>
                      <c:pt idx="5">
                        <c:v>Machinery</c:v>
                      </c:pt>
                      <c:pt idx="6">
                        <c:v>Textiles</c:v>
                      </c:pt>
                      <c:pt idx="7">
                        <c:v>Consumer electronics</c:v>
                      </c:pt>
                      <c:pt idx="8">
                        <c:v>Other consumer goods</c:v>
                      </c:pt>
                    </c:strCache>
                  </c:strRef>
                </c:cat>
                <c:val>
                  <c:numRef>
                    <c:extLst>
                      <c:ext uri="{02D57815-91ED-43cb-92C2-25804820EDAC}">
                        <c15:formulaRef>
                          <c15:sqref>'1.'!$N$91:$N$99</c15:sqref>
                        </c15:formulaRef>
                      </c:ext>
                    </c:extLst>
                    <c:numCache>
                      <c:formatCode>0.00E+00</c:formatCode>
                      <c:ptCount val="9"/>
                      <c:pt idx="0">
                        <c:v>98013902.496117115</c:v>
                      </c:pt>
                      <c:pt idx="1">
                        <c:v>21083641.768250555</c:v>
                      </c:pt>
                      <c:pt idx="2">
                        <c:v>3533376.9403552539</c:v>
                      </c:pt>
                      <c:pt idx="3">
                        <c:v>1810190</c:v>
                      </c:pt>
                      <c:pt idx="4">
                        <c:v>29512318.416391607</c:v>
                      </c:pt>
                      <c:pt idx="5">
                        <c:v>6808548.814405703</c:v>
                      </c:pt>
                      <c:pt idx="6">
                        <c:v>317316.12164756301</c:v>
                      </c:pt>
                      <c:pt idx="7">
                        <c:v>572929</c:v>
                      </c:pt>
                      <c:pt idx="8">
                        <c:v>2971474.1101978784</c:v>
                      </c:pt>
                    </c:numCache>
                  </c:numRef>
                </c:val>
                <c:extLst>
                  <c:ext xmlns:c16="http://schemas.microsoft.com/office/drawing/2014/chart" uri="{C3380CC4-5D6E-409C-BE32-E72D297353CC}">
                    <c16:uniqueId val="{00000000-64AE-4458-9B8C-CC704EEDB9ED}"/>
                  </c:ext>
                </c:extLst>
              </c15:ser>
            </c15:filteredBarSeries>
          </c:ext>
        </c:extLst>
      </c:barChart>
      <c:catAx>
        <c:axId val="641159087"/>
        <c:scaling>
          <c:orientation val="minMax"/>
        </c:scaling>
        <c:delete val="0"/>
        <c:axPos val="b"/>
        <c:numFmt formatCode="General" sourceLinked="1"/>
        <c:majorTickMark val="none"/>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venir Next LT Pro" panose="020B0504020202020204" pitchFamily="34" charset="0"/>
                <a:ea typeface="+mn-ea"/>
                <a:cs typeface="+mn-cs"/>
              </a:defRPr>
            </a:pPr>
            <a:endParaRPr lang="nl-NL"/>
          </a:p>
        </c:txPr>
        <c:crossAx val="641151183"/>
        <c:crosses val="autoZero"/>
        <c:auto val="1"/>
        <c:lblAlgn val="ctr"/>
        <c:lblOffset val="100"/>
        <c:noMultiLvlLbl val="0"/>
      </c:catAx>
      <c:valAx>
        <c:axId val="641151183"/>
        <c:scaling>
          <c:orientation val="minMax"/>
        </c:scaling>
        <c:delete val="0"/>
        <c:axPos val="l"/>
        <c:title>
          <c:tx>
            <c:rich>
              <a:bodyPr rot="-5400000" spcFirstLastPara="1" vertOverflow="ellipsis" vert="horz" wrap="square" anchor="ctr" anchorCtr="1"/>
              <a:lstStyle/>
              <a:p>
                <a:pPr>
                  <a:defRPr sz="900" b="1" i="0" u="none" strike="noStrike" kern="1200" baseline="0">
                    <a:solidFill>
                      <a:sysClr val="windowText" lastClr="000000"/>
                    </a:solidFill>
                    <a:latin typeface="Avenir Next LT Pro" panose="020B0504020202020204" pitchFamily="34" charset="0"/>
                    <a:ea typeface="+mn-ea"/>
                    <a:cs typeface="+mn-cs"/>
                  </a:defRPr>
                </a:pPr>
                <a:r>
                  <a:rPr lang="en-US" b="1"/>
                  <a:t>ton</a:t>
                </a:r>
              </a:p>
            </c:rich>
          </c:tx>
          <c:overlay val="0"/>
          <c:spPr>
            <a:noFill/>
            <a:ln>
              <a:noFill/>
            </a:ln>
            <a:effectLst/>
          </c:spPr>
          <c:txPr>
            <a:bodyPr rot="-5400000" spcFirstLastPara="1" vertOverflow="ellipsis" vert="horz" wrap="square" anchor="ctr" anchorCtr="1"/>
            <a:lstStyle/>
            <a:p>
              <a:pPr>
                <a:defRPr sz="900" b="1" i="0" u="none" strike="noStrike" kern="1200" baseline="0">
                  <a:solidFill>
                    <a:sysClr val="windowText" lastClr="000000"/>
                  </a:solidFill>
                  <a:latin typeface="Avenir Next LT Pro" panose="020B0504020202020204" pitchFamily="34" charset="0"/>
                  <a:ea typeface="+mn-ea"/>
                  <a:cs typeface="+mn-cs"/>
                </a:defRPr>
              </a:pPr>
              <a:endParaRPr lang="nl-NL"/>
            </a:p>
          </c:txPr>
        </c:title>
        <c:numFmt formatCode="0.00E+00" sourceLinked="1"/>
        <c:majorTickMark val="none"/>
        <c:minorTickMark val="none"/>
        <c:tickLblPos val="nextTo"/>
        <c:spPr>
          <a:noFill/>
          <a:ln>
            <a:solidFill>
              <a:schemeClr val="tx1"/>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venir Next LT Pro" panose="020B0504020202020204" pitchFamily="34" charset="0"/>
                <a:ea typeface="+mn-ea"/>
                <a:cs typeface="+mn-cs"/>
              </a:defRPr>
            </a:pPr>
            <a:endParaRPr lang="nl-NL"/>
          </a:p>
        </c:txPr>
        <c:crossAx val="641159087"/>
        <c:crosses val="autoZero"/>
        <c:crossBetween val="between"/>
      </c:valAx>
      <c:spPr>
        <a:noFill/>
        <a:ln>
          <a:noFill/>
        </a:ln>
        <a:effectLst/>
      </c:spPr>
    </c:plotArea>
    <c:legend>
      <c:legendPos val="r"/>
      <c:layout>
        <c:manualLayout>
          <c:xMode val="edge"/>
          <c:yMode val="edge"/>
          <c:x val="0.6531167245959989"/>
          <c:y val="0.1015676836175296"/>
          <c:w val="0.31856828148848926"/>
          <c:h val="0.38448989464285488"/>
        </c:manualLayout>
      </c:layout>
      <c:overlay val="0"/>
      <c:spPr>
        <a:noFill/>
        <a:ln>
          <a:solidFill>
            <a:schemeClr val="tx1"/>
          </a:solidFill>
        </a:ln>
        <a:effectLst/>
      </c:spPr>
      <c:txPr>
        <a:bodyPr rot="0" spcFirstLastPara="1" vertOverflow="ellipsis" vert="horz" wrap="square" anchor="ctr" anchorCtr="1"/>
        <a:lstStyle/>
        <a:p>
          <a:pPr>
            <a:defRPr sz="800" b="0" i="0" u="none" strike="noStrike" kern="1200" baseline="0">
              <a:solidFill>
                <a:sysClr val="windowText" lastClr="000000"/>
              </a:solidFill>
              <a:latin typeface="Avenir Next LT Pro" panose="020B0504020202020204" pitchFamily="34" charset="0"/>
              <a:ea typeface="+mn-ea"/>
              <a:cs typeface="+mn-cs"/>
            </a:defRPr>
          </a:pPr>
          <a:endParaRPr lang="nl-NL"/>
        </a:p>
      </c:txPr>
    </c:legend>
    <c:plotVisOnly val="1"/>
    <c:dispBlanksAs val="gap"/>
    <c:showDLblsOverMax val="0"/>
    <c:extLst/>
  </c:chart>
  <c:spPr>
    <a:solidFill>
      <a:schemeClr val="bg1"/>
    </a:solidFill>
    <a:ln w="9525" cap="flat" cmpd="sng" algn="ctr">
      <a:noFill/>
      <a:round/>
    </a:ln>
    <a:effectLst/>
  </c:spPr>
  <c:txPr>
    <a:bodyPr/>
    <a:lstStyle/>
    <a:p>
      <a:pPr>
        <a:defRPr sz="900">
          <a:solidFill>
            <a:sysClr val="windowText" lastClr="000000"/>
          </a:solidFill>
          <a:latin typeface="Avenir Next LT Pro" panose="020B0504020202020204" pitchFamily="34" charset="0"/>
        </a:defRPr>
      </a:pPr>
      <a:endParaRPr lang="nl-NL"/>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900" b="1" i="0" u="none" strike="noStrike" kern="1200" spc="0" baseline="0">
                <a:solidFill>
                  <a:sysClr val="windowText" lastClr="000000"/>
                </a:solidFill>
                <a:latin typeface="Avenir Next LT Pro" panose="020B0504020202020204" pitchFamily="34" charset="0"/>
                <a:ea typeface="+mn-ea"/>
                <a:cs typeface="+mn-cs"/>
              </a:defRPr>
            </a:pPr>
            <a:r>
              <a:rPr lang="en-US" sz="900" b="1" baseline="0"/>
              <a:t>In-use stocks of materials per sector, the Netherlands, ca. 2020</a:t>
            </a:r>
          </a:p>
          <a:p>
            <a:pPr>
              <a:defRPr sz="900" b="1"/>
            </a:pPr>
            <a:r>
              <a:rPr lang="en-US" sz="900" b="0" i="1" baseline="0"/>
              <a:t>critical raw materials</a:t>
            </a:r>
            <a:endParaRPr lang="en-US" sz="900" b="0" i="1"/>
          </a:p>
        </c:rich>
      </c:tx>
      <c:layout>
        <c:manualLayout>
          <c:xMode val="edge"/>
          <c:yMode val="edge"/>
          <c:x val="0.35185951356076256"/>
          <c:y val="6.4516082378803657E-2"/>
        </c:manualLayout>
      </c:layout>
      <c:overlay val="0"/>
      <c:spPr>
        <a:noFill/>
        <a:ln>
          <a:noFill/>
        </a:ln>
        <a:effectLst/>
      </c:spPr>
      <c:txPr>
        <a:bodyPr rot="0" spcFirstLastPara="1" vertOverflow="ellipsis" vert="horz" wrap="square" anchor="ctr" anchorCtr="1"/>
        <a:lstStyle/>
        <a:p>
          <a:pPr>
            <a:defRPr sz="900" b="1" i="0" u="none" strike="noStrike" kern="1200" spc="0" baseline="0">
              <a:solidFill>
                <a:sysClr val="windowText" lastClr="000000"/>
              </a:solidFill>
              <a:latin typeface="Avenir Next LT Pro" panose="020B0504020202020204" pitchFamily="34" charset="0"/>
              <a:ea typeface="+mn-ea"/>
              <a:cs typeface="+mn-cs"/>
            </a:defRPr>
          </a:pPr>
          <a:endParaRPr lang="nl-NL"/>
        </a:p>
      </c:txPr>
    </c:title>
    <c:autoTitleDeleted val="0"/>
    <c:plotArea>
      <c:layout>
        <c:manualLayout>
          <c:layoutTarget val="inner"/>
          <c:xMode val="edge"/>
          <c:yMode val="edge"/>
          <c:x val="0.24503995687078475"/>
          <c:y val="9.303975891902401E-2"/>
          <c:w val="0.70464744758974407"/>
          <c:h val="0.57229456662744738"/>
        </c:manualLayout>
      </c:layout>
      <c:barChart>
        <c:barDir val="col"/>
        <c:grouping val="stacked"/>
        <c:varyColors val="0"/>
        <c:ser>
          <c:idx val="4"/>
          <c:order val="5"/>
          <c:tx>
            <c:strRef>
              <c:f>'1.'!$BM$90</c:f>
              <c:strCache>
                <c:ptCount val="1"/>
                <c:pt idx="0">
                  <c:v>CRM</c:v>
                </c:pt>
              </c:strCache>
            </c:strRef>
          </c:tx>
          <c:spPr>
            <a:solidFill>
              <a:srgbClr val="FCBF49"/>
            </a:solidFill>
            <a:ln>
              <a:noFill/>
            </a:ln>
            <a:effectLst/>
          </c:spPr>
          <c:invertIfNegative val="0"/>
          <c:cat>
            <c:strRef>
              <c:f>'1.'!$BF$91:$BF$99</c:f>
              <c:strCache>
                <c:ptCount val="9"/>
                <c:pt idx="0">
                  <c:v>Buildings</c:v>
                </c:pt>
                <c:pt idx="1">
                  <c:v>Road, rail and waterways infrastructure</c:v>
                </c:pt>
                <c:pt idx="2">
                  <c:v>Energy system</c:v>
                </c:pt>
                <c:pt idx="3">
                  <c:v>Drinking and sewage water infrastructure</c:v>
                </c:pt>
                <c:pt idx="4">
                  <c:v>Vehicles</c:v>
                </c:pt>
                <c:pt idx="5">
                  <c:v>Machinery</c:v>
                </c:pt>
                <c:pt idx="6">
                  <c:v>Textiles</c:v>
                </c:pt>
                <c:pt idx="7">
                  <c:v>Consumer electronics</c:v>
                </c:pt>
                <c:pt idx="8">
                  <c:v>Other consumer goods</c:v>
                </c:pt>
              </c:strCache>
            </c:strRef>
          </c:cat>
          <c:val>
            <c:numRef>
              <c:f>'1.'!$BM$91:$BM$99</c:f>
              <c:numCache>
                <c:formatCode>0.00E+00</c:formatCode>
                <c:ptCount val="9"/>
                <c:pt idx="0">
                  <c:v>0</c:v>
                </c:pt>
                <c:pt idx="1">
                  <c:v>0</c:v>
                </c:pt>
                <c:pt idx="2">
                  <c:v>16107.200058030037</c:v>
                </c:pt>
                <c:pt idx="3">
                  <c:v>0</c:v>
                </c:pt>
                <c:pt idx="4">
                  <c:v>4741.0076329849435</c:v>
                </c:pt>
                <c:pt idx="5">
                  <c:v>332.38799442296175</c:v>
                </c:pt>
                <c:pt idx="6">
                  <c:v>0</c:v>
                </c:pt>
                <c:pt idx="7">
                  <c:v>34179</c:v>
                </c:pt>
                <c:pt idx="8">
                  <c:v>21685.859956402113</c:v>
                </c:pt>
              </c:numCache>
            </c:numRef>
          </c:val>
          <c:extLst>
            <c:ext xmlns:c16="http://schemas.microsoft.com/office/drawing/2014/chart" uri="{C3380CC4-5D6E-409C-BE32-E72D297353CC}">
              <c16:uniqueId val="{00000004-0527-4D1F-B60C-472B8CD60AAF}"/>
            </c:ext>
          </c:extLst>
        </c:ser>
        <c:dLbls>
          <c:showLegendKey val="0"/>
          <c:showVal val="0"/>
          <c:showCatName val="0"/>
          <c:showSerName val="0"/>
          <c:showPercent val="0"/>
          <c:showBubbleSize val="0"/>
        </c:dLbls>
        <c:gapWidth val="150"/>
        <c:overlap val="100"/>
        <c:axId val="1575683903"/>
        <c:axId val="1575692639"/>
        <c:extLst>
          <c:ext xmlns:c15="http://schemas.microsoft.com/office/drawing/2012/chart" uri="{02D57815-91ED-43cb-92C2-25804820EDAC}">
            <c15:filteredBarSeries>
              <c15:ser>
                <c:idx val="0"/>
                <c:order val="0"/>
                <c:tx>
                  <c:strRef>
                    <c:extLst>
                      <c:ext uri="{02D57815-91ED-43cb-92C2-25804820EDAC}">
                        <c15:formulaRef>
                          <c15:sqref>'1.'!$BH$90</c15:sqref>
                        </c15:formulaRef>
                      </c:ext>
                    </c:extLst>
                    <c:strCache>
                      <c:ptCount val="1"/>
                      <c:pt idx="0">
                        <c:v>Construction minerals</c:v>
                      </c:pt>
                    </c:strCache>
                  </c:strRef>
                </c:tx>
                <c:spPr>
                  <a:solidFill>
                    <a:srgbClr val="003049"/>
                  </a:solidFill>
                  <a:ln>
                    <a:noFill/>
                  </a:ln>
                  <a:effectLst/>
                </c:spPr>
                <c:invertIfNegative val="0"/>
                <c:cat>
                  <c:strRef>
                    <c:extLst>
                      <c:ext uri="{02D57815-91ED-43cb-92C2-25804820EDAC}">
                        <c15:formulaRef>
                          <c15:sqref>'1.'!$BF$91:$BF$99</c15:sqref>
                        </c15:formulaRef>
                      </c:ext>
                    </c:extLst>
                    <c:strCache>
                      <c:ptCount val="9"/>
                      <c:pt idx="0">
                        <c:v>Buildings</c:v>
                      </c:pt>
                      <c:pt idx="1">
                        <c:v>Road, rail and waterways infrastructure</c:v>
                      </c:pt>
                      <c:pt idx="2">
                        <c:v>Energy system</c:v>
                      </c:pt>
                      <c:pt idx="3">
                        <c:v>Drinking and sewage water infrastructure</c:v>
                      </c:pt>
                      <c:pt idx="4">
                        <c:v>Vehicles</c:v>
                      </c:pt>
                      <c:pt idx="5">
                        <c:v>Machinery</c:v>
                      </c:pt>
                      <c:pt idx="6">
                        <c:v>Textiles</c:v>
                      </c:pt>
                      <c:pt idx="7">
                        <c:v>Consumer electronics</c:v>
                      </c:pt>
                      <c:pt idx="8">
                        <c:v>Other consumer goods</c:v>
                      </c:pt>
                    </c:strCache>
                  </c:strRef>
                </c:cat>
                <c:val>
                  <c:numRef>
                    <c:extLst>
                      <c:ext uri="{02D57815-91ED-43cb-92C2-25804820EDAC}">
                        <c15:formulaRef>
                          <c15:sqref>'1.'!$BH$91:$BH$99</c15:sqref>
                        </c15:formulaRef>
                      </c:ext>
                    </c:extLst>
                    <c:numCache>
                      <c:formatCode>0.00E+00</c:formatCode>
                      <c:ptCount val="9"/>
                      <c:pt idx="0">
                        <c:v>493322020.62445456</c:v>
                      </c:pt>
                      <c:pt idx="1">
                        <c:v>3844627462.0065627</c:v>
                      </c:pt>
                      <c:pt idx="2">
                        <c:v>0</c:v>
                      </c:pt>
                      <c:pt idx="3">
                        <c:v>0</c:v>
                      </c:pt>
                      <c:pt idx="4">
                        <c:v>0</c:v>
                      </c:pt>
                      <c:pt idx="5">
                        <c:v>0</c:v>
                      </c:pt>
                      <c:pt idx="6">
                        <c:v>0</c:v>
                      </c:pt>
                      <c:pt idx="7">
                        <c:v>0</c:v>
                      </c:pt>
                      <c:pt idx="8">
                        <c:v>0</c:v>
                      </c:pt>
                    </c:numCache>
                  </c:numRef>
                </c:val>
                <c:extLst>
                  <c:ext xmlns:c16="http://schemas.microsoft.com/office/drawing/2014/chart" uri="{C3380CC4-5D6E-409C-BE32-E72D297353CC}">
                    <c16:uniqueId val="{00000000-0527-4D1F-B60C-472B8CD60AAF}"/>
                  </c:ext>
                </c:extLst>
              </c15:ser>
            </c15:filteredBarSeries>
            <c15:filteredBarSeries>
              <c15:ser>
                <c:idx val="5"/>
                <c:order val="1"/>
                <c:tx>
                  <c:strRef>
                    <c:extLst xmlns:c15="http://schemas.microsoft.com/office/drawing/2012/chart">
                      <c:ext xmlns:c15="http://schemas.microsoft.com/office/drawing/2012/chart" uri="{02D57815-91ED-43cb-92C2-25804820EDAC}">
                        <c15:formulaRef>
                          <c15:sqref>'1.'!$BI$90</c15:sqref>
                        </c15:formulaRef>
                      </c:ext>
                    </c:extLst>
                    <c:strCache>
                      <c:ptCount val="1"/>
                      <c:pt idx="0">
                        <c:v>Construction materials</c:v>
                      </c:pt>
                    </c:strCache>
                  </c:strRef>
                </c:tx>
                <c:spPr>
                  <a:solidFill>
                    <a:schemeClr val="accent6"/>
                  </a:solidFill>
                  <a:ln>
                    <a:noFill/>
                  </a:ln>
                  <a:effectLst/>
                </c:spPr>
                <c:invertIfNegative val="0"/>
                <c:val>
                  <c:numRef>
                    <c:extLst xmlns:c15="http://schemas.microsoft.com/office/drawing/2012/chart">
                      <c:ext xmlns:c15="http://schemas.microsoft.com/office/drawing/2012/chart" uri="{02D57815-91ED-43cb-92C2-25804820EDAC}">
                        <c15:formulaRef>
                          <c15:sqref>'1.'!$BI$91:$BI$99</c15:sqref>
                        </c15:formulaRef>
                      </c:ext>
                    </c:extLst>
                    <c:numCache>
                      <c:formatCode>0.00E+00</c:formatCode>
                      <c:ptCount val="9"/>
                      <c:pt idx="0">
                        <c:v>2021484519.3825493</c:v>
                      </c:pt>
                      <c:pt idx="1">
                        <c:v>1110084288.43537</c:v>
                      </c:pt>
                      <c:pt idx="2">
                        <c:v>6208338.2301747743</c:v>
                      </c:pt>
                      <c:pt idx="3">
                        <c:v>23621912</c:v>
                      </c:pt>
                      <c:pt idx="4">
                        <c:v>0</c:v>
                      </c:pt>
                      <c:pt idx="5">
                        <c:v>1947091.54635304</c:v>
                      </c:pt>
                      <c:pt idx="6">
                        <c:v>0</c:v>
                      </c:pt>
                      <c:pt idx="7">
                        <c:v>0</c:v>
                      </c:pt>
                      <c:pt idx="8">
                        <c:v>153944.64480295699</c:v>
                      </c:pt>
                    </c:numCache>
                  </c:numRef>
                </c:val>
                <c:extLst xmlns:c15="http://schemas.microsoft.com/office/drawing/2012/chart">
                  <c:ext xmlns:c16="http://schemas.microsoft.com/office/drawing/2014/chart" uri="{C3380CC4-5D6E-409C-BE32-E72D297353CC}">
                    <c16:uniqueId val="{00000000-9579-4D6A-8A99-0E99EA6E8864}"/>
                  </c:ext>
                </c:extLst>
              </c15:ser>
            </c15:filteredBarSeries>
            <c15:filteredBarSeries>
              <c15:ser>
                <c:idx val="1"/>
                <c:order val="2"/>
                <c:tx>
                  <c:strRef>
                    <c:extLst xmlns:c15="http://schemas.microsoft.com/office/drawing/2012/chart">
                      <c:ext xmlns:c15="http://schemas.microsoft.com/office/drawing/2012/chart" uri="{02D57815-91ED-43cb-92C2-25804820EDAC}">
                        <c15:formulaRef>
                          <c15:sqref>'1.'!$BJ$90</c15:sqref>
                        </c15:formulaRef>
                      </c:ext>
                    </c:extLst>
                    <c:strCache>
                      <c:ptCount val="1"/>
                      <c:pt idx="0">
                        <c:v>Metals</c:v>
                      </c:pt>
                    </c:strCache>
                  </c:strRef>
                </c:tx>
                <c:spPr>
                  <a:solidFill>
                    <a:srgbClr val="D62828"/>
                  </a:solidFill>
                  <a:ln>
                    <a:noFill/>
                  </a:ln>
                  <a:effectLst/>
                </c:spPr>
                <c:invertIfNegative val="0"/>
                <c:cat>
                  <c:strRef>
                    <c:extLst xmlns:c15="http://schemas.microsoft.com/office/drawing/2012/chart">
                      <c:ext xmlns:c15="http://schemas.microsoft.com/office/drawing/2012/chart" uri="{02D57815-91ED-43cb-92C2-25804820EDAC}">
                        <c15:formulaRef>
                          <c15:sqref>'1.'!$BF$91:$BF$99</c15:sqref>
                        </c15:formulaRef>
                      </c:ext>
                    </c:extLst>
                    <c:strCache>
                      <c:ptCount val="9"/>
                      <c:pt idx="0">
                        <c:v>Buildings</c:v>
                      </c:pt>
                      <c:pt idx="1">
                        <c:v>Road, rail and waterways infrastructure</c:v>
                      </c:pt>
                      <c:pt idx="2">
                        <c:v>Energy system</c:v>
                      </c:pt>
                      <c:pt idx="3">
                        <c:v>Drinking and sewage water infrastructure</c:v>
                      </c:pt>
                      <c:pt idx="4">
                        <c:v>Vehicles</c:v>
                      </c:pt>
                      <c:pt idx="5">
                        <c:v>Machinery</c:v>
                      </c:pt>
                      <c:pt idx="6">
                        <c:v>Textiles</c:v>
                      </c:pt>
                      <c:pt idx="7">
                        <c:v>Consumer electronics</c:v>
                      </c:pt>
                      <c:pt idx="8">
                        <c:v>Other consumer goods</c:v>
                      </c:pt>
                    </c:strCache>
                  </c:strRef>
                </c:cat>
                <c:val>
                  <c:numRef>
                    <c:extLst xmlns:c15="http://schemas.microsoft.com/office/drawing/2012/chart">
                      <c:ext xmlns:c15="http://schemas.microsoft.com/office/drawing/2012/chart" uri="{02D57815-91ED-43cb-92C2-25804820EDAC}">
                        <c15:formulaRef>
                          <c15:sqref>'1.'!$BJ$91:$BJ$99</c15:sqref>
                        </c15:formulaRef>
                      </c:ext>
                    </c:extLst>
                    <c:numCache>
                      <c:formatCode>0.00E+00</c:formatCode>
                      <c:ptCount val="9"/>
                      <c:pt idx="0">
                        <c:v>103079016.07410105</c:v>
                      </c:pt>
                      <c:pt idx="1">
                        <c:v>21239747.790395457</c:v>
                      </c:pt>
                      <c:pt idx="2">
                        <c:v>4848212.8414398106</c:v>
                      </c:pt>
                      <c:pt idx="3">
                        <c:v>1810190</c:v>
                      </c:pt>
                      <c:pt idx="4">
                        <c:v>32076203.53254763</c:v>
                      </c:pt>
                      <c:pt idx="5">
                        <c:v>7258568.8173241289</c:v>
                      </c:pt>
                      <c:pt idx="6">
                        <c:v>323305.69853835402</c:v>
                      </c:pt>
                      <c:pt idx="7">
                        <c:v>720865</c:v>
                      </c:pt>
                      <c:pt idx="8">
                        <c:v>3426059.7442176077</c:v>
                      </c:pt>
                    </c:numCache>
                  </c:numRef>
                </c:val>
                <c:extLst xmlns:c15="http://schemas.microsoft.com/office/drawing/2012/chart">
                  <c:ext xmlns:c16="http://schemas.microsoft.com/office/drawing/2014/chart" uri="{C3380CC4-5D6E-409C-BE32-E72D297353CC}">
                    <c16:uniqueId val="{00000001-0527-4D1F-B60C-472B8CD60AAF}"/>
                  </c:ext>
                </c:extLst>
              </c15:ser>
            </c15:filteredBarSeries>
            <c15:filteredBarSeries>
              <c15:ser>
                <c:idx val="2"/>
                <c:order val="3"/>
                <c:tx>
                  <c:strRef>
                    <c:extLst xmlns:c15="http://schemas.microsoft.com/office/drawing/2012/chart">
                      <c:ext xmlns:c15="http://schemas.microsoft.com/office/drawing/2012/chart" uri="{02D57815-91ED-43cb-92C2-25804820EDAC}">
                        <c15:formulaRef>
                          <c15:sqref>'1.'!$BK$90</c15:sqref>
                        </c15:formulaRef>
                      </c:ext>
                    </c:extLst>
                    <c:strCache>
                      <c:ptCount val="1"/>
                      <c:pt idx="0">
                        <c:v>Biobased materials</c:v>
                      </c:pt>
                    </c:strCache>
                  </c:strRef>
                </c:tx>
                <c:spPr>
                  <a:solidFill>
                    <a:srgbClr val="0A9396"/>
                  </a:solidFill>
                  <a:ln>
                    <a:noFill/>
                  </a:ln>
                  <a:effectLst/>
                </c:spPr>
                <c:invertIfNegative val="0"/>
                <c:cat>
                  <c:strRef>
                    <c:extLst xmlns:c15="http://schemas.microsoft.com/office/drawing/2012/chart">
                      <c:ext xmlns:c15="http://schemas.microsoft.com/office/drawing/2012/chart" uri="{02D57815-91ED-43cb-92C2-25804820EDAC}">
                        <c15:formulaRef>
                          <c15:sqref>'1.'!$BF$91:$BF$99</c15:sqref>
                        </c15:formulaRef>
                      </c:ext>
                    </c:extLst>
                    <c:strCache>
                      <c:ptCount val="9"/>
                      <c:pt idx="0">
                        <c:v>Buildings</c:v>
                      </c:pt>
                      <c:pt idx="1">
                        <c:v>Road, rail and waterways infrastructure</c:v>
                      </c:pt>
                      <c:pt idx="2">
                        <c:v>Energy system</c:v>
                      </c:pt>
                      <c:pt idx="3">
                        <c:v>Drinking and sewage water infrastructure</c:v>
                      </c:pt>
                      <c:pt idx="4">
                        <c:v>Vehicles</c:v>
                      </c:pt>
                      <c:pt idx="5">
                        <c:v>Machinery</c:v>
                      </c:pt>
                      <c:pt idx="6">
                        <c:v>Textiles</c:v>
                      </c:pt>
                      <c:pt idx="7">
                        <c:v>Consumer electronics</c:v>
                      </c:pt>
                      <c:pt idx="8">
                        <c:v>Other consumer goods</c:v>
                      </c:pt>
                    </c:strCache>
                  </c:strRef>
                </c:cat>
                <c:val>
                  <c:numRef>
                    <c:extLst xmlns:c15="http://schemas.microsoft.com/office/drawing/2012/chart">
                      <c:ext xmlns:c15="http://schemas.microsoft.com/office/drawing/2012/chart" uri="{02D57815-91ED-43cb-92C2-25804820EDAC}">
                        <c15:formulaRef>
                          <c15:sqref>'1.'!$BK$91:$BK$99</c15:sqref>
                        </c15:formulaRef>
                      </c:ext>
                    </c:extLst>
                    <c:numCache>
                      <c:formatCode>0.00E+00</c:formatCode>
                      <c:ptCount val="9"/>
                      <c:pt idx="0">
                        <c:v>46958721.675927602</c:v>
                      </c:pt>
                      <c:pt idx="1">
                        <c:v>64234.034590877432</c:v>
                      </c:pt>
                      <c:pt idx="2">
                        <c:v>1555.691381722083</c:v>
                      </c:pt>
                      <c:pt idx="3">
                        <c:v>0</c:v>
                      </c:pt>
                      <c:pt idx="4">
                        <c:v>2422756.9447381068</c:v>
                      </c:pt>
                      <c:pt idx="5">
                        <c:v>0</c:v>
                      </c:pt>
                      <c:pt idx="6">
                        <c:v>1061739.5642920006</c:v>
                      </c:pt>
                      <c:pt idx="7">
                        <c:v>0</c:v>
                      </c:pt>
                      <c:pt idx="8">
                        <c:v>5452220.1682905667</c:v>
                      </c:pt>
                    </c:numCache>
                  </c:numRef>
                </c:val>
                <c:extLst xmlns:c15="http://schemas.microsoft.com/office/drawing/2012/chart">
                  <c:ext xmlns:c16="http://schemas.microsoft.com/office/drawing/2014/chart" uri="{C3380CC4-5D6E-409C-BE32-E72D297353CC}">
                    <c16:uniqueId val="{00000002-0527-4D1F-B60C-472B8CD60AAF}"/>
                  </c:ext>
                </c:extLst>
              </c15:ser>
            </c15:filteredBarSeries>
            <c15:filteredBarSeries>
              <c15:ser>
                <c:idx val="3"/>
                <c:order val="4"/>
                <c:tx>
                  <c:strRef>
                    <c:extLst xmlns:c15="http://schemas.microsoft.com/office/drawing/2012/chart">
                      <c:ext xmlns:c15="http://schemas.microsoft.com/office/drawing/2012/chart" uri="{02D57815-91ED-43cb-92C2-25804820EDAC}">
                        <c15:formulaRef>
                          <c15:sqref>'1.'!$BL$90</c15:sqref>
                        </c15:formulaRef>
                      </c:ext>
                    </c:extLst>
                    <c:strCache>
                      <c:ptCount val="1"/>
                      <c:pt idx="0">
                        <c:v>Other materials</c:v>
                      </c:pt>
                    </c:strCache>
                  </c:strRef>
                </c:tx>
                <c:spPr>
                  <a:solidFill>
                    <a:srgbClr val="80ED99"/>
                  </a:solidFill>
                  <a:ln>
                    <a:noFill/>
                  </a:ln>
                  <a:effectLst/>
                </c:spPr>
                <c:invertIfNegative val="0"/>
                <c:cat>
                  <c:strRef>
                    <c:extLst xmlns:c15="http://schemas.microsoft.com/office/drawing/2012/chart">
                      <c:ext xmlns:c15="http://schemas.microsoft.com/office/drawing/2012/chart" uri="{02D57815-91ED-43cb-92C2-25804820EDAC}">
                        <c15:formulaRef>
                          <c15:sqref>'1.'!$BF$91:$BF$99</c15:sqref>
                        </c15:formulaRef>
                      </c:ext>
                    </c:extLst>
                    <c:strCache>
                      <c:ptCount val="9"/>
                      <c:pt idx="0">
                        <c:v>Buildings</c:v>
                      </c:pt>
                      <c:pt idx="1">
                        <c:v>Road, rail and waterways infrastructure</c:v>
                      </c:pt>
                      <c:pt idx="2">
                        <c:v>Energy system</c:v>
                      </c:pt>
                      <c:pt idx="3">
                        <c:v>Drinking and sewage water infrastructure</c:v>
                      </c:pt>
                      <c:pt idx="4">
                        <c:v>Vehicles</c:v>
                      </c:pt>
                      <c:pt idx="5">
                        <c:v>Machinery</c:v>
                      </c:pt>
                      <c:pt idx="6">
                        <c:v>Textiles</c:v>
                      </c:pt>
                      <c:pt idx="7">
                        <c:v>Consumer electronics</c:v>
                      </c:pt>
                      <c:pt idx="8">
                        <c:v>Other consumer goods</c:v>
                      </c:pt>
                    </c:strCache>
                  </c:strRef>
                </c:cat>
                <c:val>
                  <c:numRef>
                    <c:extLst xmlns:c15="http://schemas.microsoft.com/office/drawing/2012/chart">
                      <c:ext xmlns:c15="http://schemas.microsoft.com/office/drawing/2012/chart" uri="{02D57815-91ED-43cb-92C2-25804820EDAC}">
                        <c15:formulaRef>
                          <c15:sqref>'1.'!$BL$91:$BL$99</c15:sqref>
                        </c15:formulaRef>
                      </c:ext>
                    </c:extLst>
                    <c:numCache>
                      <c:formatCode>0.00E+00</c:formatCode>
                      <c:ptCount val="9"/>
                      <c:pt idx="0">
                        <c:v>42583898.174264602</c:v>
                      </c:pt>
                      <c:pt idx="1">
                        <c:v>255831.82895175659</c:v>
                      </c:pt>
                      <c:pt idx="2">
                        <c:v>896217.60856916464</c:v>
                      </c:pt>
                      <c:pt idx="3">
                        <c:v>5964275</c:v>
                      </c:pt>
                      <c:pt idx="4">
                        <c:v>1261795.7667718951</c:v>
                      </c:pt>
                      <c:pt idx="5">
                        <c:v>1126863.1270950751</c:v>
                      </c:pt>
                      <c:pt idx="6">
                        <c:v>3168659.0357988086</c:v>
                      </c:pt>
                      <c:pt idx="7">
                        <c:v>370211</c:v>
                      </c:pt>
                      <c:pt idx="8">
                        <c:v>5192623.3246896677</c:v>
                      </c:pt>
                    </c:numCache>
                  </c:numRef>
                </c:val>
                <c:extLst xmlns:c15="http://schemas.microsoft.com/office/drawing/2012/chart">
                  <c:ext xmlns:c16="http://schemas.microsoft.com/office/drawing/2014/chart" uri="{C3380CC4-5D6E-409C-BE32-E72D297353CC}">
                    <c16:uniqueId val="{00000003-0527-4D1F-B60C-472B8CD60AAF}"/>
                  </c:ext>
                </c:extLst>
              </c15:ser>
            </c15:filteredBarSeries>
          </c:ext>
        </c:extLst>
      </c:barChart>
      <c:catAx>
        <c:axId val="1575683903"/>
        <c:scaling>
          <c:orientation val="minMax"/>
        </c:scaling>
        <c:delete val="0"/>
        <c:axPos val="b"/>
        <c:numFmt formatCode="General" sourceLinked="1"/>
        <c:majorTickMark val="none"/>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venir Next LT Pro" panose="020B0504020202020204" pitchFamily="34" charset="0"/>
                <a:ea typeface="+mn-ea"/>
                <a:cs typeface="+mn-cs"/>
              </a:defRPr>
            </a:pPr>
            <a:endParaRPr lang="nl-NL"/>
          </a:p>
        </c:txPr>
        <c:crossAx val="1575692639"/>
        <c:crosses val="autoZero"/>
        <c:auto val="1"/>
        <c:lblAlgn val="ctr"/>
        <c:lblOffset val="100"/>
        <c:noMultiLvlLbl val="0"/>
      </c:catAx>
      <c:valAx>
        <c:axId val="1575692639"/>
        <c:scaling>
          <c:orientation val="minMax"/>
        </c:scaling>
        <c:delete val="0"/>
        <c:axPos val="l"/>
        <c:title>
          <c:tx>
            <c:rich>
              <a:bodyPr rot="-5400000" spcFirstLastPara="1" vertOverflow="ellipsis" vert="horz" wrap="square" anchor="ctr" anchorCtr="1"/>
              <a:lstStyle/>
              <a:p>
                <a:pPr>
                  <a:defRPr sz="900" b="1" i="0" u="none" strike="noStrike" kern="1200" baseline="0">
                    <a:solidFill>
                      <a:sysClr val="windowText" lastClr="000000"/>
                    </a:solidFill>
                    <a:latin typeface="Avenir Next LT Pro" panose="020B0504020202020204" pitchFamily="34" charset="0"/>
                    <a:ea typeface="+mn-ea"/>
                    <a:cs typeface="+mn-cs"/>
                  </a:defRPr>
                </a:pPr>
                <a:r>
                  <a:rPr lang="en-US" b="1"/>
                  <a:t>ton</a:t>
                </a:r>
              </a:p>
            </c:rich>
          </c:tx>
          <c:overlay val="0"/>
          <c:spPr>
            <a:noFill/>
            <a:ln>
              <a:noFill/>
            </a:ln>
            <a:effectLst/>
          </c:spPr>
          <c:txPr>
            <a:bodyPr rot="-5400000" spcFirstLastPara="1" vertOverflow="ellipsis" vert="horz" wrap="square" anchor="ctr" anchorCtr="1"/>
            <a:lstStyle/>
            <a:p>
              <a:pPr>
                <a:defRPr sz="900" b="1" i="0" u="none" strike="noStrike" kern="1200" baseline="0">
                  <a:solidFill>
                    <a:sysClr val="windowText" lastClr="000000"/>
                  </a:solidFill>
                  <a:latin typeface="Avenir Next LT Pro" panose="020B0504020202020204" pitchFamily="34" charset="0"/>
                  <a:ea typeface="+mn-ea"/>
                  <a:cs typeface="+mn-cs"/>
                </a:defRPr>
              </a:pPr>
              <a:endParaRPr lang="nl-NL"/>
            </a:p>
          </c:txPr>
        </c:title>
        <c:numFmt formatCode="0.00E+00" sourceLinked="1"/>
        <c:majorTickMark val="none"/>
        <c:minorTickMark val="none"/>
        <c:tickLblPos val="nextTo"/>
        <c:spPr>
          <a:noFill/>
          <a:ln>
            <a:solidFill>
              <a:schemeClr val="tx1"/>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venir Next LT Pro" panose="020B0504020202020204" pitchFamily="34" charset="0"/>
                <a:ea typeface="+mn-ea"/>
                <a:cs typeface="+mn-cs"/>
              </a:defRPr>
            </a:pPr>
            <a:endParaRPr lang="nl-NL"/>
          </a:p>
        </c:txPr>
        <c:crossAx val="1575683903"/>
        <c:crosses val="autoZero"/>
        <c:crossBetween val="between"/>
      </c:valAx>
      <c:spPr>
        <a:noFill/>
        <a:ln w="25400">
          <a:noFill/>
        </a:ln>
        <a:effectLst/>
      </c:spPr>
    </c:plotArea>
    <c:legend>
      <c:legendPos val="r"/>
      <c:layout>
        <c:manualLayout>
          <c:xMode val="edge"/>
          <c:yMode val="edge"/>
          <c:x val="0.29573700142959081"/>
          <c:y val="0.14286240642134782"/>
          <c:w val="0.10054192690282601"/>
          <c:h val="4.6997512844769745E-2"/>
        </c:manualLayout>
      </c:layout>
      <c:overlay val="0"/>
      <c:spPr>
        <a:noFill/>
        <a:ln>
          <a:solidFill>
            <a:schemeClr val="tx1"/>
          </a:solidFill>
        </a:ln>
        <a:effectLst/>
      </c:spPr>
      <c:txPr>
        <a:bodyPr rot="0" spcFirstLastPara="1" vertOverflow="ellipsis" vert="horz" wrap="square" anchor="ctr" anchorCtr="1"/>
        <a:lstStyle/>
        <a:p>
          <a:pPr>
            <a:defRPr sz="800" b="0" i="0" u="none" strike="noStrike" kern="1200" baseline="0">
              <a:solidFill>
                <a:sysClr val="windowText" lastClr="000000"/>
              </a:solidFill>
              <a:latin typeface="Avenir Next LT Pro" panose="020B0504020202020204" pitchFamily="34" charset="0"/>
              <a:ea typeface="+mn-ea"/>
              <a:cs typeface="+mn-cs"/>
            </a:defRPr>
          </a:pPr>
          <a:endParaRPr lang="nl-NL"/>
        </a:p>
      </c:txPr>
    </c:legend>
    <c:plotVisOnly val="1"/>
    <c:dispBlanksAs val="gap"/>
    <c:showDLblsOverMax val="0"/>
    <c:extLst/>
  </c:chart>
  <c:spPr>
    <a:solidFill>
      <a:schemeClr val="bg1"/>
    </a:solidFill>
    <a:ln w="9525" cap="flat" cmpd="sng" algn="ctr">
      <a:noFill/>
      <a:round/>
    </a:ln>
    <a:effectLst/>
  </c:spPr>
  <c:txPr>
    <a:bodyPr/>
    <a:lstStyle/>
    <a:p>
      <a:pPr>
        <a:defRPr sz="900">
          <a:solidFill>
            <a:sysClr val="windowText" lastClr="000000"/>
          </a:solidFill>
          <a:latin typeface="Avenir Next LT Pro" panose="020B0504020202020204" pitchFamily="34" charset="0"/>
        </a:defRPr>
      </a:pPr>
      <a:endParaRPr lang="nl-NL"/>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80" b="0" i="0" u="none" strike="noStrike" kern="1200" spc="0" baseline="0">
                <a:solidFill>
                  <a:sysClr val="windowText" lastClr="000000"/>
                </a:solidFill>
                <a:latin typeface="Avenir Next LT Pro" panose="020B0504020202020204" pitchFamily="34" charset="0"/>
                <a:ea typeface="+mn-ea"/>
                <a:cs typeface="+mn-cs"/>
              </a:defRPr>
            </a:pPr>
            <a:r>
              <a:rPr lang="en-US" sz="900" b="1"/>
              <a:t>In-use stocks of metals per sector, the Ntherlands, ca. 2020</a:t>
            </a:r>
            <a:endParaRPr lang="en-US" sz="900" b="1" baseline="0"/>
          </a:p>
          <a:p>
            <a:pPr>
              <a:defRPr/>
            </a:pPr>
            <a:r>
              <a:rPr lang="en-US" sz="900" b="0" i="1" baseline="0"/>
              <a:t>without iron &amp; steel</a:t>
            </a:r>
            <a:endParaRPr lang="en-US" sz="900" b="0" i="1"/>
          </a:p>
        </c:rich>
      </c:tx>
      <c:overlay val="0"/>
      <c:spPr>
        <a:noFill/>
        <a:ln>
          <a:noFill/>
        </a:ln>
        <a:effectLst/>
      </c:spPr>
      <c:txPr>
        <a:bodyPr rot="0" spcFirstLastPara="1" vertOverflow="ellipsis" vert="horz" wrap="square" anchor="ctr" anchorCtr="1"/>
        <a:lstStyle/>
        <a:p>
          <a:pPr>
            <a:defRPr sz="1080" b="0" i="0" u="none" strike="noStrike" kern="1200" spc="0" baseline="0">
              <a:solidFill>
                <a:sysClr val="windowText" lastClr="000000"/>
              </a:solidFill>
              <a:latin typeface="Avenir Next LT Pro" panose="020B0504020202020204" pitchFamily="34" charset="0"/>
              <a:ea typeface="+mn-ea"/>
              <a:cs typeface="+mn-cs"/>
            </a:defRPr>
          </a:pPr>
          <a:endParaRPr lang="en-US"/>
        </a:p>
      </c:txPr>
    </c:title>
    <c:autoTitleDeleted val="0"/>
    <c:plotArea>
      <c:layout>
        <c:manualLayout>
          <c:layoutTarget val="inner"/>
          <c:xMode val="edge"/>
          <c:yMode val="edge"/>
          <c:x val="0.19871769812172133"/>
          <c:y val="0.12557399824705601"/>
          <c:w val="0.72296929052316417"/>
          <c:h val="0.48278833281845329"/>
        </c:manualLayout>
      </c:layout>
      <c:barChart>
        <c:barDir val="col"/>
        <c:grouping val="stacked"/>
        <c:varyColors val="0"/>
        <c:ser>
          <c:idx val="1"/>
          <c:order val="1"/>
          <c:tx>
            <c:strRef>
              <c:f>'1.'!$O$90</c:f>
              <c:strCache>
                <c:ptCount val="1"/>
                <c:pt idx="0">
                  <c:v>Copper</c:v>
                </c:pt>
              </c:strCache>
            </c:strRef>
          </c:tx>
          <c:spPr>
            <a:solidFill>
              <a:srgbClr val="C00000"/>
            </a:solidFill>
            <a:ln>
              <a:noFill/>
            </a:ln>
            <a:effectLst/>
          </c:spPr>
          <c:invertIfNegative val="0"/>
          <c:cat>
            <c:strRef>
              <c:f>'1.'!$C$91:$E$99</c:f>
              <c:strCache>
                <c:ptCount val="9"/>
                <c:pt idx="0">
                  <c:v>Buildings</c:v>
                </c:pt>
                <c:pt idx="1">
                  <c:v>Road, rail and waterways infrastructure</c:v>
                </c:pt>
                <c:pt idx="2">
                  <c:v>Energy system</c:v>
                </c:pt>
                <c:pt idx="3">
                  <c:v>Drinking and sewage water infrastructure</c:v>
                </c:pt>
                <c:pt idx="4">
                  <c:v>Vehicles</c:v>
                </c:pt>
                <c:pt idx="5">
                  <c:v>Machinery</c:v>
                </c:pt>
                <c:pt idx="6">
                  <c:v>Textiles</c:v>
                </c:pt>
                <c:pt idx="7">
                  <c:v>Consumer electronics</c:v>
                </c:pt>
                <c:pt idx="8">
                  <c:v>Other consumer goods</c:v>
                </c:pt>
              </c:strCache>
            </c:strRef>
          </c:cat>
          <c:val>
            <c:numRef>
              <c:f>'1.'!$O$91:$O$99</c:f>
              <c:numCache>
                <c:formatCode>0.00E+00</c:formatCode>
                <c:ptCount val="9"/>
                <c:pt idx="0">
                  <c:v>643410.30950136646</c:v>
                </c:pt>
                <c:pt idx="1">
                  <c:v>32634.836593877462</c:v>
                </c:pt>
                <c:pt idx="2">
                  <c:v>335383.28568021767</c:v>
                </c:pt>
                <c:pt idx="3">
                  <c:v>0</c:v>
                </c:pt>
                <c:pt idx="4">
                  <c:v>1246979.5091160736</c:v>
                </c:pt>
                <c:pt idx="5">
                  <c:v>255176.82904611962</c:v>
                </c:pt>
                <c:pt idx="6">
                  <c:v>0</c:v>
                </c:pt>
                <c:pt idx="7">
                  <c:v>49831</c:v>
                </c:pt>
                <c:pt idx="8">
                  <c:v>0</c:v>
                </c:pt>
              </c:numCache>
            </c:numRef>
          </c:val>
          <c:extLst>
            <c:ext xmlns:c16="http://schemas.microsoft.com/office/drawing/2014/chart" uri="{C3380CC4-5D6E-409C-BE32-E72D297353CC}">
              <c16:uniqueId val="{00000001-D6BF-446B-B772-7A18311BD580}"/>
            </c:ext>
          </c:extLst>
        </c:ser>
        <c:ser>
          <c:idx val="2"/>
          <c:order val="2"/>
          <c:tx>
            <c:strRef>
              <c:f>'1.'!$P$90</c:f>
              <c:strCache>
                <c:ptCount val="1"/>
                <c:pt idx="0">
                  <c:v>Aluminium</c:v>
                </c:pt>
              </c:strCache>
            </c:strRef>
          </c:tx>
          <c:spPr>
            <a:solidFill>
              <a:schemeClr val="accent1">
                <a:lumMod val="60000"/>
                <a:lumOff val="40000"/>
              </a:schemeClr>
            </a:solidFill>
            <a:ln>
              <a:noFill/>
            </a:ln>
            <a:effectLst/>
          </c:spPr>
          <c:invertIfNegative val="0"/>
          <c:cat>
            <c:strRef>
              <c:f>'1.'!$C$91:$E$99</c:f>
              <c:strCache>
                <c:ptCount val="9"/>
                <c:pt idx="0">
                  <c:v>Buildings</c:v>
                </c:pt>
                <c:pt idx="1">
                  <c:v>Road, rail and waterways infrastructure</c:v>
                </c:pt>
                <c:pt idx="2">
                  <c:v>Energy system</c:v>
                </c:pt>
                <c:pt idx="3">
                  <c:v>Drinking and sewage water infrastructure</c:v>
                </c:pt>
                <c:pt idx="4">
                  <c:v>Vehicles</c:v>
                </c:pt>
                <c:pt idx="5">
                  <c:v>Machinery</c:v>
                </c:pt>
                <c:pt idx="6">
                  <c:v>Textiles</c:v>
                </c:pt>
                <c:pt idx="7">
                  <c:v>Consumer electronics</c:v>
                </c:pt>
                <c:pt idx="8">
                  <c:v>Other consumer goods</c:v>
                </c:pt>
              </c:strCache>
            </c:strRef>
          </c:cat>
          <c:val>
            <c:numRef>
              <c:f>'1.'!$P$91:$P$99</c:f>
              <c:numCache>
                <c:formatCode>0.00E+00</c:formatCode>
                <c:ptCount val="9"/>
                <c:pt idx="0">
                  <c:v>2529591.9038370601</c:v>
                </c:pt>
                <c:pt idx="1">
                  <c:v>56091.089926877466</c:v>
                </c:pt>
                <c:pt idx="2">
                  <c:v>637549.06491318822</c:v>
                </c:pt>
                <c:pt idx="3">
                  <c:v>0</c:v>
                </c:pt>
                <c:pt idx="4">
                  <c:v>1206032.7958518581</c:v>
                </c:pt>
                <c:pt idx="5">
                  <c:v>152719.91613608296</c:v>
                </c:pt>
                <c:pt idx="6">
                  <c:v>0</c:v>
                </c:pt>
                <c:pt idx="7">
                  <c:v>70543</c:v>
                </c:pt>
                <c:pt idx="8">
                  <c:v>228337.44744034417</c:v>
                </c:pt>
              </c:numCache>
            </c:numRef>
          </c:val>
          <c:extLst>
            <c:ext xmlns:c16="http://schemas.microsoft.com/office/drawing/2014/chart" uri="{C3380CC4-5D6E-409C-BE32-E72D297353CC}">
              <c16:uniqueId val="{00000002-D6BF-446B-B772-7A18311BD580}"/>
            </c:ext>
          </c:extLst>
        </c:ser>
        <c:ser>
          <c:idx val="3"/>
          <c:order val="3"/>
          <c:tx>
            <c:strRef>
              <c:f>'1.'!$T$90</c:f>
              <c:strCache>
                <c:ptCount val="1"/>
                <c:pt idx="0">
                  <c:v>Other metals (non critical)</c:v>
                </c:pt>
              </c:strCache>
            </c:strRef>
          </c:tx>
          <c:spPr>
            <a:solidFill>
              <a:srgbClr val="9F70C2"/>
            </a:solidFill>
            <a:ln>
              <a:noFill/>
            </a:ln>
            <a:effectLst/>
          </c:spPr>
          <c:invertIfNegative val="0"/>
          <c:cat>
            <c:strRef>
              <c:f>'1.'!$C$91:$E$99</c:f>
              <c:strCache>
                <c:ptCount val="9"/>
                <c:pt idx="0">
                  <c:v>Buildings</c:v>
                </c:pt>
                <c:pt idx="1">
                  <c:v>Road, rail and waterways infrastructure</c:v>
                </c:pt>
                <c:pt idx="2">
                  <c:v>Energy system</c:v>
                </c:pt>
                <c:pt idx="3">
                  <c:v>Drinking and sewage water infrastructure</c:v>
                </c:pt>
                <c:pt idx="4">
                  <c:v>Vehicles</c:v>
                </c:pt>
                <c:pt idx="5">
                  <c:v>Machinery</c:v>
                </c:pt>
                <c:pt idx="6">
                  <c:v>Textiles</c:v>
                </c:pt>
                <c:pt idx="7">
                  <c:v>Consumer electronics</c:v>
                </c:pt>
                <c:pt idx="8">
                  <c:v>Other consumer goods</c:v>
                </c:pt>
              </c:strCache>
            </c:strRef>
          </c:cat>
          <c:val>
            <c:numRef>
              <c:f>'1.'!$T$91:$T$99</c:f>
              <c:numCache>
                <c:formatCode>0.00E+00</c:formatCode>
                <c:ptCount val="9"/>
                <c:pt idx="0">
                  <c:v>1892111.3646455107</c:v>
                </c:pt>
                <c:pt idx="1">
                  <c:v>67374.352624148043</c:v>
                </c:pt>
                <c:pt idx="2">
                  <c:v>14200</c:v>
                </c:pt>
                <c:pt idx="3">
                  <c:v>0</c:v>
                </c:pt>
                <c:pt idx="4">
                  <c:v>300.45048837453896</c:v>
                </c:pt>
                <c:pt idx="5">
                  <c:v>21667.898665229579</c:v>
                </c:pt>
                <c:pt idx="6">
                  <c:v>5989.5768907909996</c:v>
                </c:pt>
                <c:pt idx="7">
                  <c:v>0</c:v>
                </c:pt>
                <c:pt idx="8">
                  <c:v>226248.18657938504</c:v>
                </c:pt>
              </c:numCache>
            </c:numRef>
          </c:val>
          <c:extLst>
            <c:ext xmlns:c16="http://schemas.microsoft.com/office/drawing/2014/chart" uri="{C3380CC4-5D6E-409C-BE32-E72D297353CC}">
              <c16:uniqueId val="{00000003-D6BF-446B-B772-7A18311BD580}"/>
            </c:ext>
          </c:extLst>
        </c:ser>
        <c:ser>
          <c:idx val="4"/>
          <c:order val="6"/>
          <c:tx>
            <c:strRef>
              <c:f>'1.'!$S$90</c:f>
              <c:strCache>
                <c:ptCount val="1"/>
                <c:pt idx="0">
                  <c:v>Alloying elements (non critical)</c:v>
                </c:pt>
              </c:strCache>
              <c:extLst xmlns:c15="http://schemas.microsoft.com/office/drawing/2012/chart"/>
            </c:strRef>
          </c:tx>
          <c:spPr>
            <a:solidFill>
              <a:schemeClr val="accent5"/>
            </a:solidFill>
            <a:ln>
              <a:noFill/>
            </a:ln>
            <a:effectLst/>
          </c:spPr>
          <c:invertIfNegative val="0"/>
          <c:cat>
            <c:strRef>
              <c:f>'1.'!$C$91:$E$99</c:f>
              <c:strCache>
                <c:ptCount val="9"/>
                <c:pt idx="0">
                  <c:v>Buildings</c:v>
                </c:pt>
                <c:pt idx="1">
                  <c:v>Road, rail and waterways infrastructure</c:v>
                </c:pt>
                <c:pt idx="2">
                  <c:v>Energy system</c:v>
                </c:pt>
                <c:pt idx="3">
                  <c:v>Drinking and sewage water infrastructure</c:v>
                </c:pt>
                <c:pt idx="4">
                  <c:v>Vehicles</c:v>
                </c:pt>
                <c:pt idx="5">
                  <c:v>Machinery</c:v>
                </c:pt>
                <c:pt idx="6">
                  <c:v>Textiles</c:v>
                </c:pt>
                <c:pt idx="7">
                  <c:v>Consumer electronics</c:v>
                </c:pt>
                <c:pt idx="8">
                  <c:v>Other consumer goods</c:v>
                </c:pt>
              </c:strCache>
              <c:extLst xmlns:c15="http://schemas.microsoft.com/office/drawing/2012/chart"/>
            </c:strRef>
          </c:cat>
          <c:val>
            <c:numRef>
              <c:f>'1.'!$S$91:$S$99</c:f>
              <c:numCache>
                <c:formatCode>0.00E+00</c:formatCode>
                <c:ptCount val="9"/>
                <c:pt idx="0">
                  <c:v>0</c:v>
                </c:pt>
                <c:pt idx="1">
                  <c:v>0</c:v>
                </c:pt>
                <c:pt idx="2">
                  <c:v>3281.6674836986404</c:v>
                </c:pt>
                <c:pt idx="3">
                  <c:v>0</c:v>
                </c:pt>
                <c:pt idx="4">
                  <c:v>106434.84095270773</c:v>
                </c:pt>
                <c:pt idx="5">
                  <c:v>0</c:v>
                </c:pt>
                <c:pt idx="6">
                  <c:v>0</c:v>
                </c:pt>
                <c:pt idx="7">
                  <c:v>27562</c:v>
                </c:pt>
                <c:pt idx="8">
                  <c:v>0</c:v>
                </c:pt>
              </c:numCache>
              <c:extLst xmlns:c15="http://schemas.microsoft.com/office/drawing/2012/chart"/>
            </c:numRef>
          </c:val>
          <c:extLst xmlns:c15="http://schemas.microsoft.com/office/drawing/2012/chart">
            <c:ext xmlns:c16="http://schemas.microsoft.com/office/drawing/2014/chart" uri="{C3380CC4-5D6E-409C-BE32-E72D297353CC}">
              <c16:uniqueId val="{00000007-D6BF-446B-B772-7A18311BD580}"/>
            </c:ext>
          </c:extLst>
        </c:ser>
        <c:dLbls>
          <c:showLegendKey val="0"/>
          <c:showVal val="0"/>
          <c:showCatName val="0"/>
          <c:showSerName val="0"/>
          <c:showPercent val="0"/>
          <c:showBubbleSize val="0"/>
        </c:dLbls>
        <c:gapWidth val="80"/>
        <c:overlap val="100"/>
        <c:axId val="641159087"/>
        <c:axId val="641151183"/>
        <c:extLst>
          <c:ext xmlns:c15="http://schemas.microsoft.com/office/drawing/2012/chart" uri="{02D57815-91ED-43cb-92C2-25804820EDAC}">
            <c15:filteredBarSeries>
              <c15:ser>
                <c:idx val="0"/>
                <c:order val="0"/>
                <c:tx>
                  <c:strRef>
                    <c:extLst>
                      <c:ext uri="{02D57815-91ED-43cb-92C2-25804820EDAC}">
                        <c15:formulaRef>
                          <c15:sqref>'1.'!$N$90</c15:sqref>
                        </c15:formulaRef>
                      </c:ext>
                    </c:extLst>
                    <c:strCache>
                      <c:ptCount val="1"/>
                      <c:pt idx="0">
                        <c:v>Iron and steel</c:v>
                      </c:pt>
                    </c:strCache>
                  </c:strRef>
                </c:tx>
                <c:spPr>
                  <a:solidFill>
                    <a:schemeClr val="tx2">
                      <a:lumMod val="75000"/>
                    </a:schemeClr>
                  </a:solidFill>
                  <a:ln>
                    <a:noFill/>
                  </a:ln>
                  <a:effectLst/>
                </c:spPr>
                <c:invertIfNegative val="0"/>
                <c:cat>
                  <c:strRef>
                    <c:extLst>
                      <c:ext uri="{02D57815-91ED-43cb-92C2-25804820EDAC}">
                        <c15:formulaRef>
                          <c15:sqref>'1.'!$C$91:$E$99</c15:sqref>
                        </c15:formulaRef>
                      </c:ext>
                    </c:extLst>
                    <c:strCache>
                      <c:ptCount val="9"/>
                      <c:pt idx="0">
                        <c:v>Buildings</c:v>
                      </c:pt>
                      <c:pt idx="1">
                        <c:v>Road, rail and waterways infrastructure</c:v>
                      </c:pt>
                      <c:pt idx="2">
                        <c:v>Energy system</c:v>
                      </c:pt>
                      <c:pt idx="3">
                        <c:v>Drinking and sewage water infrastructure</c:v>
                      </c:pt>
                      <c:pt idx="4">
                        <c:v>Vehicles</c:v>
                      </c:pt>
                      <c:pt idx="5">
                        <c:v>Machinery</c:v>
                      </c:pt>
                      <c:pt idx="6">
                        <c:v>Textiles</c:v>
                      </c:pt>
                      <c:pt idx="7">
                        <c:v>Consumer electronics</c:v>
                      </c:pt>
                      <c:pt idx="8">
                        <c:v>Other consumer goods</c:v>
                      </c:pt>
                    </c:strCache>
                  </c:strRef>
                </c:cat>
                <c:val>
                  <c:numRef>
                    <c:extLst>
                      <c:ext uri="{02D57815-91ED-43cb-92C2-25804820EDAC}">
                        <c15:formulaRef>
                          <c15:sqref>'1.'!$N$91:$N$99</c15:sqref>
                        </c15:formulaRef>
                      </c:ext>
                    </c:extLst>
                    <c:numCache>
                      <c:formatCode>0.00E+00</c:formatCode>
                      <c:ptCount val="9"/>
                      <c:pt idx="0">
                        <c:v>98013902.496117115</c:v>
                      </c:pt>
                      <c:pt idx="1">
                        <c:v>21083641.768250555</c:v>
                      </c:pt>
                      <c:pt idx="2">
                        <c:v>3533376.9403552539</c:v>
                      </c:pt>
                      <c:pt idx="3">
                        <c:v>1810190</c:v>
                      </c:pt>
                      <c:pt idx="4">
                        <c:v>29512318.416391607</c:v>
                      </c:pt>
                      <c:pt idx="5">
                        <c:v>6808548.814405703</c:v>
                      </c:pt>
                      <c:pt idx="6">
                        <c:v>317316.12164756301</c:v>
                      </c:pt>
                      <c:pt idx="7">
                        <c:v>572929</c:v>
                      </c:pt>
                      <c:pt idx="8">
                        <c:v>2971474.1101978784</c:v>
                      </c:pt>
                    </c:numCache>
                  </c:numRef>
                </c:val>
                <c:extLst>
                  <c:ext xmlns:c16="http://schemas.microsoft.com/office/drawing/2014/chart" uri="{C3380CC4-5D6E-409C-BE32-E72D297353CC}">
                    <c16:uniqueId val="{00000000-D6BF-446B-B772-7A18311BD580}"/>
                  </c:ext>
                </c:extLst>
              </c15:ser>
            </c15:filteredBarSeries>
            <c15:filteredBarSeries>
              <c15:ser>
                <c:idx val="5"/>
                <c:order val="4"/>
                <c:tx>
                  <c:strRef>
                    <c:extLst xmlns:c15="http://schemas.microsoft.com/office/drawing/2012/chart">
                      <c:ext xmlns:c15="http://schemas.microsoft.com/office/drawing/2012/chart" uri="{02D57815-91ED-43cb-92C2-25804820EDAC}">
                        <c15:formulaRef>
                          <c15:sqref>'1.'!$Q$90</c15:sqref>
                        </c15:formulaRef>
                      </c:ext>
                    </c:extLst>
                    <c:strCache>
                      <c:ptCount val="1"/>
                      <c:pt idx="0">
                        <c:v>Zinc</c:v>
                      </c:pt>
                    </c:strCache>
                  </c:strRef>
                </c:tx>
                <c:spPr>
                  <a:solidFill>
                    <a:srgbClr val="6FDFB2"/>
                  </a:solidFill>
                  <a:ln>
                    <a:noFill/>
                  </a:ln>
                  <a:effectLst/>
                </c:spPr>
                <c:invertIfNegative val="0"/>
                <c:cat>
                  <c:strRef>
                    <c:extLst xmlns:c15="http://schemas.microsoft.com/office/drawing/2012/chart">
                      <c:ext xmlns:c15="http://schemas.microsoft.com/office/drawing/2012/chart" uri="{02D57815-91ED-43cb-92C2-25804820EDAC}">
                        <c15:formulaRef>
                          <c15:sqref>'1.'!$C$91:$E$99</c15:sqref>
                        </c15:formulaRef>
                      </c:ext>
                    </c:extLst>
                    <c:strCache>
                      <c:ptCount val="9"/>
                      <c:pt idx="0">
                        <c:v>Buildings</c:v>
                      </c:pt>
                      <c:pt idx="1">
                        <c:v>Road, rail and waterways infrastructure</c:v>
                      </c:pt>
                      <c:pt idx="2">
                        <c:v>Energy system</c:v>
                      </c:pt>
                      <c:pt idx="3">
                        <c:v>Drinking and sewage water infrastructure</c:v>
                      </c:pt>
                      <c:pt idx="4">
                        <c:v>Vehicles</c:v>
                      </c:pt>
                      <c:pt idx="5">
                        <c:v>Machinery</c:v>
                      </c:pt>
                      <c:pt idx="6">
                        <c:v>Textiles</c:v>
                      </c:pt>
                      <c:pt idx="7">
                        <c:v>Consumer electronics</c:v>
                      </c:pt>
                      <c:pt idx="8">
                        <c:v>Other consumer goods</c:v>
                      </c:pt>
                    </c:strCache>
                  </c:strRef>
                </c:cat>
                <c:val>
                  <c:numRef>
                    <c:extLst xmlns:c15="http://schemas.microsoft.com/office/drawing/2012/chart">
                      <c:ext xmlns:c15="http://schemas.microsoft.com/office/drawing/2012/chart" uri="{02D57815-91ED-43cb-92C2-25804820EDAC}">
                        <c15:formulaRef>
                          <c15:sqref>'1.'!$Q$91:$Q$99</c15:sqref>
                        </c15:formulaRef>
                      </c:ext>
                    </c:extLst>
                    <c:numCache>
                      <c:formatCode>0.00E+00</c:formatCode>
                      <c:ptCount val="9"/>
                      <c:pt idx="0">
                        <c:v>0</c:v>
                      </c:pt>
                      <c:pt idx="1">
                        <c:v>5.7429999999999994</c:v>
                      </c:pt>
                      <c:pt idx="2">
                        <c:v>11.191312197738323</c:v>
                      </c:pt>
                      <c:pt idx="3">
                        <c:v>0</c:v>
                      </c:pt>
                      <c:pt idx="4">
                        <c:v>2143.433928645748</c:v>
                      </c:pt>
                      <c:pt idx="5">
                        <c:v>4835.9567270371099</c:v>
                      </c:pt>
                      <c:pt idx="6">
                        <c:v>0</c:v>
                      </c:pt>
                      <c:pt idx="7">
                        <c:v>0</c:v>
                      </c:pt>
                      <c:pt idx="8">
                        <c:v>0</c:v>
                      </c:pt>
                    </c:numCache>
                  </c:numRef>
                </c:val>
                <c:extLst xmlns:c15="http://schemas.microsoft.com/office/drawing/2012/chart">
                  <c:ext xmlns:c16="http://schemas.microsoft.com/office/drawing/2014/chart" uri="{C3380CC4-5D6E-409C-BE32-E72D297353CC}">
                    <c16:uniqueId val="{00000005-D6BF-446B-B772-7A18311BD580}"/>
                  </c:ext>
                </c:extLst>
              </c15:ser>
            </c15:filteredBarSeries>
            <c15:filteredBarSeries>
              <c15:ser>
                <c:idx val="6"/>
                <c:order val="5"/>
                <c:tx>
                  <c:strRef>
                    <c:extLst xmlns:c15="http://schemas.microsoft.com/office/drawing/2012/chart">
                      <c:ext xmlns:c15="http://schemas.microsoft.com/office/drawing/2012/chart" uri="{02D57815-91ED-43cb-92C2-25804820EDAC}">
                        <c15:formulaRef>
                          <c15:sqref>'1.'!$R$90</c15:sqref>
                        </c15:formulaRef>
                      </c:ext>
                    </c:extLst>
                    <c:strCache>
                      <c:ptCount val="1"/>
                      <c:pt idx="0">
                        <c:v>Lead</c:v>
                      </c:pt>
                    </c:strCache>
                  </c:strRef>
                </c:tx>
                <c:spPr>
                  <a:solidFill>
                    <a:srgbClr val="E3E385"/>
                  </a:solidFill>
                  <a:ln>
                    <a:noFill/>
                  </a:ln>
                  <a:effectLst/>
                </c:spPr>
                <c:invertIfNegative val="0"/>
                <c:cat>
                  <c:strRef>
                    <c:extLst xmlns:c15="http://schemas.microsoft.com/office/drawing/2012/chart">
                      <c:ext xmlns:c15="http://schemas.microsoft.com/office/drawing/2012/chart" uri="{02D57815-91ED-43cb-92C2-25804820EDAC}">
                        <c15:formulaRef>
                          <c15:sqref>'1.'!$C$91:$E$99</c15:sqref>
                        </c15:formulaRef>
                      </c:ext>
                    </c:extLst>
                    <c:strCache>
                      <c:ptCount val="9"/>
                      <c:pt idx="0">
                        <c:v>Buildings</c:v>
                      </c:pt>
                      <c:pt idx="1">
                        <c:v>Road, rail and waterways infrastructure</c:v>
                      </c:pt>
                      <c:pt idx="2">
                        <c:v>Energy system</c:v>
                      </c:pt>
                      <c:pt idx="3">
                        <c:v>Drinking and sewage water infrastructure</c:v>
                      </c:pt>
                      <c:pt idx="4">
                        <c:v>Vehicles</c:v>
                      </c:pt>
                      <c:pt idx="5">
                        <c:v>Machinery</c:v>
                      </c:pt>
                      <c:pt idx="6">
                        <c:v>Textiles</c:v>
                      </c:pt>
                      <c:pt idx="7">
                        <c:v>Consumer electronics</c:v>
                      </c:pt>
                      <c:pt idx="8">
                        <c:v>Other consumer goods</c:v>
                      </c:pt>
                    </c:strCache>
                  </c:strRef>
                </c:cat>
                <c:val>
                  <c:numRef>
                    <c:extLst xmlns:c15="http://schemas.microsoft.com/office/drawing/2012/chart">
                      <c:ext xmlns:c15="http://schemas.microsoft.com/office/drawing/2012/chart" uri="{02D57815-91ED-43cb-92C2-25804820EDAC}">
                        <c15:formulaRef>
                          <c15:sqref>'1.'!$R$91:$R$99</c15:sqref>
                        </c15:formulaRef>
                      </c:ext>
                    </c:extLst>
                    <c:numCache>
                      <c:formatCode>0.00E+00</c:formatCode>
                      <c:ptCount val="9"/>
                      <c:pt idx="0">
                        <c:v>0</c:v>
                      </c:pt>
                      <c:pt idx="1">
                        <c:v>0</c:v>
                      </c:pt>
                      <c:pt idx="2">
                        <c:v>324410.69169525406</c:v>
                      </c:pt>
                      <c:pt idx="3">
                        <c:v>0</c:v>
                      </c:pt>
                      <c:pt idx="4">
                        <c:v>1994.0858183643245</c:v>
                      </c:pt>
                      <c:pt idx="5">
                        <c:v>15619.4023439555</c:v>
                      </c:pt>
                      <c:pt idx="6">
                        <c:v>0</c:v>
                      </c:pt>
                      <c:pt idx="7">
                        <c:v>0</c:v>
                      </c:pt>
                      <c:pt idx="8">
                        <c:v>0</c:v>
                      </c:pt>
                    </c:numCache>
                  </c:numRef>
                </c:val>
                <c:extLst xmlns:c15="http://schemas.microsoft.com/office/drawing/2012/chart">
                  <c:ext xmlns:c16="http://schemas.microsoft.com/office/drawing/2014/chart" uri="{C3380CC4-5D6E-409C-BE32-E72D297353CC}">
                    <c16:uniqueId val="{00000006-D6BF-446B-B772-7A18311BD580}"/>
                  </c:ext>
                </c:extLst>
              </c15:ser>
            </c15:filteredBarSeries>
            <c15:filteredBarSeries>
              <c15:ser>
                <c:idx val="7"/>
                <c:order val="7"/>
                <c:tx>
                  <c:v>Legeringselementen</c:v>
                </c:tx>
                <c:spPr>
                  <a:solidFill>
                    <a:schemeClr val="accent1">
                      <a:lumMod val="75000"/>
                    </a:schemeClr>
                  </a:solidFill>
                  <a:ln>
                    <a:noFill/>
                  </a:ln>
                  <a:effectLst/>
                </c:spPr>
                <c:invertIfNegative val="0"/>
                <c:cat>
                  <c:strRef>
                    <c:extLst xmlns:c15="http://schemas.microsoft.com/office/drawing/2012/chart">
                      <c:ext xmlns:c15="http://schemas.microsoft.com/office/drawing/2012/chart" uri="{02D57815-91ED-43cb-92C2-25804820EDAC}">
                        <c15:formulaRef>
                          <c15:sqref>'1.'!$C$91:$E$99</c15:sqref>
                        </c15:formulaRef>
                      </c:ext>
                    </c:extLst>
                    <c:strCache>
                      <c:ptCount val="9"/>
                      <c:pt idx="0">
                        <c:v>Buildings</c:v>
                      </c:pt>
                      <c:pt idx="1">
                        <c:v>Road, rail and waterways infrastructure</c:v>
                      </c:pt>
                      <c:pt idx="2">
                        <c:v>Energy system</c:v>
                      </c:pt>
                      <c:pt idx="3">
                        <c:v>Drinking and sewage water infrastructure</c:v>
                      </c:pt>
                      <c:pt idx="4">
                        <c:v>Vehicles</c:v>
                      </c:pt>
                      <c:pt idx="5">
                        <c:v>Machinery</c:v>
                      </c:pt>
                      <c:pt idx="6">
                        <c:v>Textiles</c:v>
                      </c:pt>
                      <c:pt idx="7">
                        <c:v>Consumer electronics</c:v>
                      </c:pt>
                      <c:pt idx="8">
                        <c:v>Other consumer goods</c:v>
                      </c:pt>
                    </c:strCache>
                  </c:strRef>
                </c:cat>
                <c:val>
                  <c:numRef>
                    <c:extLst xmlns:c15="http://schemas.microsoft.com/office/drawing/2012/chart">
                      <c:ext xmlns:c15="http://schemas.microsoft.com/office/drawing/2012/chart" uri="{02D57815-91ED-43cb-92C2-25804820EDAC}">
                        <c15:formulaRef>
                          <c15:sqref>'1.'!$DD$91:$DD$99</c15:sqref>
                        </c15:formulaRef>
                      </c:ext>
                    </c:extLst>
                    <c:numCache>
                      <c:formatCode>General</c:formatCode>
                      <c:ptCount val="9"/>
                    </c:numCache>
                  </c:numRef>
                </c:val>
                <c:extLst xmlns:c15="http://schemas.microsoft.com/office/drawing/2012/chart">
                  <c:ext xmlns:c16="http://schemas.microsoft.com/office/drawing/2014/chart" uri="{C3380CC4-5D6E-409C-BE32-E72D297353CC}">
                    <c16:uniqueId val="{00000004-D6BF-446B-B772-7A18311BD580}"/>
                  </c:ext>
                </c:extLst>
              </c15:ser>
            </c15:filteredBarSeries>
          </c:ext>
        </c:extLst>
      </c:barChart>
      <c:catAx>
        <c:axId val="641159087"/>
        <c:scaling>
          <c:orientation val="minMax"/>
        </c:scaling>
        <c:delete val="0"/>
        <c:axPos val="b"/>
        <c:numFmt formatCode="General" sourceLinked="1"/>
        <c:majorTickMark val="none"/>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venir Next LT Pro" panose="020B0504020202020204" pitchFamily="34" charset="0"/>
                <a:ea typeface="+mn-ea"/>
                <a:cs typeface="+mn-cs"/>
              </a:defRPr>
            </a:pPr>
            <a:endParaRPr lang="nl-NL"/>
          </a:p>
        </c:txPr>
        <c:crossAx val="641151183"/>
        <c:crosses val="autoZero"/>
        <c:auto val="1"/>
        <c:lblAlgn val="ctr"/>
        <c:lblOffset val="100"/>
        <c:noMultiLvlLbl val="0"/>
      </c:catAx>
      <c:valAx>
        <c:axId val="641151183"/>
        <c:scaling>
          <c:orientation val="minMax"/>
        </c:scaling>
        <c:delete val="0"/>
        <c:axPos val="l"/>
        <c:title>
          <c:tx>
            <c:rich>
              <a:bodyPr rot="-5400000" spcFirstLastPara="1" vertOverflow="ellipsis" vert="horz" wrap="square" anchor="ctr" anchorCtr="1"/>
              <a:lstStyle/>
              <a:p>
                <a:pPr>
                  <a:defRPr sz="900" b="1" i="0" u="none" strike="noStrike" kern="1200" baseline="0">
                    <a:solidFill>
                      <a:sysClr val="windowText" lastClr="000000"/>
                    </a:solidFill>
                    <a:latin typeface="Avenir Next LT Pro" panose="020B0504020202020204" pitchFamily="34" charset="0"/>
                    <a:ea typeface="+mn-ea"/>
                    <a:cs typeface="+mn-cs"/>
                  </a:defRPr>
                </a:pPr>
                <a:r>
                  <a:rPr lang="en-US" b="1"/>
                  <a:t>ton</a:t>
                </a:r>
              </a:p>
            </c:rich>
          </c:tx>
          <c:overlay val="0"/>
          <c:spPr>
            <a:noFill/>
            <a:ln>
              <a:noFill/>
            </a:ln>
            <a:effectLst/>
          </c:spPr>
          <c:txPr>
            <a:bodyPr rot="-5400000" spcFirstLastPara="1" vertOverflow="ellipsis" vert="horz" wrap="square" anchor="ctr" anchorCtr="1"/>
            <a:lstStyle/>
            <a:p>
              <a:pPr>
                <a:defRPr sz="900" b="1" i="0" u="none" strike="noStrike" kern="1200" baseline="0">
                  <a:solidFill>
                    <a:sysClr val="windowText" lastClr="000000"/>
                  </a:solidFill>
                  <a:latin typeface="Avenir Next LT Pro" panose="020B0504020202020204" pitchFamily="34" charset="0"/>
                  <a:ea typeface="+mn-ea"/>
                  <a:cs typeface="+mn-cs"/>
                </a:defRPr>
              </a:pPr>
              <a:endParaRPr lang="nl-NL"/>
            </a:p>
          </c:txPr>
        </c:title>
        <c:numFmt formatCode="0.00E+00" sourceLinked="1"/>
        <c:majorTickMark val="none"/>
        <c:minorTickMark val="none"/>
        <c:tickLblPos val="nextTo"/>
        <c:spPr>
          <a:noFill/>
          <a:ln>
            <a:solidFill>
              <a:schemeClr val="tx1"/>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venir Next LT Pro" panose="020B0504020202020204" pitchFamily="34" charset="0"/>
                <a:ea typeface="+mn-ea"/>
                <a:cs typeface="+mn-cs"/>
              </a:defRPr>
            </a:pPr>
            <a:endParaRPr lang="nl-NL"/>
          </a:p>
        </c:txPr>
        <c:crossAx val="641159087"/>
        <c:crosses val="autoZero"/>
        <c:crossBetween val="between"/>
      </c:valAx>
      <c:spPr>
        <a:noFill/>
        <a:ln>
          <a:noFill/>
        </a:ln>
        <a:effectLst/>
      </c:spPr>
    </c:plotArea>
    <c:legend>
      <c:legendPos val="r"/>
      <c:layout>
        <c:manualLayout>
          <c:xMode val="edge"/>
          <c:yMode val="edge"/>
          <c:x val="0.50378423789233084"/>
          <c:y val="0.12079163937550244"/>
          <c:w val="0.28905381492766463"/>
          <c:h val="0.25902212939136726"/>
        </c:manualLayout>
      </c:layout>
      <c:overlay val="0"/>
      <c:spPr>
        <a:noFill/>
        <a:ln>
          <a:solidFill>
            <a:schemeClr val="tx1"/>
          </a:solidFill>
        </a:ln>
        <a:effectLst/>
      </c:spPr>
      <c:txPr>
        <a:bodyPr rot="0" spcFirstLastPara="1" vertOverflow="ellipsis" vert="horz" wrap="square" anchor="ctr" anchorCtr="1"/>
        <a:lstStyle/>
        <a:p>
          <a:pPr>
            <a:defRPr sz="800" b="0" i="0" u="none" strike="noStrike" kern="1200" baseline="0">
              <a:solidFill>
                <a:sysClr val="windowText" lastClr="000000"/>
              </a:solidFill>
              <a:latin typeface="Avenir Next LT Pro" panose="020B0504020202020204" pitchFamily="34" charset="0"/>
              <a:ea typeface="+mn-ea"/>
              <a:cs typeface="+mn-cs"/>
            </a:defRPr>
          </a:pPr>
          <a:endParaRPr lang="nl-NL"/>
        </a:p>
      </c:txPr>
    </c:legend>
    <c:plotVisOnly val="1"/>
    <c:dispBlanksAs val="gap"/>
    <c:showDLblsOverMax val="0"/>
    <c:extLst/>
  </c:chart>
  <c:spPr>
    <a:solidFill>
      <a:schemeClr val="bg1"/>
    </a:solidFill>
    <a:ln w="9525" cap="flat" cmpd="sng" algn="ctr">
      <a:noFill/>
      <a:round/>
    </a:ln>
    <a:effectLst/>
  </c:spPr>
  <c:txPr>
    <a:bodyPr/>
    <a:lstStyle/>
    <a:p>
      <a:pPr>
        <a:defRPr sz="900">
          <a:solidFill>
            <a:sysClr val="windowText" lastClr="000000"/>
          </a:solidFill>
          <a:latin typeface="Avenir Next LT Pro" panose="020B0504020202020204" pitchFamily="34" charset="0"/>
        </a:defRPr>
      </a:pPr>
      <a:endParaRPr lang="nl-NL"/>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nl-NL"/>
              <a:t>In-use stocks</a:t>
            </a:r>
            <a:r>
              <a:rPr lang="nl-NL" baseline="0"/>
              <a:t> of materials in drinking and sewage water infrastructure, the Netherlands, ca. 2020</a:t>
            </a:r>
            <a:endParaRPr lang="nl-NL"/>
          </a:p>
        </c:rich>
      </c:tx>
      <c:overlay val="0"/>
    </c:title>
    <c:autoTitleDeleted val="0"/>
    <c:plotArea>
      <c:layout>
        <c:manualLayout>
          <c:layoutTarget val="inner"/>
          <c:xMode val="edge"/>
          <c:yMode val="edge"/>
          <c:x val="0.18249345893246061"/>
          <c:y val="8.3983240676518162E-2"/>
          <c:w val="0.73595840220359698"/>
          <c:h val="0.57819565271047002"/>
        </c:manualLayout>
      </c:layout>
      <c:barChart>
        <c:barDir val="col"/>
        <c:grouping val="stacked"/>
        <c:varyColors val="0"/>
        <c:ser>
          <c:idx val="0"/>
          <c:order val="0"/>
          <c:tx>
            <c:strRef>
              <c:f>'1.'!$F$2</c:f>
              <c:strCache>
                <c:ptCount val="1"/>
                <c:pt idx="0">
                  <c:v>Concrete</c:v>
                </c:pt>
              </c:strCache>
            </c:strRef>
          </c:tx>
          <c:spPr>
            <a:solidFill>
              <a:schemeClr val="bg2">
                <a:lumMod val="50000"/>
              </a:schemeClr>
            </a:solidFill>
          </c:spPr>
          <c:invertIfNegative val="0"/>
          <c:cat>
            <c:strRef>
              <c:f>'1.'!$B$31:$B$37</c:f>
              <c:strCache>
                <c:ptCount val="7"/>
                <c:pt idx="0">
                  <c:v>Drinking water production plants</c:v>
                </c:pt>
                <c:pt idx="1">
                  <c:v>Water pipes</c:v>
                </c:pt>
                <c:pt idx="2">
                  <c:v>Sewage pipes</c:v>
                </c:pt>
                <c:pt idx="3">
                  <c:v>Sewage treatment plants</c:v>
                </c:pt>
                <c:pt idx="4">
                  <c:v>Gully pots</c:v>
                </c:pt>
                <c:pt idx="5">
                  <c:v>Sewage pumps</c:v>
                </c:pt>
                <c:pt idx="6">
                  <c:v>Pressurised sewage pipes</c:v>
                </c:pt>
              </c:strCache>
            </c:strRef>
          </c:cat>
          <c:val>
            <c:numRef>
              <c:f>'1.'!$F$31:$F$37</c:f>
              <c:numCache>
                <c:formatCode>0.00E+00</c:formatCode>
                <c:ptCount val="7"/>
                <c:pt idx="0">
                  <c:v>4884225</c:v>
                </c:pt>
                <c:pt idx="1">
                  <c:v>537597</c:v>
                </c:pt>
                <c:pt idx="2">
                  <c:v>10918635</c:v>
                </c:pt>
                <c:pt idx="3">
                  <c:v>4200000</c:v>
                </c:pt>
                <c:pt idx="4">
                  <c:v>1050000</c:v>
                </c:pt>
                <c:pt idx="5">
                  <c:v>1200000</c:v>
                </c:pt>
                <c:pt idx="6">
                  <c:v>479000</c:v>
                </c:pt>
              </c:numCache>
            </c:numRef>
          </c:val>
          <c:extLst>
            <c:ext xmlns:c16="http://schemas.microsoft.com/office/drawing/2014/chart" uri="{C3380CC4-5D6E-409C-BE32-E72D297353CC}">
              <c16:uniqueId val="{00000000-A376-4F37-AEF1-408D5D18E7DA}"/>
            </c:ext>
          </c:extLst>
        </c:ser>
        <c:ser>
          <c:idx val="1"/>
          <c:order val="1"/>
          <c:tx>
            <c:strRef>
              <c:f>'1.'!$M$2</c:f>
              <c:strCache>
                <c:ptCount val="1"/>
                <c:pt idx="0">
                  <c:v>Other construction materials</c:v>
                </c:pt>
              </c:strCache>
            </c:strRef>
          </c:tx>
          <c:spPr>
            <a:solidFill>
              <a:schemeClr val="accent4">
                <a:lumMod val="60000"/>
                <a:lumOff val="40000"/>
              </a:schemeClr>
            </a:solidFill>
          </c:spPr>
          <c:invertIfNegative val="0"/>
          <c:cat>
            <c:strRef>
              <c:f>'1.'!$B$31:$B$37</c:f>
              <c:strCache>
                <c:ptCount val="7"/>
                <c:pt idx="0">
                  <c:v>Drinking water production plants</c:v>
                </c:pt>
                <c:pt idx="1">
                  <c:v>Water pipes</c:v>
                </c:pt>
                <c:pt idx="2">
                  <c:v>Sewage pipes</c:v>
                </c:pt>
                <c:pt idx="3">
                  <c:v>Sewage treatment plants</c:v>
                </c:pt>
                <c:pt idx="4">
                  <c:v>Gully pots</c:v>
                </c:pt>
                <c:pt idx="5">
                  <c:v>Sewage pumps</c:v>
                </c:pt>
                <c:pt idx="6">
                  <c:v>Pressurised sewage pipes</c:v>
                </c:pt>
              </c:strCache>
            </c:strRef>
          </c:cat>
          <c:val>
            <c:numRef>
              <c:f>'1.'!$M$31:$M$37</c:f>
              <c:numCache>
                <c:formatCode>0.00E+00</c:formatCode>
                <c:ptCount val="7"/>
                <c:pt idx="1">
                  <c:v>276610</c:v>
                </c:pt>
                <c:pt idx="2">
                  <c:v>75845</c:v>
                </c:pt>
              </c:numCache>
            </c:numRef>
          </c:val>
          <c:extLst>
            <c:ext xmlns:c16="http://schemas.microsoft.com/office/drawing/2014/chart" uri="{C3380CC4-5D6E-409C-BE32-E72D297353CC}">
              <c16:uniqueId val="{00000001-A376-4F37-AEF1-408D5D18E7DA}"/>
            </c:ext>
          </c:extLst>
        </c:ser>
        <c:ser>
          <c:idx val="2"/>
          <c:order val="2"/>
          <c:tx>
            <c:strRef>
              <c:f>'1.'!$N$2</c:f>
              <c:strCache>
                <c:ptCount val="1"/>
                <c:pt idx="0">
                  <c:v>Iron and steel</c:v>
                </c:pt>
              </c:strCache>
            </c:strRef>
          </c:tx>
          <c:spPr>
            <a:solidFill>
              <a:srgbClr val="009999"/>
            </a:solidFill>
          </c:spPr>
          <c:invertIfNegative val="0"/>
          <c:cat>
            <c:strRef>
              <c:f>'1.'!$B$31:$B$37</c:f>
              <c:strCache>
                <c:ptCount val="7"/>
                <c:pt idx="0">
                  <c:v>Drinking water production plants</c:v>
                </c:pt>
                <c:pt idx="1">
                  <c:v>Water pipes</c:v>
                </c:pt>
                <c:pt idx="2">
                  <c:v>Sewage pipes</c:v>
                </c:pt>
                <c:pt idx="3">
                  <c:v>Sewage treatment plants</c:v>
                </c:pt>
                <c:pt idx="4">
                  <c:v>Gully pots</c:v>
                </c:pt>
                <c:pt idx="5">
                  <c:v>Sewage pumps</c:v>
                </c:pt>
                <c:pt idx="6">
                  <c:v>Pressurised sewage pipes</c:v>
                </c:pt>
              </c:strCache>
            </c:strRef>
          </c:cat>
          <c:val>
            <c:numRef>
              <c:f>'1.'!$N$31:$N$37</c:f>
              <c:numCache>
                <c:formatCode>0.00E+00</c:formatCode>
                <c:ptCount val="7"/>
                <c:pt idx="0">
                  <c:v>22706</c:v>
                </c:pt>
                <c:pt idx="1">
                  <c:v>308604</c:v>
                </c:pt>
                <c:pt idx="2">
                  <c:v>113880</c:v>
                </c:pt>
                <c:pt idx="3">
                  <c:v>750000</c:v>
                </c:pt>
                <c:pt idx="4">
                  <c:v>245000</c:v>
                </c:pt>
                <c:pt idx="5">
                  <c:v>130000</c:v>
                </c:pt>
                <c:pt idx="6">
                  <c:v>240000</c:v>
                </c:pt>
              </c:numCache>
            </c:numRef>
          </c:val>
          <c:extLst>
            <c:ext xmlns:c16="http://schemas.microsoft.com/office/drawing/2014/chart" uri="{C3380CC4-5D6E-409C-BE32-E72D297353CC}">
              <c16:uniqueId val="{00000002-A376-4F37-AEF1-408D5D18E7DA}"/>
            </c:ext>
          </c:extLst>
        </c:ser>
        <c:ser>
          <c:idx val="3"/>
          <c:order val="3"/>
          <c:tx>
            <c:strRef>
              <c:f>'1.'!$X$2</c:f>
              <c:strCache>
                <c:ptCount val="1"/>
                <c:pt idx="0">
                  <c:v>Plastics</c:v>
                </c:pt>
              </c:strCache>
            </c:strRef>
          </c:tx>
          <c:spPr>
            <a:solidFill>
              <a:srgbClr val="FFA7AB"/>
            </a:solidFill>
          </c:spPr>
          <c:invertIfNegative val="0"/>
          <c:cat>
            <c:strRef>
              <c:f>'1.'!$B$31:$B$37</c:f>
              <c:strCache>
                <c:ptCount val="7"/>
                <c:pt idx="0">
                  <c:v>Drinking water production plants</c:v>
                </c:pt>
                <c:pt idx="1">
                  <c:v>Water pipes</c:v>
                </c:pt>
                <c:pt idx="2">
                  <c:v>Sewage pipes</c:v>
                </c:pt>
                <c:pt idx="3">
                  <c:v>Sewage treatment plants</c:v>
                </c:pt>
                <c:pt idx="4">
                  <c:v>Gully pots</c:v>
                </c:pt>
                <c:pt idx="5">
                  <c:v>Sewage pumps</c:v>
                </c:pt>
                <c:pt idx="6">
                  <c:v>Pressurised sewage pipes</c:v>
                </c:pt>
              </c:strCache>
            </c:strRef>
          </c:cat>
          <c:val>
            <c:numRef>
              <c:f>'1.'!$X$31:$X$37</c:f>
              <c:numCache>
                <c:formatCode>0.00E+00</c:formatCode>
                <c:ptCount val="7"/>
                <c:pt idx="0">
                  <c:v>465</c:v>
                </c:pt>
                <c:pt idx="1">
                  <c:v>177381</c:v>
                </c:pt>
                <c:pt idx="2">
                  <c:v>5656429</c:v>
                </c:pt>
                <c:pt idx="3">
                  <c:v>50000</c:v>
                </c:pt>
                <c:pt idx="6">
                  <c:v>80000</c:v>
                </c:pt>
              </c:numCache>
            </c:numRef>
          </c:val>
          <c:extLst>
            <c:ext xmlns:c16="http://schemas.microsoft.com/office/drawing/2014/chart" uri="{C3380CC4-5D6E-409C-BE32-E72D297353CC}">
              <c16:uniqueId val="{00000003-A376-4F37-AEF1-408D5D18E7DA}"/>
            </c:ext>
          </c:extLst>
        </c:ser>
        <c:dLbls>
          <c:showLegendKey val="0"/>
          <c:showVal val="0"/>
          <c:showCatName val="0"/>
          <c:showSerName val="0"/>
          <c:showPercent val="0"/>
          <c:showBubbleSize val="0"/>
        </c:dLbls>
        <c:gapWidth val="83"/>
        <c:overlap val="100"/>
        <c:axId val="2049683967"/>
        <c:axId val="2049684383"/>
      </c:barChart>
      <c:catAx>
        <c:axId val="2049683967"/>
        <c:scaling>
          <c:orientation val="minMax"/>
        </c:scaling>
        <c:delete val="0"/>
        <c:axPos val="b"/>
        <c:numFmt formatCode="General" sourceLinked="1"/>
        <c:majorTickMark val="none"/>
        <c:minorTickMark val="none"/>
        <c:tickLblPos val="nextTo"/>
        <c:spPr>
          <a:noFill/>
          <a:ln w="9525" cap="flat" cmpd="sng" algn="ctr">
            <a:solidFill>
              <a:schemeClr val="tx1"/>
            </a:solidFill>
            <a:round/>
          </a:ln>
          <a:effectLst/>
        </c:spPr>
        <c:txPr>
          <a:bodyPr rot="-60000000" vert="horz"/>
          <a:lstStyle/>
          <a:p>
            <a:pPr>
              <a:defRPr/>
            </a:pPr>
            <a:endParaRPr lang="nl-NL"/>
          </a:p>
        </c:txPr>
        <c:crossAx val="2049684383"/>
        <c:crosses val="autoZero"/>
        <c:auto val="1"/>
        <c:lblAlgn val="ctr"/>
        <c:lblOffset val="100"/>
        <c:noMultiLvlLbl val="0"/>
      </c:catAx>
      <c:valAx>
        <c:axId val="2049684383"/>
        <c:scaling>
          <c:orientation val="minMax"/>
        </c:scaling>
        <c:delete val="0"/>
        <c:axPos val="l"/>
        <c:title>
          <c:tx>
            <c:rich>
              <a:bodyPr rot="-5400000" vert="horz"/>
              <a:lstStyle/>
              <a:p>
                <a:pPr>
                  <a:defRPr/>
                </a:pPr>
                <a:r>
                  <a:rPr lang="en-US"/>
                  <a:t>ton</a:t>
                </a:r>
              </a:p>
            </c:rich>
          </c:tx>
          <c:overlay val="0"/>
          <c:spPr>
            <a:noFill/>
            <a:ln>
              <a:noFill/>
            </a:ln>
            <a:effectLst/>
          </c:spPr>
        </c:title>
        <c:numFmt formatCode="0.00E+00" sourceLinked="1"/>
        <c:majorTickMark val="none"/>
        <c:minorTickMark val="none"/>
        <c:tickLblPos val="nextTo"/>
        <c:spPr>
          <a:noFill/>
          <a:ln>
            <a:solidFill>
              <a:schemeClr val="tx1"/>
            </a:solidFill>
          </a:ln>
          <a:effectLst/>
        </c:spPr>
        <c:txPr>
          <a:bodyPr rot="-60000000" vert="horz"/>
          <a:lstStyle/>
          <a:p>
            <a:pPr>
              <a:defRPr/>
            </a:pPr>
            <a:endParaRPr lang="nl-NL"/>
          </a:p>
        </c:txPr>
        <c:crossAx val="2049683967"/>
        <c:crosses val="autoZero"/>
        <c:crossBetween val="between"/>
      </c:valAx>
    </c:plotArea>
    <c:legend>
      <c:legendPos val="tr"/>
      <c:layout>
        <c:manualLayout>
          <c:xMode val="edge"/>
          <c:yMode val="edge"/>
          <c:x val="0.57863741231634302"/>
          <c:y val="0.11036411433533658"/>
          <c:w val="0.34433948171588252"/>
          <c:h val="0.29069336443753241"/>
        </c:manualLayout>
      </c:layout>
      <c:overlay val="0"/>
      <c:spPr>
        <a:noFill/>
        <a:ln>
          <a:solidFill>
            <a:schemeClr val="tx1"/>
          </a:solidFill>
        </a:ln>
        <a:effectLst/>
      </c:spPr>
      <c:txPr>
        <a:bodyPr rot="0" vert="horz"/>
        <a:lstStyle/>
        <a:p>
          <a:pPr>
            <a:defRPr/>
          </a:pPr>
          <a:endParaRPr lang="nl-NL"/>
        </a:p>
      </c:txPr>
    </c:legend>
    <c:plotVisOnly val="1"/>
    <c:dispBlanksAs val="gap"/>
    <c:showDLblsOverMax val="0"/>
    <c:extLst/>
  </c:chart>
  <c:spPr>
    <a:solidFill>
      <a:schemeClr val="bg1"/>
    </a:solidFill>
    <a:ln w="9525" cap="flat" cmpd="sng" algn="ctr">
      <a:noFill/>
      <a:round/>
    </a:ln>
    <a:effectLst/>
  </c:spPr>
  <c:txPr>
    <a:bodyPr/>
    <a:lstStyle/>
    <a:p>
      <a:pPr>
        <a:defRPr sz="800">
          <a:solidFill>
            <a:sysClr val="windowText" lastClr="000000"/>
          </a:solidFill>
          <a:latin typeface="Avenir Next LT Pro" panose="020B0504020202020204" pitchFamily="34" charset="0"/>
        </a:defRPr>
      </a:pPr>
      <a:endParaRPr lang="nl-NL"/>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nl-NL" b="1"/>
              <a:t>In-use stocks of materials in consumer electronics, the Netherlands, ca. 2020</a:t>
            </a:r>
          </a:p>
        </c:rich>
      </c:tx>
      <c:layout>
        <c:manualLayout>
          <c:xMode val="edge"/>
          <c:yMode val="edge"/>
          <c:x val="0.10136703010640578"/>
          <c:y val="0"/>
        </c:manualLayout>
      </c:layout>
      <c:overlay val="0"/>
    </c:title>
    <c:autoTitleDeleted val="0"/>
    <c:plotArea>
      <c:layout>
        <c:manualLayout>
          <c:layoutTarget val="inner"/>
          <c:xMode val="edge"/>
          <c:yMode val="edge"/>
          <c:x val="0.20502170564761643"/>
          <c:y val="9.1371804527721256E-2"/>
          <c:w val="0.72436049695587623"/>
          <c:h val="0.5964534375574384"/>
        </c:manualLayout>
      </c:layout>
      <c:barChart>
        <c:barDir val="col"/>
        <c:grouping val="stacked"/>
        <c:varyColors val="0"/>
        <c:ser>
          <c:idx val="4"/>
          <c:order val="0"/>
          <c:tx>
            <c:strRef>
              <c:f>'1.'!$N$2</c:f>
              <c:strCache>
                <c:ptCount val="1"/>
                <c:pt idx="0">
                  <c:v>Iron and steel</c:v>
                </c:pt>
              </c:strCache>
            </c:strRef>
          </c:tx>
          <c:spPr>
            <a:solidFill>
              <a:srgbClr val="4D9782"/>
            </a:solidFill>
            <a:ln>
              <a:noFill/>
            </a:ln>
            <a:effectLst/>
          </c:spPr>
          <c:invertIfNegative val="0"/>
          <c:cat>
            <c:strRef>
              <c:f>'1.'!$B$67:$B$72</c:f>
              <c:strCache>
                <c:ptCount val="6"/>
                <c:pt idx="0">
                  <c:v>Temperature control equipment</c:v>
                </c:pt>
                <c:pt idx="1">
                  <c:v>Screens, monitors</c:v>
                </c:pt>
                <c:pt idx="2">
                  <c:v>Lamps</c:v>
                </c:pt>
                <c:pt idx="3">
                  <c:v>Large equipment</c:v>
                </c:pt>
                <c:pt idx="4">
                  <c:v>Small equipment</c:v>
                </c:pt>
                <c:pt idx="5">
                  <c:v>Small IT and telecom equipment</c:v>
                </c:pt>
              </c:strCache>
            </c:strRef>
          </c:cat>
          <c:val>
            <c:numRef>
              <c:f>'1.'!$N$67:$N$72</c:f>
              <c:numCache>
                <c:formatCode>0.00E+00</c:formatCode>
                <c:ptCount val="6"/>
                <c:pt idx="0">
                  <c:v>347055</c:v>
                </c:pt>
                <c:pt idx="1">
                  <c:v>128353</c:v>
                </c:pt>
                <c:pt idx="2">
                  <c:v>28</c:v>
                </c:pt>
                <c:pt idx="3">
                  <c:v>31432</c:v>
                </c:pt>
                <c:pt idx="4">
                  <c:v>48507</c:v>
                </c:pt>
                <c:pt idx="5">
                  <c:v>17554</c:v>
                </c:pt>
              </c:numCache>
            </c:numRef>
          </c:val>
          <c:extLst>
            <c:ext xmlns:c16="http://schemas.microsoft.com/office/drawing/2014/chart" uri="{C3380CC4-5D6E-409C-BE32-E72D297353CC}">
              <c16:uniqueId val="{00000018-FF90-4509-9FD2-FED349F21C2F}"/>
            </c:ext>
          </c:extLst>
        </c:ser>
        <c:ser>
          <c:idx val="5"/>
          <c:order val="1"/>
          <c:tx>
            <c:strRef>
              <c:f>'1.'!$O$2</c:f>
              <c:strCache>
                <c:ptCount val="1"/>
                <c:pt idx="0">
                  <c:v>Copper</c:v>
                </c:pt>
              </c:strCache>
            </c:strRef>
          </c:tx>
          <c:spPr>
            <a:solidFill>
              <a:srgbClr val="FF7F51"/>
            </a:solidFill>
            <a:ln>
              <a:noFill/>
            </a:ln>
            <a:effectLst/>
          </c:spPr>
          <c:invertIfNegative val="0"/>
          <c:cat>
            <c:strRef>
              <c:f>'1.'!$B$67:$B$72</c:f>
              <c:strCache>
                <c:ptCount val="6"/>
                <c:pt idx="0">
                  <c:v>Temperature control equipment</c:v>
                </c:pt>
                <c:pt idx="1">
                  <c:v>Screens, monitors</c:v>
                </c:pt>
                <c:pt idx="2">
                  <c:v>Lamps</c:v>
                </c:pt>
                <c:pt idx="3">
                  <c:v>Large equipment</c:v>
                </c:pt>
                <c:pt idx="4">
                  <c:v>Small equipment</c:v>
                </c:pt>
                <c:pt idx="5">
                  <c:v>Small IT and telecom equipment</c:v>
                </c:pt>
              </c:strCache>
            </c:strRef>
          </c:cat>
          <c:val>
            <c:numRef>
              <c:f>'1.'!$O$67:$O$72</c:f>
              <c:numCache>
                <c:formatCode>0.00E+00</c:formatCode>
                <c:ptCount val="6"/>
                <c:pt idx="0">
                  <c:v>26575</c:v>
                </c:pt>
                <c:pt idx="1">
                  <c:v>15023</c:v>
                </c:pt>
                <c:pt idx="2">
                  <c:v>40</c:v>
                </c:pt>
                <c:pt idx="3">
                  <c:v>1071</c:v>
                </c:pt>
                <c:pt idx="4">
                  <c:v>6191</c:v>
                </c:pt>
                <c:pt idx="5">
                  <c:v>931</c:v>
                </c:pt>
              </c:numCache>
            </c:numRef>
          </c:val>
          <c:extLst>
            <c:ext xmlns:c16="http://schemas.microsoft.com/office/drawing/2014/chart" uri="{C3380CC4-5D6E-409C-BE32-E72D297353CC}">
              <c16:uniqueId val="{0000001A-FF90-4509-9FD2-FED349F21C2F}"/>
            </c:ext>
          </c:extLst>
        </c:ser>
        <c:ser>
          <c:idx val="6"/>
          <c:order val="2"/>
          <c:tx>
            <c:strRef>
              <c:f>'1.'!$P$2</c:f>
              <c:strCache>
                <c:ptCount val="1"/>
                <c:pt idx="0">
                  <c:v>Aluminium</c:v>
                </c:pt>
              </c:strCache>
            </c:strRef>
          </c:tx>
          <c:spPr>
            <a:solidFill>
              <a:srgbClr val="80ED99"/>
            </a:solidFill>
            <a:ln>
              <a:noFill/>
            </a:ln>
            <a:effectLst/>
          </c:spPr>
          <c:invertIfNegative val="0"/>
          <c:cat>
            <c:strRef>
              <c:f>'1.'!$B$67:$B$72</c:f>
              <c:strCache>
                <c:ptCount val="6"/>
                <c:pt idx="0">
                  <c:v>Temperature control equipment</c:v>
                </c:pt>
                <c:pt idx="1">
                  <c:v>Screens, monitors</c:v>
                </c:pt>
                <c:pt idx="2">
                  <c:v>Lamps</c:v>
                </c:pt>
                <c:pt idx="3">
                  <c:v>Large equipment</c:v>
                </c:pt>
                <c:pt idx="4">
                  <c:v>Small equipment</c:v>
                </c:pt>
                <c:pt idx="5">
                  <c:v>Small IT and telecom equipment</c:v>
                </c:pt>
              </c:strCache>
            </c:strRef>
          </c:cat>
          <c:val>
            <c:numRef>
              <c:f>'1.'!$P$67:$P$72</c:f>
              <c:numCache>
                <c:formatCode>0.00E+00</c:formatCode>
                <c:ptCount val="6"/>
                <c:pt idx="0">
                  <c:v>29704</c:v>
                </c:pt>
                <c:pt idx="1">
                  <c:v>28533</c:v>
                </c:pt>
                <c:pt idx="2">
                  <c:v>264</c:v>
                </c:pt>
                <c:pt idx="3">
                  <c:v>1957</c:v>
                </c:pt>
                <c:pt idx="4">
                  <c:v>8837</c:v>
                </c:pt>
                <c:pt idx="5">
                  <c:v>1248</c:v>
                </c:pt>
              </c:numCache>
            </c:numRef>
          </c:val>
          <c:extLst>
            <c:ext xmlns:c16="http://schemas.microsoft.com/office/drawing/2014/chart" uri="{C3380CC4-5D6E-409C-BE32-E72D297353CC}">
              <c16:uniqueId val="{0000001C-FF90-4509-9FD2-FED349F21C2F}"/>
            </c:ext>
          </c:extLst>
        </c:ser>
        <c:ser>
          <c:idx val="10"/>
          <c:order val="3"/>
          <c:tx>
            <c:strRef>
              <c:f>'1.'!$S$2</c:f>
              <c:strCache>
                <c:ptCount val="1"/>
                <c:pt idx="0">
                  <c:v>Alloying elements (non critical)</c:v>
                </c:pt>
              </c:strCache>
            </c:strRef>
          </c:tx>
          <c:spPr>
            <a:solidFill>
              <a:srgbClr val="8D1760"/>
            </a:solidFill>
            <a:ln>
              <a:noFill/>
            </a:ln>
            <a:effectLst/>
          </c:spPr>
          <c:invertIfNegative val="0"/>
          <c:cat>
            <c:strRef>
              <c:f>'1.'!$B$67:$B$72</c:f>
              <c:strCache>
                <c:ptCount val="6"/>
                <c:pt idx="0">
                  <c:v>Temperature control equipment</c:v>
                </c:pt>
                <c:pt idx="1">
                  <c:v>Screens, monitors</c:v>
                </c:pt>
                <c:pt idx="2">
                  <c:v>Lamps</c:v>
                </c:pt>
                <c:pt idx="3">
                  <c:v>Large equipment</c:v>
                </c:pt>
                <c:pt idx="4">
                  <c:v>Small equipment</c:v>
                </c:pt>
                <c:pt idx="5">
                  <c:v>Small IT and telecom equipment</c:v>
                </c:pt>
              </c:strCache>
            </c:strRef>
          </c:cat>
          <c:val>
            <c:numRef>
              <c:f>'1.'!$S$67:$S$72</c:f>
              <c:numCache>
                <c:formatCode>0.00E+00</c:formatCode>
                <c:ptCount val="6"/>
                <c:pt idx="0">
                  <c:v>20284</c:v>
                </c:pt>
                <c:pt idx="1">
                  <c:v>3895</c:v>
                </c:pt>
                <c:pt idx="2">
                  <c:v>27</c:v>
                </c:pt>
                <c:pt idx="3">
                  <c:v>2035</c:v>
                </c:pt>
                <c:pt idx="4">
                  <c:v>926</c:v>
                </c:pt>
                <c:pt idx="5">
                  <c:v>395</c:v>
                </c:pt>
              </c:numCache>
            </c:numRef>
          </c:val>
          <c:extLst>
            <c:ext xmlns:c16="http://schemas.microsoft.com/office/drawing/2014/chart" uri="{C3380CC4-5D6E-409C-BE32-E72D297353CC}">
              <c16:uniqueId val="{0000001E-FF90-4509-9FD2-FED349F21C2F}"/>
            </c:ext>
          </c:extLst>
        </c:ser>
        <c:ser>
          <c:idx val="13"/>
          <c:order val="4"/>
          <c:tx>
            <c:strRef>
              <c:f>'1.'!$X$2</c:f>
              <c:strCache>
                <c:ptCount val="1"/>
                <c:pt idx="0">
                  <c:v>Plastics</c:v>
                </c:pt>
              </c:strCache>
            </c:strRef>
          </c:tx>
          <c:spPr>
            <a:solidFill>
              <a:srgbClr val="FFA7AB"/>
            </a:solidFill>
            <a:ln>
              <a:noFill/>
            </a:ln>
            <a:effectLst/>
          </c:spPr>
          <c:invertIfNegative val="0"/>
          <c:cat>
            <c:strRef>
              <c:f>'1.'!$B$67:$B$72</c:f>
              <c:strCache>
                <c:ptCount val="6"/>
                <c:pt idx="0">
                  <c:v>Temperature control equipment</c:v>
                </c:pt>
                <c:pt idx="1">
                  <c:v>Screens, monitors</c:v>
                </c:pt>
                <c:pt idx="2">
                  <c:v>Lamps</c:v>
                </c:pt>
                <c:pt idx="3">
                  <c:v>Large equipment</c:v>
                </c:pt>
                <c:pt idx="4">
                  <c:v>Small equipment</c:v>
                </c:pt>
                <c:pt idx="5">
                  <c:v>Small IT and telecom equipment</c:v>
                </c:pt>
              </c:strCache>
            </c:strRef>
          </c:cat>
          <c:val>
            <c:numRef>
              <c:f>'1.'!$X$67:$X$72</c:f>
              <c:numCache>
                <c:formatCode>0.00E+00</c:formatCode>
                <c:ptCount val="6"/>
                <c:pt idx="0">
                  <c:v>211075</c:v>
                </c:pt>
                <c:pt idx="1">
                  <c:v>101672</c:v>
                </c:pt>
                <c:pt idx="2">
                  <c:v>265</c:v>
                </c:pt>
                <c:pt idx="3">
                  <c:v>6976</c:v>
                </c:pt>
                <c:pt idx="4">
                  <c:v>26501</c:v>
                </c:pt>
                <c:pt idx="5">
                  <c:v>17386</c:v>
                </c:pt>
              </c:numCache>
            </c:numRef>
          </c:val>
          <c:extLst>
            <c:ext xmlns:c16="http://schemas.microsoft.com/office/drawing/2014/chart" uri="{C3380CC4-5D6E-409C-BE32-E72D297353CC}">
              <c16:uniqueId val="{00000020-FF90-4509-9FD2-FED349F21C2F}"/>
            </c:ext>
          </c:extLst>
        </c:ser>
        <c:ser>
          <c:idx val="0"/>
          <c:order val="5"/>
          <c:tx>
            <c:strRef>
              <c:f>'1.'!$AA$2</c:f>
              <c:strCache>
                <c:ptCount val="1"/>
                <c:pt idx="0">
                  <c:v>Glass</c:v>
                </c:pt>
              </c:strCache>
            </c:strRef>
          </c:tx>
          <c:spPr>
            <a:solidFill>
              <a:schemeClr val="tx1"/>
            </a:solidFill>
            <a:ln>
              <a:noFill/>
            </a:ln>
            <a:effectLst/>
          </c:spPr>
          <c:invertIfNegative val="0"/>
          <c:cat>
            <c:strRef>
              <c:f>'1.'!$B$67:$B$72</c:f>
              <c:strCache>
                <c:ptCount val="6"/>
                <c:pt idx="0">
                  <c:v>Temperature control equipment</c:v>
                </c:pt>
                <c:pt idx="1">
                  <c:v>Screens, monitors</c:v>
                </c:pt>
                <c:pt idx="2">
                  <c:v>Lamps</c:v>
                </c:pt>
                <c:pt idx="3">
                  <c:v>Large equipment</c:v>
                </c:pt>
                <c:pt idx="4">
                  <c:v>Small equipment</c:v>
                </c:pt>
                <c:pt idx="5">
                  <c:v>Small IT and telecom equipment</c:v>
                </c:pt>
              </c:strCache>
            </c:strRef>
          </c:cat>
          <c:val>
            <c:numRef>
              <c:f>'1.'!$AA$67:$AA$72</c:f>
              <c:numCache>
                <c:formatCode>0.00E+00</c:formatCode>
                <c:ptCount val="6"/>
                <c:pt idx="1">
                  <c:v>777</c:v>
                </c:pt>
                <c:pt idx="2">
                  <c:v>706</c:v>
                </c:pt>
                <c:pt idx="3">
                  <c:v>465</c:v>
                </c:pt>
                <c:pt idx="4">
                  <c:v>3221</c:v>
                </c:pt>
                <c:pt idx="5">
                  <c:v>1167</c:v>
                </c:pt>
              </c:numCache>
            </c:numRef>
          </c:val>
          <c:extLst>
            <c:ext xmlns:c16="http://schemas.microsoft.com/office/drawing/2014/chart" uri="{C3380CC4-5D6E-409C-BE32-E72D297353CC}">
              <c16:uniqueId val="{00000022-FF90-4509-9FD2-FED349F21C2F}"/>
            </c:ext>
          </c:extLst>
        </c:ser>
        <c:ser>
          <c:idx val="2"/>
          <c:order val="6"/>
          <c:tx>
            <c:strRef>
              <c:f>'1.'!$BE$2</c:f>
              <c:strCache>
                <c:ptCount val="1"/>
                <c:pt idx="0">
                  <c:v>Total CRM</c:v>
                </c:pt>
              </c:strCache>
            </c:strRef>
          </c:tx>
          <c:spPr>
            <a:solidFill>
              <a:srgbClr val="FFFF00"/>
            </a:solidFill>
            <a:ln>
              <a:noFill/>
            </a:ln>
            <a:effectLst/>
          </c:spPr>
          <c:invertIfNegative val="0"/>
          <c:cat>
            <c:strRef>
              <c:f>'1.'!$B$67:$B$72</c:f>
              <c:strCache>
                <c:ptCount val="6"/>
                <c:pt idx="0">
                  <c:v>Temperature control equipment</c:v>
                </c:pt>
                <c:pt idx="1">
                  <c:v>Screens, monitors</c:v>
                </c:pt>
                <c:pt idx="2">
                  <c:v>Lamps</c:v>
                </c:pt>
                <c:pt idx="3">
                  <c:v>Large equipment</c:v>
                </c:pt>
                <c:pt idx="4">
                  <c:v>Small equipment</c:v>
                </c:pt>
                <c:pt idx="5">
                  <c:v>Small IT and telecom equipment</c:v>
                </c:pt>
              </c:strCache>
            </c:strRef>
          </c:cat>
          <c:val>
            <c:numRef>
              <c:f>'1.'!$BE$67:$BE$72</c:f>
              <c:numCache>
                <c:formatCode>0.00E+00</c:formatCode>
                <c:ptCount val="6"/>
                <c:pt idx="0">
                  <c:v>869</c:v>
                </c:pt>
                <c:pt idx="1">
                  <c:v>32795</c:v>
                </c:pt>
                <c:pt idx="2">
                  <c:v>32</c:v>
                </c:pt>
                <c:pt idx="3">
                  <c:v>71</c:v>
                </c:pt>
                <c:pt idx="4">
                  <c:v>294</c:v>
                </c:pt>
                <c:pt idx="5">
                  <c:v>118</c:v>
                </c:pt>
              </c:numCache>
            </c:numRef>
          </c:val>
          <c:extLst xmlns:c15="http://schemas.microsoft.com/office/drawing/2012/chart">
            <c:ext xmlns:c16="http://schemas.microsoft.com/office/drawing/2014/chart" uri="{C3380CC4-5D6E-409C-BE32-E72D297353CC}">
              <c16:uniqueId val="{0000002A-FF90-4509-9FD2-FED349F21C2F}"/>
            </c:ext>
          </c:extLst>
        </c:ser>
        <c:dLbls>
          <c:showLegendKey val="0"/>
          <c:showVal val="0"/>
          <c:showCatName val="0"/>
          <c:showSerName val="0"/>
          <c:showPercent val="0"/>
          <c:showBubbleSize val="0"/>
        </c:dLbls>
        <c:gapWidth val="69"/>
        <c:overlap val="100"/>
        <c:axId val="2049683967"/>
        <c:axId val="2049684383"/>
        <c:extLst/>
      </c:barChart>
      <c:catAx>
        <c:axId val="2049683967"/>
        <c:scaling>
          <c:orientation val="minMax"/>
        </c:scaling>
        <c:delete val="0"/>
        <c:axPos val="b"/>
        <c:numFmt formatCode="General" sourceLinked="1"/>
        <c:majorTickMark val="none"/>
        <c:minorTickMark val="none"/>
        <c:tickLblPos val="nextTo"/>
        <c:spPr>
          <a:noFill/>
          <a:ln w="9525" cap="flat" cmpd="sng" algn="ctr">
            <a:solidFill>
              <a:schemeClr val="tx1"/>
            </a:solidFill>
            <a:round/>
          </a:ln>
          <a:effectLst/>
        </c:spPr>
        <c:txPr>
          <a:bodyPr rot="-60000000" vert="horz"/>
          <a:lstStyle/>
          <a:p>
            <a:pPr>
              <a:defRPr/>
            </a:pPr>
            <a:endParaRPr lang="nl-NL"/>
          </a:p>
        </c:txPr>
        <c:crossAx val="2049684383"/>
        <c:crosses val="autoZero"/>
        <c:auto val="1"/>
        <c:lblAlgn val="ctr"/>
        <c:lblOffset val="100"/>
        <c:noMultiLvlLbl val="0"/>
      </c:catAx>
      <c:valAx>
        <c:axId val="2049684383"/>
        <c:scaling>
          <c:orientation val="minMax"/>
        </c:scaling>
        <c:delete val="0"/>
        <c:axPos val="l"/>
        <c:title>
          <c:tx>
            <c:rich>
              <a:bodyPr rot="-5400000" vert="horz"/>
              <a:lstStyle/>
              <a:p>
                <a:pPr>
                  <a:defRPr b="1"/>
                </a:pPr>
                <a:r>
                  <a:rPr lang="en-US" b="1"/>
                  <a:t>ton</a:t>
                </a:r>
              </a:p>
            </c:rich>
          </c:tx>
          <c:overlay val="0"/>
          <c:spPr>
            <a:noFill/>
            <a:ln>
              <a:noFill/>
            </a:ln>
            <a:effectLst/>
          </c:spPr>
        </c:title>
        <c:numFmt formatCode="0.00E+00" sourceLinked="1"/>
        <c:majorTickMark val="none"/>
        <c:minorTickMark val="none"/>
        <c:tickLblPos val="nextTo"/>
        <c:spPr>
          <a:noFill/>
          <a:ln>
            <a:solidFill>
              <a:schemeClr val="tx1"/>
            </a:solidFill>
          </a:ln>
          <a:effectLst/>
        </c:spPr>
        <c:txPr>
          <a:bodyPr rot="-60000000" vert="horz"/>
          <a:lstStyle/>
          <a:p>
            <a:pPr>
              <a:defRPr/>
            </a:pPr>
            <a:endParaRPr lang="nl-NL"/>
          </a:p>
        </c:txPr>
        <c:crossAx val="2049683967"/>
        <c:crosses val="autoZero"/>
        <c:crossBetween val="between"/>
      </c:valAx>
    </c:plotArea>
    <c:legend>
      <c:legendPos val="tr"/>
      <c:layout>
        <c:manualLayout>
          <c:xMode val="edge"/>
          <c:yMode val="edge"/>
          <c:x val="0.70936584511064771"/>
          <c:y val="9.4579886396129978E-2"/>
          <c:w val="0.25193432586129783"/>
          <c:h val="0.47215801775703797"/>
        </c:manualLayout>
      </c:layout>
      <c:overlay val="0"/>
      <c:spPr>
        <a:noFill/>
        <a:ln>
          <a:solidFill>
            <a:schemeClr val="tx1"/>
          </a:solidFill>
        </a:ln>
        <a:effectLst/>
      </c:spPr>
      <c:txPr>
        <a:bodyPr rot="0" vert="horz"/>
        <a:lstStyle/>
        <a:p>
          <a:pPr>
            <a:defRPr/>
          </a:pPr>
          <a:endParaRPr lang="nl-NL"/>
        </a:p>
      </c:txPr>
    </c:legend>
    <c:plotVisOnly val="1"/>
    <c:dispBlanksAs val="gap"/>
    <c:showDLblsOverMax val="0"/>
    <c:extLst/>
  </c:chart>
  <c:spPr>
    <a:solidFill>
      <a:schemeClr val="bg1"/>
    </a:solidFill>
    <a:ln w="9525" cap="flat" cmpd="sng" algn="ctr">
      <a:noFill/>
      <a:round/>
    </a:ln>
    <a:effectLst/>
  </c:spPr>
  <c:txPr>
    <a:bodyPr/>
    <a:lstStyle/>
    <a:p>
      <a:pPr>
        <a:defRPr sz="800" b="0">
          <a:solidFill>
            <a:sysClr val="windowText" lastClr="000000"/>
          </a:solidFill>
          <a:latin typeface="Avenir Next LT Pro" panose="020B0504020202020204" pitchFamily="34" charset="0"/>
        </a:defRPr>
      </a:pPr>
      <a:endParaRPr lang="nl-NL"/>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nl-NL" b="1"/>
              <a:t>In-use stocks of materials in textiles, the Netherlands, ca. 2020</a:t>
            </a:r>
          </a:p>
        </c:rich>
      </c:tx>
      <c:overlay val="0"/>
    </c:title>
    <c:autoTitleDeleted val="0"/>
    <c:plotArea>
      <c:layout>
        <c:manualLayout>
          <c:layoutTarget val="inner"/>
          <c:xMode val="edge"/>
          <c:yMode val="edge"/>
          <c:x val="0.18439502346314546"/>
          <c:y val="8.8929583297456649E-2"/>
          <c:w val="0.73607459935871977"/>
          <c:h val="0.63990163638674646"/>
        </c:manualLayout>
      </c:layout>
      <c:barChart>
        <c:barDir val="col"/>
        <c:grouping val="stacked"/>
        <c:varyColors val="0"/>
        <c:ser>
          <c:idx val="4"/>
          <c:order val="0"/>
          <c:tx>
            <c:strRef>
              <c:f>'1.'!$N$2</c:f>
              <c:strCache>
                <c:ptCount val="1"/>
                <c:pt idx="0">
                  <c:v>Iron and steel</c:v>
                </c:pt>
              </c:strCache>
            </c:strRef>
          </c:tx>
          <c:spPr>
            <a:solidFill>
              <a:srgbClr val="4D9782"/>
            </a:solidFill>
            <a:ln>
              <a:noFill/>
            </a:ln>
            <a:effectLst/>
          </c:spPr>
          <c:invertIfNegative val="0"/>
          <c:cat>
            <c:strRef>
              <c:f>'1.'!$B$57:$B$66</c:f>
              <c:strCache>
                <c:ptCount val="10"/>
                <c:pt idx="0">
                  <c:v>Fabrics</c:v>
                </c:pt>
                <c:pt idx="1">
                  <c:v>Bed linen</c:v>
                </c:pt>
                <c:pt idx="2">
                  <c:v>Drapery and chair clothing</c:v>
                </c:pt>
                <c:pt idx="3">
                  <c:v>Carpets</c:v>
                </c:pt>
                <c:pt idx="4">
                  <c:v>Fleece</c:v>
                </c:pt>
                <c:pt idx="5">
                  <c:v>Other textiles</c:v>
                </c:pt>
                <c:pt idx="6">
                  <c:v>Uniforms</c:v>
                </c:pt>
                <c:pt idx="7">
                  <c:v>Upper garments</c:v>
                </c:pt>
                <c:pt idx="8">
                  <c:v>Undergarments</c:v>
                </c:pt>
                <c:pt idx="9">
                  <c:v>Other clothing</c:v>
                </c:pt>
              </c:strCache>
            </c:strRef>
          </c:cat>
          <c:val>
            <c:numRef>
              <c:f>'1.'!$N$57:$N$66</c:f>
              <c:numCache>
                <c:formatCode>0.00E+00</c:formatCode>
                <c:ptCount val="10"/>
                <c:pt idx="5">
                  <c:v>317316.12164756301</c:v>
                </c:pt>
              </c:numCache>
            </c:numRef>
          </c:val>
          <c:extLst>
            <c:ext xmlns:c16="http://schemas.microsoft.com/office/drawing/2014/chart" uri="{C3380CC4-5D6E-409C-BE32-E72D297353CC}">
              <c16:uniqueId val="{00000000-2E84-4499-9BC9-3DA62F4FFC2C}"/>
            </c:ext>
          </c:extLst>
        </c:ser>
        <c:ser>
          <c:idx val="10"/>
          <c:order val="1"/>
          <c:tx>
            <c:strRef>
              <c:f>'1.'!$T$2</c:f>
              <c:strCache>
                <c:ptCount val="1"/>
                <c:pt idx="0">
                  <c:v>Other metals (non critical)</c:v>
                </c:pt>
              </c:strCache>
            </c:strRef>
          </c:tx>
          <c:spPr>
            <a:solidFill>
              <a:srgbClr val="9F70C2"/>
            </a:solidFill>
            <a:ln>
              <a:noFill/>
            </a:ln>
            <a:effectLst/>
          </c:spPr>
          <c:invertIfNegative val="0"/>
          <c:cat>
            <c:strRef>
              <c:f>'1.'!$B$57:$B$66</c:f>
              <c:strCache>
                <c:ptCount val="10"/>
                <c:pt idx="0">
                  <c:v>Fabrics</c:v>
                </c:pt>
                <c:pt idx="1">
                  <c:v>Bed linen</c:v>
                </c:pt>
                <c:pt idx="2">
                  <c:v>Drapery and chair clothing</c:v>
                </c:pt>
                <c:pt idx="3">
                  <c:v>Carpets</c:v>
                </c:pt>
                <c:pt idx="4">
                  <c:v>Fleece</c:v>
                </c:pt>
                <c:pt idx="5">
                  <c:v>Other textiles</c:v>
                </c:pt>
                <c:pt idx="6">
                  <c:v>Uniforms</c:v>
                </c:pt>
                <c:pt idx="7">
                  <c:v>Upper garments</c:v>
                </c:pt>
                <c:pt idx="8">
                  <c:v>Undergarments</c:v>
                </c:pt>
                <c:pt idx="9">
                  <c:v>Other clothing</c:v>
                </c:pt>
              </c:strCache>
            </c:strRef>
          </c:cat>
          <c:val>
            <c:numRef>
              <c:f>'1.'!$T$57:$T$66</c:f>
              <c:numCache>
                <c:formatCode>0.00E+00</c:formatCode>
                <c:ptCount val="10"/>
                <c:pt idx="2">
                  <c:v>5989.5768907909996</c:v>
                </c:pt>
              </c:numCache>
            </c:numRef>
          </c:val>
          <c:extLst xmlns:c15="http://schemas.microsoft.com/office/drawing/2012/chart">
            <c:ext xmlns:c16="http://schemas.microsoft.com/office/drawing/2014/chart" uri="{C3380CC4-5D6E-409C-BE32-E72D297353CC}">
              <c16:uniqueId val="{00000002-2E84-4499-9BC9-3DA62F4FFC2C}"/>
            </c:ext>
          </c:extLst>
        </c:ser>
        <c:ser>
          <c:idx val="15"/>
          <c:order val="2"/>
          <c:tx>
            <c:strRef>
              <c:f>'1.'!$W$2</c:f>
              <c:strCache>
                <c:ptCount val="1"/>
                <c:pt idx="0">
                  <c:v>Textile, biobased</c:v>
                </c:pt>
              </c:strCache>
            </c:strRef>
          </c:tx>
          <c:spPr>
            <a:solidFill>
              <a:srgbClr val="90C476"/>
            </a:solidFill>
          </c:spPr>
          <c:invertIfNegative val="0"/>
          <c:cat>
            <c:strRef>
              <c:f>'1.'!$B$57:$B$66</c:f>
              <c:strCache>
                <c:ptCount val="10"/>
                <c:pt idx="0">
                  <c:v>Fabrics</c:v>
                </c:pt>
                <c:pt idx="1">
                  <c:v>Bed linen</c:v>
                </c:pt>
                <c:pt idx="2">
                  <c:v>Drapery and chair clothing</c:v>
                </c:pt>
                <c:pt idx="3">
                  <c:v>Carpets</c:v>
                </c:pt>
                <c:pt idx="4">
                  <c:v>Fleece</c:v>
                </c:pt>
                <c:pt idx="5">
                  <c:v>Other textiles</c:v>
                </c:pt>
                <c:pt idx="6">
                  <c:v>Uniforms</c:v>
                </c:pt>
                <c:pt idx="7">
                  <c:v>Upper garments</c:v>
                </c:pt>
                <c:pt idx="8">
                  <c:v>Undergarments</c:v>
                </c:pt>
                <c:pt idx="9">
                  <c:v>Other clothing</c:v>
                </c:pt>
              </c:strCache>
            </c:strRef>
          </c:cat>
          <c:val>
            <c:numRef>
              <c:f>'1.'!$W$57:$W$66</c:f>
              <c:numCache>
                <c:formatCode>0.00E+00</c:formatCode>
                <c:ptCount val="10"/>
                <c:pt idx="0">
                  <c:v>253070.64362900201</c:v>
                </c:pt>
                <c:pt idx="1">
                  <c:v>231241.316636217</c:v>
                </c:pt>
                <c:pt idx="2">
                  <c:v>75425.790421169004</c:v>
                </c:pt>
                <c:pt idx="3">
                  <c:v>354143.80144022597</c:v>
                </c:pt>
                <c:pt idx="7">
                  <c:v>104749.976981063</c:v>
                </c:pt>
                <c:pt idx="9">
                  <c:v>43108.0351843237</c:v>
                </c:pt>
              </c:numCache>
            </c:numRef>
          </c:val>
          <c:extLst>
            <c:ext xmlns:c16="http://schemas.microsoft.com/office/drawing/2014/chart" uri="{C3380CC4-5D6E-409C-BE32-E72D297353CC}">
              <c16:uniqueId val="{00000003-2E84-4499-9BC9-3DA62F4FFC2C}"/>
            </c:ext>
          </c:extLst>
        </c:ser>
        <c:ser>
          <c:idx val="16"/>
          <c:order val="3"/>
          <c:tx>
            <c:strRef>
              <c:f>'1.'!$X$2</c:f>
              <c:strCache>
                <c:ptCount val="1"/>
                <c:pt idx="0">
                  <c:v>Plastics</c:v>
                </c:pt>
              </c:strCache>
            </c:strRef>
          </c:tx>
          <c:spPr>
            <a:solidFill>
              <a:srgbClr val="FFA7AB"/>
            </a:solidFill>
          </c:spPr>
          <c:invertIfNegative val="0"/>
          <c:cat>
            <c:strRef>
              <c:f>'1.'!$B$57:$B$66</c:f>
              <c:strCache>
                <c:ptCount val="10"/>
                <c:pt idx="0">
                  <c:v>Fabrics</c:v>
                </c:pt>
                <c:pt idx="1">
                  <c:v>Bed linen</c:v>
                </c:pt>
                <c:pt idx="2">
                  <c:v>Drapery and chair clothing</c:v>
                </c:pt>
                <c:pt idx="3">
                  <c:v>Carpets</c:v>
                </c:pt>
                <c:pt idx="4">
                  <c:v>Fleece</c:v>
                </c:pt>
                <c:pt idx="5">
                  <c:v>Other textiles</c:v>
                </c:pt>
                <c:pt idx="6">
                  <c:v>Uniforms</c:v>
                </c:pt>
                <c:pt idx="7">
                  <c:v>Upper garments</c:v>
                </c:pt>
                <c:pt idx="8">
                  <c:v>Undergarments</c:v>
                </c:pt>
                <c:pt idx="9">
                  <c:v>Other clothing</c:v>
                </c:pt>
              </c:strCache>
            </c:strRef>
          </c:cat>
          <c:val>
            <c:numRef>
              <c:f>'1.'!$X$57:$X$66</c:f>
              <c:numCache>
                <c:formatCode>0.00E+00</c:formatCode>
                <c:ptCount val="10"/>
                <c:pt idx="0">
                  <c:v>281198.35225044203</c:v>
                </c:pt>
                <c:pt idx="1">
                  <c:v>25052.516128799001</c:v>
                </c:pt>
                <c:pt idx="2">
                  <c:v>50033.73626446</c:v>
                </c:pt>
                <c:pt idx="3">
                  <c:v>1094337.8845118601</c:v>
                </c:pt>
                <c:pt idx="7">
                  <c:v>125553.259077501</c:v>
                </c:pt>
                <c:pt idx="9">
                  <c:v>32427.857917308898</c:v>
                </c:pt>
              </c:numCache>
            </c:numRef>
          </c:val>
          <c:extLst>
            <c:ext xmlns:c16="http://schemas.microsoft.com/office/drawing/2014/chart" uri="{C3380CC4-5D6E-409C-BE32-E72D297353CC}">
              <c16:uniqueId val="{00000004-2E84-4499-9BC9-3DA62F4FFC2C}"/>
            </c:ext>
          </c:extLst>
        </c:ser>
        <c:ser>
          <c:idx val="5"/>
          <c:order val="4"/>
          <c:tx>
            <c:strRef>
              <c:f>'1.'!$AC$2</c:f>
              <c:strCache>
                <c:ptCount val="1"/>
                <c:pt idx="0">
                  <c:v>Textile, unspec.</c:v>
                </c:pt>
              </c:strCache>
            </c:strRef>
          </c:tx>
          <c:spPr>
            <a:solidFill>
              <a:srgbClr val="E6549D"/>
            </a:solidFill>
            <a:ln>
              <a:noFill/>
            </a:ln>
            <a:effectLst/>
          </c:spPr>
          <c:invertIfNegative val="0"/>
          <c:cat>
            <c:strRef>
              <c:f>'1.'!$B$57:$B$66</c:f>
              <c:strCache>
                <c:ptCount val="10"/>
                <c:pt idx="0">
                  <c:v>Fabrics</c:v>
                </c:pt>
                <c:pt idx="1">
                  <c:v>Bed linen</c:v>
                </c:pt>
                <c:pt idx="2">
                  <c:v>Drapery and chair clothing</c:v>
                </c:pt>
                <c:pt idx="3">
                  <c:v>Carpets</c:v>
                </c:pt>
                <c:pt idx="4">
                  <c:v>Fleece</c:v>
                </c:pt>
                <c:pt idx="5">
                  <c:v>Other textiles</c:v>
                </c:pt>
                <c:pt idx="6">
                  <c:v>Uniforms</c:v>
                </c:pt>
                <c:pt idx="7">
                  <c:v>Upper garments</c:v>
                </c:pt>
                <c:pt idx="8">
                  <c:v>Undergarments</c:v>
                </c:pt>
                <c:pt idx="9">
                  <c:v>Other clothing</c:v>
                </c:pt>
              </c:strCache>
            </c:strRef>
          </c:cat>
          <c:val>
            <c:numRef>
              <c:f>'1.'!$AC$57:$AC$66</c:f>
              <c:numCache>
                <c:formatCode>0.00E+00</c:formatCode>
                <c:ptCount val="10"/>
                <c:pt idx="4">
                  <c:v>1071180.1134353499</c:v>
                </c:pt>
                <c:pt idx="5">
                  <c:v>403006.16</c:v>
                </c:pt>
                <c:pt idx="6">
                  <c:v>13642.0788955755</c:v>
                </c:pt>
                <c:pt idx="8">
                  <c:v>72227.077317511896</c:v>
                </c:pt>
              </c:numCache>
            </c:numRef>
          </c:val>
          <c:extLst>
            <c:ext xmlns:c16="http://schemas.microsoft.com/office/drawing/2014/chart" uri="{C3380CC4-5D6E-409C-BE32-E72D297353CC}">
              <c16:uniqueId val="{00000005-2E84-4499-9BC9-3DA62F4FFC2C}"/>
            </c:ext>
          </c:extLst>
        </c:ser>
        <c:dLbls>
          <c:showLegendKey val="0"/>
          <c:showVal val="0"/>
          <c:showCatName val="0"/>
          <c:showSerName val="0"/>
          <c:showPercent val="0"/>
          <c:showBubbleSize val="0"/>
        </c:dLbls>
        <c:gapWidth val="60"/>
        <c:overlap val="100"/>
        <c:axId val="2049683967"/>
        <c:axId val="2049684383"/>
        <c:extLst/>
      </c:barChart>
      <c:catAx>
        <c:axId val="2049683967"/>
        <c:scaling>
          <c:orientation val="minMax"/>
        </c:scaling>
        <c:delete val="0"/>
        <c:axPos val="b"/>
        <c:numFmt formatCode="General" sourceLinked="1"/>
        <c:majorTickMark val="none"/>
        <c:minorTickMark val="none"/>
        <c:tickLblPos val="nextTo"/>
        <c:spPr>
          <a:noFill/>
          <a:ln w="9525" cap="flat" cmpd="sng" algn="ctr">
            <a:solidFill>
              <a:schemeClr val="tx1"/>
            </a:solidFill>
            <a:round/>
          </a:ln>
          <a:effectLst/>
        </c:spPr>
        <c:txPr>
          <a:bodyPr rot="-60000000" vert="horz"/>
          <a:lstStyle/>
          <a:p>
            <a:pPr>
              <a:defRPr/>
            </a:pPr>
            <a:endParaRPr lang="nl-NL"/>
          </a:p>
        </c:txPr>
        <c:crossAx val="2049684383"/>
        <c:crosses val="autoZero"/>
        <c:auto val="1"/>
        <c:lblAlgn val="ctr"/>
        <c:lblOffset val="100"/>
        <c:noMultiLvlLbl val="0"/>
      </c:catAx>
      <c:valAx>
        <c:axId val="2049684383"/>
        <c:scaling>
          <c:orientation val="minMax"/>
        </c:scaling>
        <c:delete val="0"/>
        <c:axPos val="l"/>
        <c:title>
          <c:tx>
            <c:rich>
              <a:bodyPr rot="-5400000" vert="horz"/>
              <a:lstStyle/>
              <a:p>
                <a:pPr>
                  <a:defRPr b="1"/>
                </a:pPr>
                <a:r>
                  <a:rPr lang="en-US" b="1"/>
                  <a:t>ton</a:t>
                </a:r>
              </a:p>
            </c:rich>
          </c:tx>
          <c:overlay val="0"/>
          <c:spPr>
            <a:noFill/>
            <a:ln>
              <a:noFill/>
            </a:ln>
            <a:effectLst/>
          </c:spPr>
        </c:title>
        <c:numFmt formatCode="0.00E+00" sourceLinked="0"/>
        <c:majorTickMark val="none"/>
        <c:minorTickMark val="none"/>
        <c:tickLblPos val="nextTo"/>
        <c:spPr>
          <a:noFill/>
          <a:ln>
            <a:solidFill>
              <a:schemeClr val="tx1"/>
            </a:solidFill>
          </a:ln>
          <a:effectLst/>
        </c:spPr>
        <c:txPr>
          <a:bodyPr rot="-60000000" vert="horz"/>
          <a:lstStyle/>
          <a:p>
            <a:pPr>
              <a:defRPr/>
            </a:pPr>
            <a:endParaRPr lang="nl-NL"/>
          </a:p>
        </c:txPr>
        <c:crossAx val="2049683967"/>
        <c:crosses val="autoZero"/>
        <c:crossBetween val="between"/>
      </c:valAx>
    </c:plotArea>
    <c:legend>
      <c:legendPos val="tr"/>
      <c:layout>
        <c:manualLayout>
          <c:xMode val="edge"/>
          <c:yMode val="edge"/>
          <c:x val="0.63653598481587648"/>
          <c:y val="7.8304703740605427E-2"/>
          <c:w val="0.3443223613171108"/>
          <c:h val="0.32695506746741343"/>
        </c:manualLayout>
      </c:layout>
      <c:overlay val="0"/>
      <c:spPr>
        <a:noFill/>
        <a:ln>
          <a:solidFill>
            <a:schemeClr val="tx1"/>
          </a:solidFill>
        </a:ln>
        <a:effectLst/>
      </c:spPr>
      <c:txPr>
        <a:bodyPr rot="0" vert="horz"/>
        <a:lstStyle/>
        <a:p>
          <a:pPr>
            <a:defRPr/>
          </a:pPr>
          <a:endParaRPr lang="nl-NL"/>
        </a:p>
      </c:txPr>
    </c:legend>
    <c:plotVisOnly val="1"/>
    <c:dispBlanksAs val="gap"/>
    <c:showDLblsOverMax val="0"/>
    <c:extLst/>
  </c:chart>
  <c:spPr>
    <a:solidFill>
      <a:schemeClr val="bg1"/>
    </a:solidFill>
    <a:ln w="9525" cap="flat" cmpd="sng" algn="ctr">
      <a:noFill/>
      <a:round/>
    </a:ln>
    <a:effectLst/>
  </c:spPr>
  <c:txPr>
    <a:bodyPr/>
    <a:lstStyle/>
    <a:p>
      <a:pPr>
        <a:defRPr sz="800" b="0">
          <a:solidFill>
            <a:sysClr val="windowText" lastClr="000000"/>
          </a:solidFill>
          <a:latin typeface="Avenir Next LT Pro" panose="020B0504020202020204" pitchFamily="34" charset="0"/>
        </a:defRPr>
      </a:pPr>
      <a:endParaRPr lang="nl-NL"/>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nl-NL" b="1"/>
              <a:t>In-use stocks of materials in the energy system, the Netherlands, ca. 2020</a:t>
            </a:r>
          </a:p>
        </c:rich>
      </c:tx>
      <c:overlay val="0"/>
    </c:title>
    <c:autoTitleDeleted val="0"/>
    <c:plotArea>
      <c:layout>
        <c:manualLayout>
          <c:layoutTarget val="inner"/>
          <c:xMode val="edge"/>
          <c:yMode val="edge"/>
          <c:x val="0.13445053388016603"/>
          <c:y val="0.11016619519094767"/>
          <c:w val="0.5577354341619043"/>
          <c:h val="0.4169811183662398"/>
        </c:manualLayout>
      </c:layout>
      <c:barChart>
        <c:barDir val="col"/>
        <c:grouping val="stacked"/>
        <c:varyColors val="0"/>
        <c:ser>
          <c:idx val="0"/>
          <c:order val="0"/>
          <c:tx>
            <c:strRef>
              <c:f>'1.'!$F$2</c:f>
              <c:strCache>
                <c:ptCount val="1"/>
                <c:pt idx="0">
                  <c:v>Concrete</c:v>
                </c:pt>
              </c:strCache>
            </c:strRef>
          </c:tx>
          <c:spPr>
            <a:solidFill>
              <a:schemeClr val="bg2">
                <a:lumMod val="50000"/>
              </a:schemeClr>
            </a:solidFill>
          </c:spPr>
          <c:invertIfNegative val="0"/>
          <c:cat>
            <c:strRef>
              <c:f>'1.'!$B$19:$B$30</c:f>
              <c:strCache>
                <c:ptCount val="12"/>
                <c:pt idx="0">
                  <c:v>Electriticy cables</c:v>
                </c:pt>
                <c:pt idx="1">
                  <c:v>Substations and transformers</c:v>
                </c:pt>
                <c:pt idx="2">
                  <c:v>High voltage masts</c:v>
                </c:pt>
                <c:pt idx="3">
                  <c:v>Wind turbines</c:v>
                </c:pt>
                <c:pt idx="4">
                  <c:v>Solar panels</c:v>
                </c:pt>
                <c:pt idx="5">
                  <c:v>Gas fired powerplants</c:v>
                </c:pt>
                <c:pt idx="6">
                  <c:v>Coal fired power plants</c:v>
                </c:pt>
                <c:pt idx="7">
                  <c:v>Nuclear power plants</c:v>
                </c:pt>
                <c:pt idx="8">
                  <c:v>Biomass / waste incinerators</c:v>
                </c:pt>
                <c:pt idx="9">
                  <c:v>Gas pipes</c:v>
                </c:pt>
                <c:pt idx="10">
                  <c:v>Boilers</c:v>
                </c:pt>
                <c:pt idx="11">
                  <c:v>Natural gas production plants</c:v>
                </c:pt>
              </c:strCache>
            </c:strRef>
          </c:cat>
          <c:val>
            <c:numRef>
              <c:f>'1.'!$F$19:$F$30</c:f>
              <c:numCache>
                <c:formatCode>0.00E+00</c:formatCode>
                <c:ptCount val="12"/>
                <c:pt idx="1">
                  <c:v>1403741.9164087055</c:v>
                </c:pt>
                <c:pt idx="2">
                  <c:v>206794.40600000002</c:v>
                </c:pt>
                <c:pt idx="3">
                  <c:v>2112599.4010316771</c:v>
                </c:pt>
                <c:pt idx="4">
                  <c:v>274471.42673439148</c:v>
                </c:pt>
                <c:pt idx="5">
                  <c:v>662340</c:v>
                </c:pt>
                <c:pt idx="6">
                  <c:v>1169894</c:v>
                </c:pt>
                <c:pt idx="7">
                  <c:v>181050</c:v>
                </c:pt>
                <c:pt idx="8">
                  <c:v>185747.08000000002</c:v>
                </c:pt>
                <c:pt idx="11">
                  <c:v>10300</c:v>
                </c:pt>
              </c:numCache>
            </c:numRef>
          </c:val>
          <c:extLst>
            <c:ext xmlns:c16="http://schemas.microsoft.com/office/drawing/2014/chart" uri="{C3380CC4-5D6E-409C-BE32-E72D297353CC}">
              <c16:uniqueId val="{00000000-3B77-47F5-B922-3D12D4AF3135}"/>
            </c:ext>
          </c:extLst>
        </c:ser>
        <c:ser>
          <c:idx val="12"/>
          <c:order val="2"/>
          <c:tx>
            <c:strRef>
              <c:f>'1.'!$N$2</c:f>
              <c:strCache>
                <c:ptCount val="1"/>
                <c:pt idx="0">
                  <c:v>Iron and steel</c:v>
                </c:pt>
              </c:strCache>
            </c:strRef>
          </c:tx>
          <c:spPr>
            <a:solidFill>
              <a:srgbClr val="4D9782"/>
            </a:solidFill>
          </c:spPr>
          <c:invertIfNegative val="0"/>
          <c:cat>
            <c:strRef>
              <c:f>'1.'!$B$19:$B$30</c:f>
              <c:strCache>
                <c:ptCount val="12"/>
                <c:pt idx="0">
                  <c:v>Electriticy cables</c:v>
                </c:pt>
                <c:pt idx="1">
                  <c:v>Substations and transformers</c:v>
                </c:pt>
                <c:pt idx="2">
                  <c:v>High voltage masts</c:v>
                </c:pt>
                <c:pt idx="3">
                  <c:v>Wind turbines</c:v>
                </c:pt>
                <c:pt idx="4">
                  <c:v>Solar panels</c:v>
                </c:pt>
                <c:pt idx="5">
                  <c:v>Gas fired powerplants</c:v>
                </c:pt>
                <c:pt idx="6">
                  <c:v>Coal fired power plants</c:v>
                </c:pt>
                <c:pt idx="7">
                  <c:v>Nuclear power plants</c:v>
                </c:pt>
                <c:pt idx="8">
                  <c:v>Biomass / waste incinerators</c:v>
                </c:pt>
                <c:pt idx="9">
                  <c:v>Gas pipes</c:v>
                </c:pt>
                <c:pt idx="10">
                  <c:v>Boilers</c:v>
                </c:pt>
                <c:pt idx="11">
                  <c:v>Natural gas production plants</c:v>
                </c:pt>
              </c:strCache>
            </c:strRef>
          </c:cat>
          <c:val>
            <c:numRef>
              <c:f>'1.'!$N$19:$N$30</c:f>
              <c:numCache>
                <c:formatCode>0.00E+00</c:formatCode>
                <c:ptCount val="12"/>
                <c:pt idx="0">
                  <c:v>179837.8802388733</c:v>
                </c:pt>
                <c:pt idx="1">
                  <c:v>570263.12330039847</c:v>
                </c:pt>
                <c:pt idx="2">
                  <c:v>126051.43201360352</c:v>
                </c:pt>
                <c:pt idx="3">
                  <c:v>990065.17552288587</c:v>
                </c:pt>
                <c:pt idx="4">
                  <c:v>307028.16927949229</c:v>
                </c:pt>
                <c:pt idx="5">
                  <c:v>294500</c:v>
                </c:pt>
                <c:pt idx="6">
                  <c:v>347044.5</c:v>
                </c:pt>
                <c:pt idx="7">
                  <c:v>31212</c:v>
                </c:pt>
                <c:pt idx="8">
                  <c:v>31174.66</c:v>
                </c:pt>
                <c:pt idx="9">
                  <c:v>450300</c:v>
                </c:pt>
                <c:pt idx="10">
                  <c:v>179299.99999999997</c:v>
                </c:pt>
                <c:pt idx="11">
                  <c:v>26600</c:v>
                </c:pt>
              </c:numCache>
            </c:numRef>
          </c:val>
          <c:extLst>
            <c:ext xmlns:c16="http://schemas.microsoft.com/office/drawing/2014/chart" uri="{C3380CC4-5D6E-409C-BE32-E72D297353CC}">
              <c16:uniqueId val="{00000002-3B77-47F5-B922-3D12D4AF3135}"/>
            </c:ext>
          </c:extLst>
        </c:ser>
        <c:ser>
          <c:idx val="13"/>
          <c:order val="3"/>
          <c:tx>
            <c:strRef>
              <c:f>'1.'!$O$2</c:f>
              <c:strCache>
                <c:ptCount val="1"/>
                <c:pt idx="0">
                  <c:v>Copper</c:v>
                </c:pt>
              </c:strCache>
            </c:strRef>
          </c:tx>
          <c:spPr>
            <a:solidFill>
              <a:srgbClr val="FF7F51"/>
            </a:solidFill>
          </c:spPr>
          <c:invertIfNegative val="0"/>
          <c:cat>
            <c:strRef>
              <c:f>'1.'!$B$19:$B$30</c:f>
              <c:strCache>
                <c:ptCount val="12"/>
                <c:pt idx="0">
                  <c:v>Electriticy cables</c:v>
                </c:pt>
                <c:pt idx="1">
                  <c:v>Substations and transformers</c:v>
                </c:pt>
                <c:pt idx="2">
                  <c:v>High voltage masts</c:v>
                </c:pt>
                <c:pt idx="3">
                  <c:v>Wind turbines</c:v>
                </c:pt>
                <c:pt idx="4">
                  <c:v>Solar panels</c:v>
                </c:pt>
                <c:pt idx="5">
                  <c:v>Gas fired powerplants</c:v>
                </c:pt>
                <c:pt idx="6">
                  <c:v>Coal fired power plants</c:v>
                </c:pt>
                <c:pt idx="7">
                  <c:v>Nuclear power plants</c:v>
                </c:pt>
                <c:pt idx="8">
                  <c:v>Biomass / waste incinerators</c:v>
                </c:pt>
                <c:pt idx="9">
                  <c:v>Gas pipes</c:v>
                </c:pt>
                <c:pt idx="10">
                  <c:v>Boilers</c:v>
                </c:pt>
                <c:pt idx="11">
                  <c:v>Natural gas production plants</c:v>
                </c:pt>
              </c:strCache>
            </c:strRef>
          </c:cat>
          <c:val>
            <c:numRef>
              <c:f>'1.'!$O$19:$O$30</c:f>
              <c:numCache>
                <c:formatCode>0.00E+00</c:formatCode>
                <c:ptCount val="12"/>
                <c:pt idx="0">
                  <c:v>85729.738020033314</c:v>
                </c:pt>
                <c:pt idx="1">
                  <c:v>130206.65967738738</c:v>
                </c:pt>
                <c:pt idx="3">
                  <c:v>18710.58691231587</c:v>
                </c:pt>
                <c:pt idx="4">
                  <c:v>20800.14107048107</c:v>
                </c:pt>
                <c:pt idx="5">
                  <c:v>17575</c:v>
                </c:pt>
                <c:pt idx="6">
                  <c:v>6765</c:v>
                </c:pt>
                <c:pt idx="7">
                  <c:v>749.69999999999993</c:v>
                </c:pt>
                <c:pt idx="8">
                  <c:v>46.460000000000008</c:v>
                </c:pt>
                <c:pt idx="10">
                  <c:v>54800</c:v>
                </c:pt>
              </c:numCache>
            </c:numRef>
          </c:val>
          <c:extLst>
            <c:ext xmlns:c16="http://schemas.microsoft.com/office/drawing/2014/chart" uri="{C3380CC4-5D6E-409C-BE32-E72D297353CC}">
              <c16:uniqueId val="{00000003-3B77-47F5-B922-3D12D4AF3135}"/>
            </c:ext>
          </c:extLst>
        </c:ser>
        <c:ser>
          <c:idx val="1"/>
          <c:order val="4"/>
          <c:tx>
            <c:strRef>
              <c:f>'1.'!$P$2</c:f>
              <c:strCache>
                <c:ptCount val="1"/>
                <c:pt idx="0">
                  <c:v>Aluminium</c:v>
                </c:pt>
              </c:strCache>
            </c:strRef>
          </c:tx>
          <c:spPr>
            <a:solidFill>
              <a:schemeClr val="accent1">
                <a:lumMod val="60000"/>
                <a:lumOff val="40000"/>
              </a:schemeClr>
            </a:solidFill>
          </c:spPr>
          <c:invertIfNegative val="0"/>
          <c:cat>
            <c:strRef>
              <c:f>'1.'!$B$19:$B$30</c:f>
              <c:strCache>
                <c:ptCount val="12"/>
                <c:pt idx="0">
                  <c:v>Electriticy cables</c:v>
                </c:pt>
                <c:pt idx="1">
                  <c:v>Substations and transformers</c:v>
                </c:pt>
                <c:pt idx="2">
                  <c:v>High voltage masts</c:v>
                </c:pt>
                <c:pt idx="3">
                  <c:v>Wind turbines</c:v>
                </c:pt>
                <c:pt idx="4">
                  <c:v>Solar panels</c:v>
                </c:pt>
                <c:pt idx="5">
                  <c:v>Gas fired powerplants</c:v>
                </c:pt>
                <c:pt idx="6">
                  <c:v>Coal fired power plants</c:v>
                </c:pt>
                <c:pt idx="7">
                  <c:v>Nuclear power plants</c:v>
                </c:pt>
                <c:pt idx="8">
                  <c:v>Biomass / waste incinerators</c:v>
                </c:pt>
                <c:pt idx="9">
                  <c:v>Gas pipes</c:v>
                </c:pt>
                <c:pt idx="10">
                  <c:v>Boilers</c:v>
                </c:pt>
                <c:pt idx="11">
                  <c:v>Natural gas production plants</c:v>
                </c:pt>
              </c:strCache>
            </c:strRef>
          </c:cat>
          <c:val>
            <c:numRef>
              <c:f>'1.'!$P$19:$P$30</c:f>
              <c:numCache>
                <c:formatCode>0.00E+00</c:formatCode>
                <c:ptCount val="12"/>
                <c:pt idx="0">
                  <c:v>339882.67951004108</c:v>
                </c:pt>
                <c:pt idx="1">
                  <c:v>239703.72857240072</c:v>
                </c:pt>
                <c:pt idx="3">
                  <c:v>1625.437346266498</c:v>
                </c:pt>
                <c:pt idx="4">
                  <c:v>33913.273484480007</c:v>
                </c:pt>
                <c:pt idx="5">
                  <c:v>17575</c:v>
                </c:pt>
                <c:pt idx="6">
                  <c:v>4510</c:v>
                </c:pt>
                <c:pt idx="7">
                  <c:v>102</c:v>
                </c:pt>
                <c:pt idx="8">
                  <c:v>236.94600000000003</c:v>
                </c:pt>
              </c:numCache>
            </c:numRef>
          </c:val>
          <c:extLst>
            <c:ext xmlns:c16="http://schemas.microsoft.com/office/drawing/2014/chart" uri="{C3380CC4-5D6E-409C-BE32-E72D297353CC}">
              <c16:uniqueId val="{00000004-3B77-47F5-B922-3D12D4AF3135}"/>
            </c:ext>
          </c:extLst>
        </c:ser>
        <c:ser>
          <c:idx val="3"/>
          <c:order val="5"/>
          <c:tx>
            <c:strRef>
              <c:f>'1.'!$Q$2</c:f>
              <c:strCache>
                <c:ptCount val="1"/>
                <c:pt idx="0">
                  <c:v>Zinc</c:v>
                </c:pt>
              </c:strCache>
            </c:strRef>
          </c:tx>
          <c:spPr>
            <a:solidFill>
              <a:srgbClr val="FFFF00"/>
            </a:solidFill>
          </c:spPr>
          <c:invertIfNegative val="0"/>
          <c:cat>
            <c:strRef>
              <c:f>'1.'!$B$19:$B$30</c:f>
              <c:strCache>
                <c:ptCount val="12"/>
                <c:pt idx="0">
                  <c:v>Electriticy cables</c:v>
                </c:pt>
                <c:pt idx="1">
                  <c:v>Substations and transformers</c:v>
                </c:pt>
                <c:pt idx="2">
                  <c:v>High voltage masts</c:v>
                </c:pt>
                <c:pt idx="3">
                  <c:v>Wind turbines</c:v>
                </c:pt>
                <c:pt idx="4">
                  <c:v>Solar panels</c:v>
                </c:pt>
                <c:pt idx="5">
                  <c:v>Gas fired powerplants</c:v>
                </c:pt>
                <c:pt idx="6">
                  <c:v>Coal fired power plants</c:v>
                </c:pt>
                <c:pt idx="7">
                  <c:v>Nuclear power plants</c:v>
                </c:pt>
                <c:pt idx="8">
                  <c:v>Biomass / waste incinerators</c:v>
                </c:pt>
                <c:pt idx="9">
                  <c:v>Gas pipes</c:v>
                </c:pt>
                <c:pt idx="10">
                  <c:v>Boilers</c:v>
                </c:pt>
                <c:pt idx="11">
                  <c:v>Natural gas production plants</c:v>
                </c:pt>
              </c:strCache>
            </c:strRef>
          </c:cat>
          <c:val>
            <c:numRef>
              <c:f>'1.'!$Q$19:$Q$30</c:f>
              <c:numCache>
                <c:formatCode>0.00E+00</c:formatCode>
                <c:ptCount val="12"/>
                <c:pt idx="4">
                  <c:v>8.9983121977383238</c:v>
                </c:pt>
                <c:pt idx="7">
                  <c:v>2.1930000000000001</c:v>
                </c:pt>
              </c:numCache>
            </c:numRef>
          </c:val>
          <c:extLst>
            <c:ext xmlns:c16="http://schemas.microsoft.com/office/drawing/2014/chart" uri="{C3380CC4-5D6E-409C-BE32-E72D297353CC}">
              <c16:uniqueId val="{00000016-3B77-47F5-B922-3D12D4AF3135}"/>
            </c:ext>
          </c:extLst>
        </c:ser>
        <c:ser>
          <c:idx val="4"/>
          <c:order val="6"/>
          <c:tx>
            <c:strRef>
              <c:f>'1.'!$R$2</c:f>
              <c:strCache>
                <c:ptCount val="1"/>
                <c:pt idx="0">
                  <c:v>Lead</c:v>
                </c:pt>
              </c:strCache>
            </c:strRef>
          </c:tx>
          <c:spPr>
            <a:solidFill>
              <a:schemeClr val="accent5">
                <a:lumMod val="20000"/>
                <a:lumOff val="80000"/>
              </a:schemeClr>
            </a:solidFill>
          </c:spPr>
          <c:invertIfNegative val="0"/>
          <c:cat>
            <c:strRef>
              <c:f>'1.'!$B$19:$B$30</c:f>
              <c:strCache>
                <c:ptCount val="12"/>
                <c:pt idx="0">
                  <c:v>Electriticy cables</c:v>
                </c:pt>
                <c:pt idx="1">
                  <c:v>Substations and transformers</c:v>
                </c:pt>
                <c:pt idx="2">
                  <c:v>High voltage masts</c:v>
                </c:pt>
                <c:pt idx="3">
                  <c:v>Wind turbines</c:v>
                </c:pt>
                <c:pt idx="4">
                  <c:v>Solar panels</c:v>
                </c:pt>
                <c:pt idx="5">
                  <c:v>Gas fired powerplants</c:v>
                </c:pt>
                <c:pt idx="6">
                  <c:v>Coal fired power plants</c:v>
                </c:pt>
                <c:pt idx="7">
                  <c:v>Nuclear power plants</c:v>
                </c:pt>
                <c:pt idx="8">
                  <c:v>Biomass / waste incinerators</c:v>
                </c:pt>
                <c:pt idx="9">
                  <c:v>Gas pipes</c:v>
                </c:pt>
                <c:pt idx="10">
                  <c:v>Boilers</c:v>
                </c:pt>
                <c:pt idx="11">
                  <c:v>Natural gas production plants</c:v>
                </c:pt>
              </c:strCache>
            </c:strRef>
          </c:cat>
          <c:val>
            <c:numRef>
              <c:f>'1.'!$R$19:$R$30</c:f>
              <c:numCache>
                <c:formatCode>0.00E+00</c:formatCode>
                <c:ptCount val="12"/>
                <c:pt idx="0">
                  <c:v>324131.40216241981</c:v>
                </c:pt>
                <c:pt idx="4">
                  <c:v>279.28953283425398</c:v>
                </c:pt>
              </c:numCache>
            </c:numRef>
          </c:val>
          <c:extLst>
            <c:ext xmlns:c16="http://schemas.microsoft.com/office/drawing/2014/chart" uri="{C3380CC4-5D6E-409C-BE32-E72D297353CC}">
              <c16:uniqueId val="{00000017-3B77-47F5-B922-3D12D4AF3135}"/>
            </c:ext>
          </c:extLst>
        </c:ser>
        <c:ser>
          <c:idx val="5"/>
          <c:order val="7"/>
          <c:tx>
            <c:strRef>
              <c:f>'1.'!$S$2</c:f>
              <c:strCache>
                <c:ptCount val="1"/>
                <c:pt idx="0">
                  <c:v>Alloying elements (non critical)</c:v>
                </c:pt>
              </c:strCache>
            </c:strRef>
          </c:tx>
          <c:spPr>
            <a:solidFill>
              <a:srgbClr val="E3E385"/>
            </a:solidFill>
          </c:spPr>
          <c:invertIfNegative val="0"/>
          <c:cat>
            <c:strRef>
              <c:f>'1.'!$B$19:$B$30</c:f>
              <c:strCache>
                <c:ptCount val="12"/>
                <c:pt idx="0">
                  <c:v>Electriticy cables</c:v>
                </c:pt>
                <c:pt idx="1">
                  <c:v>Substations and transformers</c:v>
                </c:pt>
                <c:pt idx="2">
                  <c:v>High voltage masts</c:v>
                </c:pt>
                <c:pt idx="3">
                  <c:v>Wind turbines</c:v>
                </c:pt>
                <c:pt idx="4">
                  <c:v>Solar panels</c:v>
                </c:pt>
                <c:pt idx="5">
                  <c:v>Gas fired powerplants</c:v>
                </c:pt>
                <c:pt idx="6">
                  <c:v>Coal fired power plants</c:v>
                </c:pt>
                <c:pt idx="7">
                  <c:v>Nuclear power plants</c:v>
                </c:pt>
                <c:pt idx="8">
                  <c:v>Biomass / waste incinerators</c:v>
                </c:pt>
                <c:pt idx="9">
                  <c:v>Gas pipes</c:v>
                </c:pt>
                <c:pt idx="10">
                  <c:v>Boilers</c:v>
                </c:pt>
                <c:pt idx="11">
                  <c:v>Natural gas production plants</c:v>
                </c:pt>
              </c:strCache>
            </c:strRef>
          </c:cat>
          <c:val>
            <c:numRef>
              <c:f>'1.'!$S$19:$S$30</c:f>
              <c:numCache>
                <c:formatCode>0.00E+00</c:formatCode>
                <c:ptCount val="12"/>
                <c:pt idx="3">
                  <c:v>854.17548919556305</c:v>
                </c:pt>
                <c:pt idx="4">
                  <c:v>460.98773050307722</c:v>
                </c:pt>
                <c:pt idx="5">
                  <c:v>345.61</c:v>
                </c:pt>
                <c:pt idx="6">
                  <c:v>1023.4091999999999</c:v>
                </c:pt>
                <c:pt idx="7">
                  <c:v>386.63100000000003</c:v>
                </c:pt>
                <c:pt idx="8">
                  <c:v>210.85406399999999</c:v>
                </c:pt>
              </c:numCache>
            </c:numRef>
          </c:val>
          <c:extLst>
            <c:ext xmlns:c16="http://schemas.microsoft.com/office/drawing/2014/chart" uri="{C3380CC4-5D6E-409C-BE32-E72D297353CC}">
              <c16:uniqueId val="{00000018-3B77-47F5-B922-3D12D4AF3135}"/>
            </c:ext>
          </c:extLst>
        </c:ser>
        <c:ser>
          <c:idx val="2"/>
          <c:order val="8"/>
          <c:tx>
            <c:strRef>
              <c:f>'1.'!$T$2</c:f>
              <c:strCache>
                <c:ptCount val="1"/>
                <c:pt idx="0">
                  <c:v>Other metals (non critical)</c:v>
                </c:pt>
              </c:strCache>
            </c:strRef>
          </c:tx>
          <c:spPr>
            <a:solidFill>
              <a:srgbClr val="9F70C2"/>
            </a:solidFill>
          </c:spPr>
          <c:invertIfNegative val="0"/>
          <c:cat>
            <c:strRef>
              <c:f>'1.'!$B$19:$B$30</c:f>
              <c:strCache>
                <c:ptCount val="12"/>
                <c:pt idx="0">
                  <c:v>Electriticy cables</c:v>
                </c:pt>
                <c:pt idx="1">
                  <c:v>Substations and transformers</c:v>
                </c:pt>
                <c:pt idx="2">
                  <c:v>High voltage masts</c:v>
                </c:pt>
                <c:pt idx="3">
                  <c:v>Wind turbines</c:v>
                </c:pt>
                <c:pt idx="4">
                  <c:v>Solar panels</c:v>
                </c:pt>
                <c:pt idx="5">
                  <c:v>Gas fired powerplants</c:v>
                </c:pt>
                <c:pt idx="6">
                  <c:v>Coal fired power plants</c:v>
                </c:pt>
                <c:pt idx="7">
                  <c:v>Nuclear power plants</c:v>
                </c:pt>
                <c:pt idx="8">
                  <c:v>Biomass / waste incinerators</c:v>
                </c:pt>
                <c:pt idx="9">
                  <c:v>Gas pipes</c:v>
                </c:pt>
                <c:pt idx="10">
                  <c:v>Boilers</c:v>
                </c:pt>
                <c:pt idx="11">
                  <c:v>Natural gas production plants</c:v>
                </c:pt>
              </c:strCache>
            </c:strRef>
          </c:cat>
          <c:val>
            <c:numRef>
              <c:f>'1.'!$T$19:$T$30</c:f>
              <c:numCache>
                <c:formatCode>0.00E+00</c:formatCode>
                <c:ptCount val="12"/>
                <c:pt idx="10">
                  <c:v>14200</c:v>
                </c:pt>
              </c:numCache>
            </c:numRef>
          </c:val>
          <c:extLst>
            <c:ext xmlns:c16="http://schemas.microsoft.com/office/drawing/2014/chart" uri="{C3380CC4-5D6E-409C-BE32-E72D297353CC}">
              <c16:uniqueId val="{00000005-3B77-47F5-B922-3D12D4AF3135}"/>
            </c:ext>
          </c:extLst>
        </c:ser>
        <c:ser>
          <c:idx val="9"/>
          <c:order val="9"/>
          <c:tx>
            <c:strRef>
              <c:f>'1.'!$U$2</c:f>
              <c:strCache>
                <c:ptCount val="1"/>
                <c:pt idx="0">
                  <c:v>Wood</c:v>
                </c:pt>
              </c:strCache>
            </c:strRef>
          </c:tx>
          <c:spPr>
            <a:solidFill>
              <a:srgbClr val="866840"/>
            </a:solidFill>
          </c:spPr>
          <c:invertIfNegative val="0"/>
          <c:cat>
            <c:strRef>
              <c:f>'1.'!$B$19:$B$30</c:f>
              <c:strCache>
                <c:ptCount val="12"/>
                <c:pt idx="0">
                  <c:v>Electriticy cables</c:v>
                </c:pt>
                <c:pt idx="1">
                  <c:v>Substations and transformers</c:v>
                </c:pt>
                <c:pt idx="2">
                  <c:v>High voltage masts</c:v>
                </c:pt>
                <c:pt idx="3">
                  <c:v>Wind turbines</c:v>
                </c:pt>
                <c:pt idx="4">
                  <c:v>Solar panels</c:v>
                </c:pt>
                <c:pt idx="5">
                  <c:v>Gas fired powerplants</c:v>
                </c:pt>
                <c:pt idx="6">
                  <c:v>Coal fired power plants</c:v>
                </c:pt>
                <c:pt idx="7">
                  <c:v>Nuclear power plants</c:v>
                </c:pt>
                <c:pt idx="8">
                  <c:v>Biomass / waste incinerators</c:v>
                </c:pt>
                <c:pt idx="9">
                  <c:v>Gas pipes</c:v>
                </c:pt>
                <c:pt idx="10">
                  <c:v>Boilers</c:v>
                </c:pt>
                <c:pt idx="11">
                  <c:v>Natural gas production plants</c:v>
                </c:pt>
              </c:strCache>
            </c:strRef>
          </c:cat>
          <c:val>
            <c:numRef>
              <c:f>'1.'!$U$19:$U$30</c:f>
              <c:numCache>
                <c:formatCode>0.00E+00</c:formatCode>
                <c:ptCount val="12"/>
                <c:pt idx="3">
                  <c:v>1555.691381722083</c:v>
                </c:pt>
              </c:numCache>
            </c:numRef>
          </c:val>
          <c:extLst>
            <c:ext xmlns:c16="http://schemas.microsoft.com/office/drawing/2014/chart" uri="{C3380CC4-5D6E-409C-BE32-E72D297353CC}">
              <c16:uniqueId val="{00000006-3B77-47F5-B922-3D12D4AF3135}"/>
            </c:ext>
          </c:extLst>
        </c:ser>
        <c:ser>
          <c:idx val="15"/>
          <c:order val="10"/>
          <c:tx>
            <c:strRef>
              <c:f>'1.'!$X$2</c:f>
              <c:strCache>
                <c:ptCount val="1"/>
                <c:pt idx="0">
                  <c:v>Plastics</c:v>
                </c:pt>
              </c:strCache>
            </c:strRef>
          </c:tx>
          <c:spPr>
            <a:solidFill>
              <a:srgbClr val="FFA7AB"/>
            </a:solidFill>
          </c:spPr>
          <c:invertIfNegative val="0"/>
          <c:cat>
            <c:strRef>
              <c:f>'1.'!$B$19:$B$30</c:f>
              <c:strCache>
                <c:ptCount val="12"/>
                <c:pt idx="0">
                  <c:v>Electriticy cables</c:v>
                </c:pt>
                <c:pt idx="1">
                  <c:v>Substations and transformers</c:v>
                </c:pt>
                <c:pt idx="2">
                  <c:v>High voltage masts</c:v>
                </c:pt>
                <c:pt idx="3">
                  <c:v>Wind turbines</c:v>
                </c:pt>
                <c:pt idx="4">
                  <c:v>Solar panels</c:v>
                </c:pt>
                <c:pt idx="5">
                  <c:v>Gas fired powerplants</c:v>
                </c:pt>
                <c:pt idx="6">
                  <c:v>Coal fired power plants</c:v>
                </c:pt>
                <c:pt idx="7">
                  <c:v>Nuclear power plants</c:v>
                </c:pt>
                <c:pt idx="8">
                  <c:v>Biomass / waste incinerators</c:v>
                </c:pt>
                <c:pt idx="9">
                  <c:v>Gas pipes</c:v>
                </c:pt>
                <c:pt idx="10">
                  <c:v>Boilers</c:v>
                </c:pt>
                <c:pt idx="11">
                  <c:v>Natural gas production plants</c:v>
                </c:pt>
              </c:strCache>
            </c:strRef>
          </c:cat>
          <c:val>
            <c:numRef>
              <c:f>'1.'!$X$19:$X$30</c:f>
              <c:numCache>
                <c:formatCode>0.00E+00</c:formatCode>
                <c:ptCount val="12"/>
                <c:pt idx="0">
                  <c:v>173467.42366109215</c:v>
                </c:pt>
                <c:pt idx="3">
                  <c:v>1149.8588473597999</c:v>
                </c:pt>
                <c:pt idx="4">
                  <c:v>38887.220262203737</c:v>
                </c:pt>
                <c:pt idx="9">
                  <c:v>300700</c:v>
                </c:pt>
                <c:pt idx="10">
                  <c:v>42800</c:v>
                </c:pt>
              </c:numCache>
            </c:numRef>
          </c:val>
          <c:extLst>
            <c:ext xmlns:c16="http://schemas.microsoft.com/office/drawing/2014/chart" uri="{C3380CC4-5D6E-409C-BE32-E72D297353CC}">
              <c16:uniqueId val="{00000007-3B77-47F5-B922-3D12D4AF3135}"/>
            </c:ext>
          </c:extLst>
        </c:ser>
        <c:ser>
          <c:idx val="17"/>
          <c:order val="11"/>
          <c:tx>
            <c:strRef>
              <c:f>'1.'!$Z$2</c:f>
              <c:strCache>
                <c:ptCount val="1"/>
                <c:pt idx="0">
                  <c:v>Other materials</c:v>
                </c:pt>
              </c:strCache>
            </c:strRef>
          </c:tx>
          <c:spPr>
            <a:solidFill>
              <a:srgbClr val="5D95C7"/>
            </a:solidFill>
          </c:spPr>
          <c:invertIfNegative val="0"/>
          <c:cat>
            <c:strRef>
              <c:f>'1.'!$B$19:$B$30</c:f>
              <c:strCache>
                <c:ptCount val="12"/>
                <c:pt idx="0">
                  <c:v>Electriticy cables</c:v>
                </c:pt>
                <c:pt idx="1">
                  <c:v>Substations and transformers</c:v>
                </c:pt>
                <c:pt idx="2">
                  <c:v>High voltage masts</c:v>
                </c:pt>
                <c:pt idx="3">
                  <c:v>Wind turbines</c:v>
                </c:pt>
                <c:pt idx="4">
                  <c:v>Solar panels</c:v>
                </c:pt>
                <c:pt idx="5">
                  <c:v>Gas fired powerplants</c:v>
                </c:pt>
                <c:pt idx="6">
                  <c:v>Coal fired power plants</c:v>
                </c:pt>
                <c:pt idx="7">
                  <c:v>Nuclear power plants</c:v>
                </c:pt>
                <c:pt idx="8">
                  <c:v>Biomass / waste incinerators</c:v>
                </c:pt>
                <c:pt idx="9">
                  <c:v>Gas pipes</c:v>
                </c:pt>
                <c:pt idx="10">
                  <c:v>Boilers</c:v>
                </c:pt>
                <c:pt idx="11">
                  <c:v>Natural gas production plants</c:v>
                </c:pt>
              </c:strCache>
            </c:strRef>
          </c:cat>
          <c:val>
            <c:numRef>
              <c:f>'1.'!$Z$19:$Z$30</c:f>
              <c:numCache>
                <c:formatCode>0.00E+00</c:formatCode>
                <c:ptCount val="12"/>
                <c:pt idx="0">
                  <c:v>129402.98717452597</c:v>
                </c:pt>
              </c:numCache>
            </c:numRef>
          </c:val>
          <c:extLst>
            <c:ext xmlns:c16="http://schemas.microsoft.com/office/drawing/2014/chart" uri="{C3380CC4-5D6E-409C-BE32-E72D297353CC}">
              <c16:uniqueId val="{00000008-3B77-47F5-B922-3D12D4AF3135}"/>
            </c:ext>
          </c:extLst>
        </c:ser>
        <c:ser>
          <c:idx val="18"/>
          <c:order val="12"/>
          <c:tx>
            <c:strRef>
              <c:f>'1.'!$AA$2</c:f>
              <c:strCache>
                <c:ptCount val="1"/>
                <c:pt idx="0">
                  <c:v>Glass</c:v>
                </c:pt>
              </c:strCache>
            </c:strRef>
          </c:tx>
          <c:spPr>
            <a:solidFill>
              <a:schemeClr val="tx1"/>
            </a:solidFill>
          </c:spPr>
          <c:invertIfNegative val="0"/>
          <c:cat>
            <c:strRef>
              <c:f>'1.'!$B$19:$B$30</c:f>
              <c:strCache>
                <c:ptCount val="12"/>
                <c:pt idx="0">
                  <c:v>Electriticy cables</c:v>
                </c:pt>
                <c:pt idx="1">
                  <c:v>Substations and transformers</c:v>
                </c:pt>
                <c:pt idx="2">
                  <c:v>High voltage masts</c:v>
                </c:pt>
                <c:pt idx="3">
                  <c:v>Wind turbines</c:v>
                </c:pt>
                <c:pt idx="4">
                  <c:v>Solar panels</c:v>
                </c:pt>
                <c:pt idx="5">
                  <c:v>Gas fired powerplants</c:v>
                </c:pt>
                <c:pt idx="6">
                  <c:v>Coal fired power plants</c:v>
                </c:pt>
                <c:pt idx="7">
                  <c:v>Nuclear power plants</c:v>
                </c:pt>
                <c:pt idx="8">
                  <c:v>Biomass / waste incinerators</c:v>
                </c:pt>
                <c:pt idx="9">
                  <c:v>Gas pipes</c:v>
                </c:pt>
                <c:pt idx="10">
                  <c:v>Boilers</c:v>
                </c:pt>
                <c:pt idx="11">
                  <c:v>Natural gas production plants</c:v>
                </c:pt>
              </c:strCache>
            </c:strRef>
          </c:cat>
          <c:val>
            <c:numRef>
              <c:f>'1.'!$AA$19:$AA$30</c:f>
              <c:numCache>
                <c:formatCode>0.00E+00</c:formatCode>
                <c:ptCount val="12"/>
                <c:pt idx="4">
                  <c:v>209810.118623983</c:v>
                </c:pt>
              </c:numCache>
            </c:numRef>
          </c:val>
          <c:extLst>
            <c:ext xmlns:c16="http://schemas.microsoft.com/office/drawing/2014/chart" uri="{C3380CC4-5D6E-409C-BE32-E72D297353CC}">
              <c16:uniqueId val="{00000009-3B77-47F5-B922-3D12D4AF3135}"/>
            </c:ext>
          </c:extLst>
        </c:ser>
        <c:ser>
          <c:idx val="21"/>
          <c:order val="13"/>
          <c:tx>
            <c:strRef>
              <c:f>'1.'!$BE$2</c:f>
              <c:strCache>
                <c:ptCount val="1"/>
                <c:pt idx="0">
                  <c:v>Total CRM</c:v>
                </c:pt>
              </c:strCache>
            </c:strRef>
          </c:tx>
          <c:spPr>
            <a:solidFill>
              <a:srgbClr val="8C386A"/>
            </a:solidFill>
          </c:spPr>
          <c:invertIfNegative val="0"/>
          <c:cat>
            <c:strRef>
              <c:f>'1.'!$B$19:$B$30</c:f>
              <c:strCache>
                <c:ptCount val="12"/>
                <c:pt idx="0">
                  <c:v>Electriticy cables</c:v>
                </c:pt>
                <c:pt idx="1">
                  <c:v>Substations and transformers</c:v>
                </c:pt>
                <c:pt idx="2">
                  <c:v>High voltage masts</c:v>
                </c:pt>
                <c:pt idx="3">
                  <c:v>Wind turbines</c:v>
                </c:pt>
                <c:pt idx="4">
                  <c:v>Solar panels</c:v>
                </c:pt>
                <c:pt idx="5">
                  <c:v>Gas fired powerplants</c:v>
                </c:pt>
                <c:pt idx="6">
                  <c:v>Coal fired power plants</c:v>
                </c:pt>
                <c:pt idx="7">
                  <c:v>Nuclear power plants</c:v>
                </c:pt>
                <c:pt idx="8">
                  <c:v>Biomass / waste incinerators</c:v>
                </c:pt>
                <c:pt idx="9">
                  <c:v>Gas pipes</c:v>
                </c:pt>
                <c:pt idx="10">
                  <c:v>Boilers</c:v>
                </c:pt>
                <c:pt idx="11">
                  <c:v>Natural gas production plants</c:v>
                </c:pt>
              </c:strCache>
            </c:strRef>
          </c:cat>
          <c:val>
            <c:numRef>
              <c:f>'1.'!$BE$19:$BE$27</c:f>
              <c:numCache>
                <c:formatCode>0.00E+00</c:formatCode>
                <c:ptCount val="9"/>
                <c:pt idx="3">
                  <c:v>278.31369027796217</c:v>
                </c:pt>
                <c:pt idx="4">
                  <c:v>15573.047703752076</c:v>
                </c:pt>
                <c:pt idx="5">
                  <c:v>34.199999999999996</c:v>
                </c:pt>
                <c:pt idx="6">
                  <c:v>175.52920000000003</c:v>
                </c:pt>
                <c:pt idx="7">
                  <c:v>9.9449999999999985</c:v>
                </c:pt>
                <c:pt idx="8">
                  <c:v>36.164464000000002</c:v>
                </c:pt>
              </c:numCache>
            </c:numRef>
          </c:val>
          <c:extLst>
            <c:ext xmlns:c16="http://schemas.microsoft.com/office/drawing/2014/chart" uri="{C3380CC4-5D6E-409C-BE32-E72D297353CC}">
              <c16:uniqueId val="{0000000B-3B77-47F5-B922-3D12D4AF3135}"/>
            </c:ext>
          </c:extLst>
        </c:ser>
        <c:dLbls>
          <c:showLegendKey val="0"/>
          <c:showVal val="0"/>
          <c:showCatName val="0"/>
          <c:showSerName val="0"/>
          <c:showPercent val="0"/>
          <c:showBubbleSize val="0"/>
        </c:dLbls>
        <c:gapWidth val="48"/>
        <c:overlap val="100"/>
        <c:axId val="2049683967"/>
        <c:axId val="2049684383"/>
        <c:extLst>
          <c:ext xmlns:c15="http://schemas.microsoft.com/office/drawing/2012/chart" uri="{02D57815-91ED-43cb-92C2-25804820EDAC}">
            <c15:filteredBarSeries>
              <c15:ser>
                <c:idx val="10"/>
                <c:order val="1"/>
                <c:tx>
                  <c:strRef>
                    <c:extLst>
                      <c:ext uri="{02D57815-91ED-43cb-92C2-25804820EDAC}">
                        <c15:formulaRef>
                          <c15:sqref>'1.'!$M$2</c15:sqref>
                        </c15:formulaRef>
                      </c:ext>
                    </c:extLst>
                    <c:strCache>
                      <c:ptCount val="1"/>
                      <c:pt idx="0">
                        <c:v>Other construction materials</c:v>
                      </c:pt>
                    </c:strCache>
                  </c:strRef>
                </c:tx>
                <c:spPr>
                  <a:solidFill>
                    <a:schemeClr val="accent4">
                      <a:lumMod val="60000"/>
                      <a:lumOff val="40000"/>
                    </a:schemeClr>
                  </a:solidFill>
                </c:spPr>
                <c:invertIfNegative val="0"/>
                <c:cat>
                  <c:strRef>
                    <c:extLst>
                      <c:ext uri="{02D57815-91ED-43cb-92C2-25804820EDAC}">
                        <c15:formulaRef>
                          <c15:sqref>'1.'!$B$19:$B$30</c15:sqref>
                        </c15:formulaRef>
                      </c:ext>
                    </c:extLst>
                    <c:strCache>
                      <c:ptCount val="12"/>
                      <c:pt idx="0">
                        <c:v>Electriticy cables</c:v>
                      </c:pt>
                      <c:pt idx="1">
                        <c:v>Substations and transformers</c:v>
                      </c:pt>
                      <c:pt idx="2">
                        <c:v>High voltage masts</c:v>
                      </c:pt>
                      <c:pt idx="3">
                        <c:v>Wind turbines</c:v>
                      </c:pt>
                      <c:pt idx="4">
                        <c:v>Solar panels</c:v>
                      </c:pt>
                      <c:pt idx="5">
                        <c:v>Gas fired powerplants</c:v>
                      </c:pt>
                      <c:pt idx="6">
                        <c:v>Coal fired power plants</c:v>
                      </c:pt>
                      <c:pt idx="7">
                        <c:v>Nuclear power plants</c:v>
                      </c:pt>
                      <c:pt idx="8">
                        <c:v>Biomass / waste incinerators</c:v>
                      </c:pt>
                      <c:pt idx="9">
                        <c:v>Gas pipes</c:v>
                      </c:pt>
                      <c:pt idx="10">
                        <c:v>Boilers</c:v>
                      </c:pt>
                      <c:pt idx="11">
                        <c:v>Natural gas production plants</c:v>
                      </c:pt>
                    </c:strCache>
                  </c:strRef>
                </c:cat>
                <c:val>
                  <c:numRef>
                    <c:extLst>
                      <c:ext uri="{02D57815-91ED-43cb-92C2-25804820EDAC}">
                        <c15:formulaRef>
                          <c15:sqref>'1.'!$M$19:$M$30</c15:sqref>
                        </c15:formulaRef>
                      </c:ext>
                    </c:extLst>
                    <c:numCache>
                      <c:formatCode>0.00E+00</c:formatCode>
                      <c:ptCount val="12"/>
                      <c:pt idx="9">
                        <c:v>1400</c:v>
                      </c:pt>
                    </c:numCache>
                  </c:numRef>
                </c:val>
                <c:extLst>
                  <c:ext xmlns:c16="http://schemas.microsoft.com/office/drawing/2014/chart" uri="{C3380CC4-5D6E-409C-BE32-E72D297353CC}">
                    <c16:uniqueId val="{00000001-3B77-47F5-B922-3D12D4AF3135}"/>
                  </c:ext>
                </c:extLst>
              </c15:ser>
            </c15:filteredBarSeries>
          </c:ext>
        </c:extLst>
      </c:barChart>
      <c:catAx>
        <c:axId val="2049683967"/>
        <c:scaling>
          <c:orientation val="minMax"/>
        </c:scaling>
        <c:delete val="0"/>
        <c:axPos val="b"/>
        <c:numFmt formatCode="General" sourceLinked="1"/>
        <c:majorTickMark val="none"/>
        <c:minorTickMark val="none"/>
        <c:tickLblPos val="nextTo"/>
        <c:spPr>
          <a:noFill/>
          <a:ln w="9525" cap="flat" cmpd="sng" algn="ctr">
            <a:solidFill>
              <a:schemeClr val="tx1"/>
            </a:solidFill>
            <a:round/>
          </a:ln>
          <a:effectLst/>
        </c:spPr>
        <c:txPr>
          <a:bodyPr rot="-60000000" vert="horz"/>
          <a:lstStyle/>
          <a:p>
            <a:pPr>
              <a:defRPr/>
            </a:pPr>
            <a:endParaRPr lang="nl-NL"/>
          </a:p>
        </c:txPr>
        <c:crossAx val="2049684383"/>
        <c:crosses val="autoZero"/>
        <c:auto val="1"/>
        <c:lblAlgn val="ctr"/>
        <c:lblOffset val="100"/>
        <c:noMultiLvlLbl val="0"/>
      </c:catAx>
      <c:valAx>
        <c:axId val="2049684383"/>
        <c:scaling>
          <c:orientation val="minMax"/>
        </c:scaling>
        <c:delete val="0"/>
        <c:axPos val="l"/>
        <c:title>
          <c:tx>
            <c:rich>
              <a:bodyPr rot="-5400000" vert="horz"/>
              <a:lstStyle/>
              <a:p>
                <a:pPr>
                  <a:defRPr b="1"/>
                </a:pPr>
                <a:r>
                  <a:rPr lang="en-US" b="1"/>
                  <a:t>ton</a:t>
                </a:r>
              </a:p>
            </c:rich>
          </c:tx>
          <c:overlay val="0"/>
          <c:spPr>
            <a:noFill/>
            <a:ln>
              <a:noFill/>
            </a:ln>
            <a:effectLst/>
          </c:spPr>
        </c:title>
        <c:numFmt formatCode="0.00E+00" sourceLinked="1"/>
        <c:majorTickMark val="none"/>
        <c:minorTickMark val="none"/>
        <c:tickLblPos val="nextTo"/>
        <c:spPr>
          <a:noFill/>
          <a:ln>
            <a:solidFill>
              <a:schemeClr val="tx1"/>
            </a:solidFill>
          </a:ln>
          <a:effectLst/>
        </c:spPr>
        <c:txPr>
          <a:bodyPr rot="-60000000" vert="horz"/>
          <a:lstStyle/>
          <a:p>
            <a:pPr>
              <a:defRPr/>
            </a:pPr>
            <a:endParaRPr lang="nl-NL"/>
          </a:p>
        </c:txPr>
        <c:crossAx val="2049683967"/>
        <c:crosses val="autoZero"/>
        <c:crossBetween val="between"/>
      </c:valAx>
    </c:plotArea>
    <c:legend>
      <c:legendPos val="tr"/>
      <c:layout>
        <c:manualLayout>
          <c:xMode val="edge"/>
          <c:yMode val="edge"/>
          <c:x val="0.70426992176271397"/>
          <c:y val="6.692904613357617E-2"/>
          <c:w val="0.25402294016904686"/>
          <c:h val="0.70075654273102839"/>
        </c:manualLayout>
      </c:layout>
      <c:overlay val="0"/>
      <c:spPr>
        <a:noFill/>
        <a:ln>
          <a:solidFill>
            <a:schemeClr val="tx1"/>
          </a:solidFill>
        </a:ln>
        <a:effectLst/>
      </c:spPr>
      <c:txPr>
        <a:bodyPr rot="0" vert="horz"/>
        <a:lstStyle/>
        <a:p>
          <a:pPr>
            <a:defRPr/>
          </a:pPr>
          <a:endParaRPr lang="nl-NL"/>
        </a:p>
      </c:txPr>
    </c:legend>
    <c:plotVisOnly val="1"/>
    <c:dispBlanksAs val="gap"/>
    <c:showDLblsOverMax val="0"/>
    <c:extLst/>
  </c:chart>
  <c:spPr>
    <a:solidFill>
      <a:schemeClr val="bg1"/>
    </a:solidFill>
    <a:ln w="9525" cap="flat" cmpd="sng" algn="ctr">
      <a:noFill/>
      <a:round/>
    </a:ln>
    <a:effectLst/>
  </c:spPr>
  <c:txPr>
    <a:bodyPr/>
    <a:lstStyle/>
    <a:p>
      <a:pPr>
        <a:defRPr sz="800" b="0">
          <a:solidFill>
            <a:sysClr val="windowText" lastClr="000000"/>
          </a:solidFill>
          <a:latin typeface="Avenir Next LT Pro" panose="020B0504020202020204" pitchFamily="34" charset="0"/>
        </a:defRPr>
      </a:pPr>
      <a:endParaRPr lang="nl-NL"/>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nl-NL" b="1"/>
              <a:t>In-use stocks of materials in machinery, the Netherlands,</a:t>
            </a:r>
            <a:r>
              <a:rPr lang="nl-NL" b="1" baseline="0"/>
              <a:t> ca. 2020</a:t>
            </a:r>
            <a:endParaRPr lang="nl-NL" b="1"/>
          </a:p>
        </c:rich>
      </c:tx>
      <c:layout>
        <c:manualLayout>
          <c:xMode val="edge"/>
          <c:yMode val="edge"/>
          <c:x val="0.12408641117189535"/>
          <c:y val="1.8417697425268744E-2"/>
        </c:manualLayout>
      </c:layout>
      <c:overlay val="0"/>
    </c:title>
    <c:autoTitleDeleted val="0"/>
    <c:plotArea>
      <c:layout>
        <c:manualLayout>
          <c:layoutTarget val="inner"/>
          <c:xMode val="edge"/>
          <c:yMode val="edge"/>
          <c:x val="0.10891323969809409"/>
          <c:y val="4.9932609567981269E-2"/>
          <c:w val="0.60564600254591217"/>
          <c:h val="0.59141957665883149"/>
        </c:manualLayout>
      </c:layout>
      <c:barChart>
        <c:barDir val="col"/>
        <c:grouping val="stacked"/>
        <c:varyColors val="0"/>
        <c:ser>
          <c:idx val="0"/>
          <c:order val="0"/>
          <c:tx>
            <c:strRef>
              <c:f>'1.'!$N$2</c:f>
              <c:strCache>
                <c:ptCount val="1"/>
                <c:pt idx="0">
                  <c:v>Iron and steel</c:v>
                </c:pt>
              </c:strCache>
            </c:strRef>
          </c:tx>
          <c:spPr>
            <a:solidFill>
              <a:srgbClr val="4D9782"/>
            </a:solidFill>
          </c:spPr>
          <c:invertIfNegative val="0"/>
          <c:cat>
            <c:strRef>
              <c:f>'1.'!$B$45:$B$56</c:f>
              <c:strCache>
                <c:ptCount val="12"/>
                <c:pt idx="0">
                  <c:v>Turbines / motors</c:v>
                </c:pt>
                <c:pt idx="1">
                  <c:v>Pumps / compressors</c:v>
                </c:pt>
                <c:pt idx="2">
                  <c:v>Taps and valves</c:v>
                </c:pt>
                <c:pt idx="3">
                  <c:v>Other machinery for general usage</c:v>
                </c:pt>
                <c:pt idx="4">
                  <c:v>Equipment for hoisting, winching, lifting</c:v>
                </c:pt>
                <c:pt idx="5">
                  <c:v>Office equipments</c:v>
                </c:pt>
                <c:pt idx="6">
                  <c:v>Mechanical tools</c:v>
                </c:pt>
                <c:pt idx="7">
                  <c:v>Climate control machines</c:v>
                </c:pt>
                <c:pt idx="8">
                  <c:v>Filtering equipment</c:v>
                </c:pt>
                <c:pt idx="9">
                  <c:v>Bottle cleaning equipment</c:v>
                </c:pt>
                <c:pt idx="10">
                  <c:v>Agricultural equipment</c:v>
                </c:pt>
                <c:pt idx="11">
                  <c:v>Electric tools</c:v>
                </c:pt>
              </c:strCache>
            </c:strRef>
          </c:cat>
          <c:val>
            <c:numRef>
              <c:f>'1.'!$N$45:$N$56</c:f>
              <c:numCache>
                <c:formatCode>0.00E+00</c:formatCode>
                <c:ptCount val="12"/>
                <c:pt idx="0">
                  <c:v>374598.41860267532</c:v>
                </c:pt>
                <c:pt idx="1">
                  <c:v>434964.02834512794</c:v>
                </c:pt>
                <c:pt idx="2">
                  <c:v>965741.08649706899</c:v>
                </c:pt>
                <c:pt idx="3">
                  <c:v>481919.99582871899</c:v>
                </c:pt>
                <c:pt idx="4">
                  <c:v>599062.370874441</c:v>
                </c:pt>
                <c:pt idx="5">
                  <c:v>48792.304690106503</c:v>
                </c:pt>
                <c:pt idx="6">
                  <c:v>69669.766896294197</c:v>
                </c:pt>
                <c:pt idx="7">
                  <c:v>245563.759340855</c:v>
                </c:pt>
                <c:pt idx="8">
                  <c:v>29145.888262050001</c:v>
                </c:pt>
                <c:pt idx="9">
                  <c:v>9692.5973963001907</c:v>
                </c:pt>
                <c:pt idx="10">
                  <c:v>1450479.6030621107</c:v>
                </c:pt>
                <c:pt idx="11">
                  <c:v>2098918.9946099548</c:v>
                </c:pt>
              </c:numCache>
            </c:numRef>
          </c:val>
          <c:extLst>
            <c:ext xmlns:c16="http://schemas.microsoft.com/office/drawing/2014/chart" uri="{C3380CC4-5D6E-409C-BE32-E72D297353CC}">
              <c16:uniqueId val="{00000001-AE1F-4C97-AC29-F5311A109289}"/>
            </c:ext>
          </c:extLst>
        </c:ser>
        <c:ser>
          <c:idx val="1"/>
          <c:order val="1"/>
          <c:tx>
            <c:strRef>
              <c:f>'1.'!$O$2</c:f>
              <c:strCache>
                <c:ptCount val="1"/>
                <c:pt idx="0">
                  <c:v>Copper</c:v>
                </c:pt>
              </c:strCache>
            </c:strRef>
          </c:tx>
          <c:invertIfNegative val="0"/>
          <c:cat>
            <c:strRef>
              <c:f>'1.'!$B$45:$B$56</c:f>
              <c:strCache>
                <c:ptCount val="12"/>
                <c:pt idx="0">
                  <c:v>Turbines / motors</c:v>
                </c:pt>
                <c:pt idx="1">
                  <c:v>Pumps / compressors</c:v>
                </c:pt>
                <c:pt idx="2">
                  <c:v>Taps and valves</c:v>
                </c:pt>
                <c:pt idx="3">
                  <c:v>Other machinery for general usage</c:v>
                </c:pt>
                <c:pt idx="4">
                  <c:v>Equipment for hoisting, winching, lifting</c:v>
                </c:pt>
                <c:pt idx="5">
                  <c:v>Office equipments</c:v>
                </c:pt>
                <c:pt idx="6">
                  <c:v>Mechanical tools</c:v>
                </c:pt>
                <c:pt idx="7">
                  <c:v>Climate control machines</c:v>
                </c:pt>
                <c:pt idx="8">
                  <c:v>Filtering equipment</c:v>
                </c:pt>
                <c:pt idx="9">
                  <c:v>Bottle cleaning equipment</c:v>
                </c:pt>
                <c:pt idx="10">
                  <c:v>Agricultural equipment</c:v>
                </c:pt>
                <c:pt idx="11">
                  <c:v>Electric tools</c:v>
                </c:pt>
              </c:strCache>
            </c:strRef>
          </c:cat>
          <c:val>
            <c:numRef>
              <c:f>'1.'!$O$45:$O$56</c:f>
              <c:numCache>
                <c:formatCode>0.00E+00</c:formatCode>
                <c:ptCount val="12"/>
                <c:pt idx="0">
                  <c:v>14068.6764356163</c:v>
                </c:pt>
                <c:pt idx="1">
                  <c:v>52580.220502908604</c:v>
                </c:pt>
                <c:pt idx="3">
                  <c:v>28741.9326131163</c:v>
                </c:pt>
                <c:pt idx="7">
                  <c:v>16190.011362966699</c:v>
                </c:pt>
                <c:pt idx="8">
                  <c:v>378.96493917876001</c:v>
                </c:pt>
                <c:pt idx="10">
                  <c:v>9758.7199339929703</c:v>
                </c:pt>
                <c:pt idx="11">
                  <c:v>133458.30325833999</c:v>
                </c:pt>
              </c:numCache>
            </c:numRef>
          </c:val>
          <c:extLst>
            <c:ext xmlns:c16="http://schemas.microsoft.com/office/drawing/2014/chart" uri="{C3380CC4-5D6E-409C-BE32-E72D297353CC}">
              <c16:uniqueId val="{00000002-AE1F-4C97-AC29-F5311A109289}"/>
            </c:ext>
          </c:extLst>
        </c:ser>
        <c:ser>
          <c:idx val="2"/>
          <c:order val="2"/>
          <c:tx>
            <c:strRef>
              <c:f>'1.'!$P$2</c:f>
              <c:strCache>
                <c:ptCount val="1"/>
                <c:pt idx="0">
                  <c:v>Aluminium</c:v>
                </c:pt>
              </c:strCache>
            </c:strRef>
          </c:tx>
          <c:spPr>
            <a:solidFill>
              <a:schemeClr val="accent1">
                <a:lumMod val="60000"/>
                <a:lumOff val="40000"/>
              </a:schemeClr>
            </a:solidFill>
          </c:spPr>
          <c:invertIfNegative val="0"/>
          <c:cat>
            <c:strRef>
              <c:f>'1.'!$B$45:$B$56</c:f>
              <c:strCache>
                <c:ptCount val="12"/>
                <c:pt idx="0">
                  <c:v>Turbines / motors</c:v>
                </c:pt>
                <c:pt idx="1">
                  <c:v>Pumps / compressors</c:v>
                </c:pt>
                <c:pt idx="2">
                  <c:v>Taps and valves</c:v>
                </c:pt>
                <c:pt idx="3">
                  <c:v>Other machinery for general usage</c:v>
                </c:pt>
                <c:pt idx="4">
                  <c:v>Equipment for hoisting, winching, lifting</c:v>
                </c:pt>
                <c:pt idx="5">
                  <c:v>Office equipments</c:v>
                </c:pt>
                <c:pt idx="6">
                  <c:v>Mechanical tools</c:v>
                </c:pt>
                <c:pt idx="7">
                  <c:v>Climate control machines</c:v>
                </c:pt>
                <c:pt idx="8">
                  <c:v>Filtering equipment</c:v>
                </c:pt>
                <c:pt idx="9">
                  <c:v>Bottle cleaning equipment</c:v>
                </c:pt>
                <c:pt idx="10">
                  <c:v>Agricultural equipment</c:v>
                </c:pt>
                <c:pt idx="11">
                  <c:v>Electric tools</c:v>
                </c:pt>
              </c:strCache>
            </c:strRef>
          </c:cat>
          <c:val>
            <c:numRef>
              <c:f>'1.'!$P$45:$P$56</c:f>
              <c:numCache>
                <c:formatCode>0.00E+00</c:formatCode>
                <c:ptCount val="12"/>
                <c:pt idx="0">
                  <c:v>1724.0764801760099</c:v>
                </c:pt>
                <c:pt idx="1">
                  <c:v>11198.888283583499</c:v>
                </c:pt>
                <c:pt idx="2">
                  <c:v>18142.9782328336</c:v>
                </c:pt>
                <c:pt idx="3">
                  <c:v>16526.4266873128</c:v>
                </c:pt>
                <c:pt idx="5">
                  <c:v>4697.3057633769304</c:v>
                </c:pt>
                <c:pt idx="7">
                  <c:v>15475.8387195944</c:v>
                </c:pt>
                <c:pt idx="8">
                  <c:v>636.20720927281297</c:v>
                </c:pt>
                <c:pt idx="9">
                  <c:v>211.440253169176</c:v>
                </c:pt>
                <c:pt idx="10">
                  <c:v>50912.336369295903</c:v>
                </c:pt>
                <c:pt idx="11">
                  <c:v>33194.418137467801</c:v>
                </c:pt>
              </c:numCache>
            </c:numRef>
          </c:val>
          <c:extLst>
            <c:ext xmlns:c16="http://schemas.microsoft.com/office/drawing/2014/chart" uri="{C3380CC4-5D6E-409C-BE32-E72D297353CC}">
              <c16:uniqueId val="{00000003-AE1F-4C97-AC29-F5311A109289}"/>
            </c:ext>
          </c:extLst>
        </c:ser>
        <c:ser>
          <c:idx val="3"/>
          <c:order val="3"/>
          <c:tx>
            <c:strRef>
              <c:f>'1.'!$T$2</c:f>
              <c:strCache>
                <c:ptCount val="1"/>
                <c:pt idx="0">
                  <c:v>Other metals (non critical)</c:v>
                </c:pt>
              </c:strCache>
            </c:strRef>
          </c:tx>
          <c:spPr>
            <a:solidFill>
              <a:srgbClr val="8D1760"/>
            </a:solidFill>
          </c:spPr>
          <c:invertIfNegative val="0"/>
          <c:cat>
            <c:strRef>
              <c:f>'1.'!$B$45:$B$56</c:f>
              <c:strCache>
                <c:ptCount val="12"/>
                <c:pt idx="0">
                  <c:v>Turbines / motors</c:v>
                </c:pt>
                <c:pt idx="1">
                  <c:v>Pumps / compressors</c:v>
                </c:pt>
                <c:pt idx="2">
                  <c:v>Taps and valves</c:v>
                </c:pt>
                <c:pt idx="3">
                  <c:v>Other machinery for general usage</c:v>
                </c:pt>
                <c:pt idx="4">
                  <c:v>Equipment for hoisting, winching, lifting</c:v>
                </c:pt>
                <c:pt idx="5">
                  <c:v>Office equipments</c:v>
                </c:pt>
                <c:pt idx="6">
                  <c:v>Mechanical tools</c:v>
                </c:pt>
                <c:pt idx="7">
                  <c:v>Climate control machines</c:v>
                </c:pt>
                <c:pt idx="8">
                  <c:v>Filtering equipment</c:v>
                </c:pt>
                <c:pt idx="9">
                  <c:v>Bottle cleaning equipment</c:v>
                </c:pt>
                <c:pt idx="10">
                  <c:v>Agricultural equipment</c:v>
                </c:pt>
                <c:pt idx="11">
                  <c:v>Electric tools</c:v>
                </c:pt>
              </c:strCache>
            </c:strRef>
          </c:cat>
          <c:val>
            <c:numRef>
              <c:f>'1.'!$T$45:$T$56</c:f>
              <c:numCache>
                <c:formatCode>0.00E+00</c:formatCode>
                <c:ptCount val="12"/>
                <c:pt idx="6">
                  <c:v>13936.774588689699</c:v>
                </c:pt>
                <c:pt idx="10">
                  <c:v>1109.2076916446099</c:v>
                </c:pt>
                <c:pt idx="11">
                  <c:v>6621.9163848952712</c:v>
                </c:pt>
              </c:numCache>
            </c:numRef>
          </c:val>
          <c:extLst>
            <c:ext xmlns:c16="http://schemas.microsoft.com/office/drawing/2014/chart" uri="{C3380CC4-5D6E-409C-BE32-E72D297353CC}">
              <c16:uniqueId val="{00000004-AE1F-4C97-AC29-F5311A109289}"/>
            </c:ext>
          </c:extLst>
        </c:ser>
        <c:ser>
          <c:idx val="11"/>
          <c:order val="4"/>
          <c:tx>
            <c:strRef>
              <c:f>'1.'!$X$2</c:f>
              <c:strCache>
                <c:ptCount val="1"/>
                <c:pt idx="0">
                  <c:v>Plastics</c:v>
                </c:pt>
              </c:strCache>
            </c:strRef>
          </c:tx>
          <c:spPr>
            <a:solidFill>
              <a:srgbClr val="FFA7AB"/>
            </a:solidFill>
          </c:spPr>
          <c:invertIfNegative val="0"/>
          <c:cat>
            <c:strRef>
              <c:f>'1.'!$B$45:$B$56</c:f>
              <c:strCache>
                <c:ptCount val="12"/>
                <c:pt idx="0">
                  <c:v>Turbines / motors</c:v>
                </c:pt>
                <c:pt idx="1">
                  <c:v>Pumps / compressors</c:v>
                </c:pt>
                <c:pt idx="2">
                  <c:v>Taps and valves</c:v>
                </c:pt>
                <c:pt idx="3">
                  <c:v>Other machinery for general usage</c:v>
                </c:pt>
                <c:pt idx="4">
                  <c:v>Equipment for hoisting, winching, lifting</c:v>
                </c:pt>
                <c:pt idx="5">
                  <c:v>Office equipments</c:v>
                </c:pt>
                <c:pt idx="6">
                  <c:v>Mechanical tools</c:v>
                </c:pt>
                <c:pt idx="7">
                  <c:v>Climate control machines</c:v>
                </c:pt>
                <c:pt idx="8">
                  <c:v>Filtering equipment</c:v>
                </c:pt>
                <c:pt idx="9">
                  <c:v>Bottle cleaning equipment</c:v>
                </c:pt>
                <c:pt idx="10">
                  <c:v>Agricultural equipment</c:v>
                </c:pt>
                <c:pt idx="11">
                  <c:v>Electric tools</c:v>
                </c:pt>
              </c:strCache>
            </c:strRef>
          </c:cat>
          <c:val>
            <c:numRef>
              <c:f>'1.'!$X$45:$X$56</c:f>
              <c:numCache>
                <c:formatCode>0.00E+00</c:formatCode>
                <c:ptCount val="12"/>
                <c:pt idx="0">
                  <c:v>22947.869393566671</c:v>
                </c:pt>
                <c:pt idx="1">
                  <c:v>8358.64093013622</c:v>
                </c:pt>
                <c:pt idx="6">
                  <c:v>34834.883448147099</c:v>
                </c:pt>
                <c:pt idx="10">
                  <c:v>35996.667933357698</c:v>
                </c:pt>
                <c:pt idx="11">
                  <c:v>133460.57669386378</c:v>
                </c:pt>
              </c:numCache>
            </c:numRef>
          </c:val>
          <c:extLst>
            <c:ext xmlns:c16="http://schemas.microsoft.com/office/drawing/2014/chart" uri="{C3380CC4-5D6E-409C-BE32-E72D297353CC}">
              <c16:uniqueId val="{00000005-AE1F-4C97-AC29-F5311A109289}"/>
            </c:ext>
          </c:extLst>
        </c:ser>
        <c:ser>
          <c:idx val="17"/>
          <c:order val="5"/>
          <c:tx>
            <c:strRef>
              <c:f>'1.'!$Z$2</c:f>
              <c:strCache>
                <c:ptCount val="1"/>
                <c:pt idx="0">
                  <c:v>Other materials</c:v>
                </c:pt>
              </c:strCache>
            </c:strRef>
          </c:tx>
          <c:spPr>
            <a:solidFill>
              <a:srgbClr val="5D95C7"/>
            </a:solidFill>
          </c:spPr>
          <c:invertIfNegative val="0"/>
          <c:cat>
            <c:strRef>
              <c:f>'1.'!$B$45:$B$56</c:f>
              <c:strCache>
                <c:ptCount val="12"/>
                <c:pt idx="0">
                  <c:v>Turbines / motors</c:v>
                </c:pt>
                <c:pt idx="1">
                  <c:v>Pumps / compressors</c:v>
                </c:pt>
                <c:pt idx="2">
                  <c:v>Taps and valves</c:v>
                </c:pt>
                <c:pt idx="3">
                  <c:v>Other machinery for general usage</c:v>
                </c:pt>
                <c:pt idx="4">
                  <c:v>Equipment for hoisting, winching, lifting</c:v>
                </c:pt>
                <c:pt idx="5">
                  <c:v>Office equipments</c:v>
                </c:pt>
                <c:pt idx="6">
                  <c:v>Mechanical tools</c:v>
                </c:pt>
                <c:pt idx="7">
                  <c:v>Climate control machines</c:v>
                </c:pt>
                <c:pt idx="8">
                  <c:v>Filtering equipment</c:v>
                </c:pt>
                <c:pt idx="9">
                  <c:v>Bottle cleaning equipment</c:v>
                </c:pt>
                <c:pt idx="10">
                  <c:v>Agricultural equipment</c:v>
                </c:pt>
                <c:pt idx="11">
                  <c:v>Electric tools</c:v>
                </c:pt>
              </c:strCache>
            </c:strRef>
          </c:cat>
          <c:val>
            <c:numRef>
              <c:f>'1.'!$Z$45:$Z$56</c:f>
              <c:numCache>
                <c:formatCode>0.00E+00</c:formatCode>
                <c:ptCount val="12"/>
                <c:pt idx="0">
                  <c:v>17439.849845660279</c:v>
                </c:pt>
                <c:pt idx="1">
                  <c:v>2252.2437793828203</c:v>
                </c:pt>
                <c:pt idx="2">
                  <c:v>329494.95</c:v>
                </c:pt>
                <c:pt idx="3">
                  <c:v>202089.05</c:v>
                </c:pt>
                <c:pt idx="5">
                  <c:v>60339.839999999997</c:v>
                </c:pt>
                <c:pt idx="7">
                  <c:v>92022.25</c:v>
                </c:pt>
                <c:pt idx="8">
                  <c:v>7466.72</c:v>
                </c:pt>
                <c:pt idx="9">
                  <c:v>4481.62</c:v>
                </c:pt>
                <c:pt idx="10">
                  <c:v>113929.83104257933</c:v>
                </c:pt>
                <c:pt idx="11">
                  <c:v>45800.203592550155</c:v>
                </c:pt>
              </c:numCache>
            </c:numRef>
          </c:val>
          <c:extLst>
            <c:ext xmlns:c16="http://schemas.microsoft.com/office/drawing/2014/chart" uri="{C3380CC4-5D6E-409C-BE32-E72D297353CC}">
              <c16:uniqueId val="{00000007-AE1F-4C97-AC29-F5311A109289}"/>
            </c:ext>
          </c:extLst>
        </c:ser>
        <c:ser>
          <c:idx val="18"/>
          <c:order val="6"/>
          <c:tx>
            <c:strRef>
              <c:f>'1.'!$AA$2</c:f>
              <c:strCache>
                <c:ptCount val="1"/>
                <c:pt idx="0">
                  <c:v>Glass</c:v>
                </c:pt>
              </c:strCache>
            </c:strRef>
          </c:tx>
          <c:spPr>
            <a:solidFill>
              <a:schemeClr val="tx1"/>
            </a:solidFill>
          </c:spPr>
          <c:invertIfNegative val="0"/>
          <c:cat>
            <c:strRef>
              <c:f>'1.'!$B$45:$B$56</c:f>
              <c:strCache>
                <c:ptCount val="12"/>
                <c:pt idx="0">
                  <c:v>Turbines / motors</c:v>
                </c:pt>
                <c:pt idx="1">
                  <c:v>Pumps / compressors</c:v>
                </c:pt>
                <c:pt idx="2">
                  <c:v>Taps and valves</c:v>
                </c:pt>
                <c:pt idx="3">
                  <c:v>Other machinery for general usage</c:v>
                </c:pt>
                <c:pt idx="4">
                  <c:v>Equipment for hoisting, winching, lifting</c:v>
                </c:pt>
                <c:pt idx="5">
                  <c:v>Office equipments</c:v>
                </c:pt>
                <c:pt idx="6">
                  <c:v>Mechanical tools</c:v>
                </c:pt>
                <c:pt idx="7">
                  <c:v>Climate control machines</c:v>
                </c:pt>
                <c:pt idx="8">
                  <c:v>Filtering equipment</c:v>
                </c:pt>
                <c:pt idx="9">
                  <c:v>Bottle cleaning equipment</c:v>
                </c:pt>
                <c:pt idx="10">
                  <c:v>Agricultural equipment</c:v>
                </c:pt>
                <c:pt idx="11">
                  <c:v>Electric tools</c:v>
                </c:pt>
              </c:strCache>
            </c:strRef>
          </c:cat>
          <c:val>
            <c:numRef>
              <c:f>'1.'!$AA$45:$AA$56</c:f>
              <c:numCache>
                <c:formatCode>0.00E+00</c:formatCode>
                <c:ptCount val="12"/>
                <c:pt idx="10">
                  <c:v>10527.5136651054</c:v>
                </c:pt>
                <c:pt idx="11">
                  <c:v>5420.4167707258002</c:v>
                </c:pt>
              </c:numCache>
            </c:numRef>
          </c:val>
          <c:extLst>
            <c:ext xmlns:c16="http://schemas.microsoft.com/office/drawing/2014/chart" uri="{C3380CC4-5D6E-409C-BE32-E72D297353CC}">
              <c16:uniqueId val="{00000008-AE1F-4C97-AC29-F5311A109289}"/>
            </c:ext>
          </c:extLst>
        </c:ser>
        <c:ser>
          <c:idx val="21"/>
          <c:order val="7"/>
          <c:tx>
            <c:strRef>
              <c:f>'1.'!$BE$2</c:f>
              <c:strCache>
                <c:ptCount val="1"/>
                <c:pt idx="0">
                  <c:v>Total CRM</c:v>
                </c:pt>
              </c:strCache>
            </c:strRef>
          </c:tx>
          <c:spPr>
            <a:solidFill>
              <a:srgbClr val="8C386A"/>
            </a:solidFill>
          </c:spPr>
          <c:invertIfNegative val="0"/>
          <c:cat>
            <c:strRef>
              <c:f>'1.'!$B$45:$B$56</c:f>
              <c:strCache>
                <c:ptCount val="12"/>
                <c:pt idx="0">
                  <c:v>Turbines / motors</c:v>
                </c:pt>
                <c:pt idx="1">
                  <c:v>Pumps / compressors</c:v>
                </c:pt>
                <c:pt idx="2">
                  <c:v>Taps and valves</c:v>
                </c:pt>
                <c:pt idx="3">
                  <c:v>Other machinery for general usage</c:v>
                </c:pt>
                <c:pt idx="4">
                  <c:v>Equipment for hoisting, winching, lifting</c:v>
                </c:pt>
                <c:pt idx="5">
                  <c:v>Office equipments</c:v>
                </c:pt>
                <c:pt idx="6">
                  <c:v>Mechanical tools</c:v>
                </c:pt>
                <c:pt idx="7">
                  <c:v>Climate control machines</c:v>
                </c:pt>
                <c:pt idx="8">
                  <c:v>Filtering equipment</c:v>
                </c:pt>
                <c:pt idx="9">
                  <c:v>Bottle cleaning equipment</c:v>
                </c:pt>
                <c:pt idx="10">
                  <c:v>Agricultural equipment</c:v>
                </c:pt>
                <c:pt idx="11">
                  <c:v>Electric tools</c:v>
                </c:pt>
              </c:strCache>
            </c:strRef>
          </c:cat>
          <c:val>
            <c:numRef>
              <c:f>'1.'!$BE$45:$BE$56</c:f>
              <c:numCache>
                <c:formatCode>0.00E+00</c:formatCode>
                <c:ptCount val="12"/>
                <c:pt idx="3">
                  <c:v>37.210024368641889</c:v>
                </c:pt>
                <c:pt idx="5">
                  <c:v>63.376943243977088</c:v>
                </c:pt>
                <c:pt idx="7">
                  <c:v>231.80010478079294</c:v>
                </c:pt>
                <c:pt idx="9">
                  <c:v>9.2202954988749989E-4</c:v>
                </c:pt>
              </c:numCache>
            </c:numRef>
          </c:val>
          <c:extLst>
            <c:ext xmlns:c16="http://schemas.microsoft.com/office/drawing/2014/chart" uri="{C3380CC4-5D6E-409C-BE32-E72D297353CC}">
              <c16:uniqueId val="{0000000B-AE1F-4C97-AC29-F5311A109289}"/>
            </c:ext>
          </c:extLst>
        </c:ser>
        <c:dLbls>
          <c:showLegendKey val="0"/>
          <c:showVal val="0"/>
          <c:showCatName val="0"/>
          <c:showSerName val="0"/>
          <c:showPercent val="0"/>
          <c:showBubbleSize val="0"/>
        </c:dLbls>
        <c:gapWidth val="70"/>
        <c:overlap val="100"/>
        <c:axId val="2049683967"/>
        <c:axId val="2049684383"/>
        <c:extLst/>
      </c:barChart>
      <c:catAx>
        <c:axId val="2049683967"/>
        <c:scaling>
          <c:orientation val="minMax"/>
        </c:scaling>
        <c:delete val="0"/>
        <c:axPos val="b"/>
        <c:numFmt formatCode="General" sourceLinked="1"/>
        <c:majorTickMark val="none"/>
        <c:minorTickMark val="none"/>
        <c:tickLblPos val="nextTo"/>
        <c:spPr>
          <a:noFill/>
          <a:ln w="9525" cap="flat" cmpd="sng" algn="ctr">
            <a:solidFill>
              <a:schemeClr val="tx1"/>
            </a:solidFill>
            <a:round/>
          </a:ln>
          <a:effectLst/>
        </c:spPr>
        <c:txPr>
          <a:bodyPr rot="-60000000" vert="horz"/>
          <a:lstStyle/>
          <a:p>
            <a:pPr>
              <a:defRPr/>
            </a:pPr>
            <a:endParaRPr lang="nl-NL"/>
          </a:p>
        </c:txPr>
        <c:crossAx val="2049684383"/>
        <c:crosses val="autoZero"/>
        <c:auto val="1"/>
        <c:lblAlgn val="ctr"/>
        <c:lblOffset val="100"/>
        <c:noMultiLvlLbl val="0"/>
      </c:catAx>
      <c:valAx>
        <c:axId val="2049684383"/>
        <c:scaling>
          <c:orientation val="minMax"/>
        </c:scaling>
        <c:delete val="0"/>
        <c:axPos val="l"/>
        <c:title>
          <c:tx>
            <c:rich>
              <a:bodyPr rot="-5400000" vert="horz"/>
              <a:lstStyle/>
              <a:p>
                <a:pPr>
                  <a:defRPr b="1"/>
                </a:pPr>
                <a:r>
                  <a:rPr lang="en-US" b="1"/>
                  <a:t>ton</a:t>
                </a:r>
              </a:p>
            </c:rich>
          </c:tx>
          <c:overlay val="0"/>
          <c:spPr>
            <a:noFill/>
            <a:ln>
              <a:noFill/>
            </a:ln>
            <a:effectLst/>
          </c:spPr>
        </c:title>
        <c:numFmt formatCode="0.00E+00" sourceLinked="0"/>
        <c:majorTickMark val="none"/>
        <c:minorTickMark val="none"/>
        <c:tickLblPos val="nextTo"/>
        <c:spPr>
          <a:noFill/>
          <a:ln>
            <a:solidFill>
              <a:schemeClr val="tx1"/>
            </a:solidFill>
          </a:ln>
          <a:effectLst/>
        </c:spPr>
        <c:txPr>
          <a:bodyPr rot="-60000000" vert="horz"/>
          <a:lstStyle/>
          <a:p>
            <a:pPr>
              <a:defRPr/>
            </a:pPr>
            <a:endParaRPr lang="nl-NL"/>
          </a:p>
        </c:txPr>
        <c:crossAx val="2049683967"/>
        <c:crosses val="autoZero"/>
        <c:crossBetween val="between"/>
      </c:valAx>
    </c:plotArea>
    <c:legend>
      <c:legendPos val="tr"/>
      <c:layout>
        <c:manualLayout>
          <c:xMode val="edge"/>
          <c:yMode val="edge"/>
          <c:x val="0.77050706422150983"/>
          <c:y val="0.10166399787302181"/>
          <c:w val="0.20003169318676833"/>
          <c:h val="0.6040055480155414"/>
        </c:manualLayout>
      </c:layout>
      <c:overlay val="0"/>
      <c:spPr>
        <a:noFill/>
        <a:ln>
          <a:solidFill>
            <a:schemeClr val="tx1"/>
          </a:solidFill>
        </a:ln>
        <a:effectLst/>
      </c:spPr>
      <c:txPr>
        <a:bodyPr rot="0" vert="horz"/>
        <a:lstStyle/>
        <a:p>
          <a:pPr>
            <a:defRPr/>
          </a:pPr>
          <a:endParaRPr lang="nl-NL"/>
        </a:p>
      </c:txPr>
    </c:legend>
    <c:plotVisOnly val="1"/>
    <c:dispBlanksAs val="gap"/>
    <c:showDLblsOverMax val="0"/>
    <c:extLst/>
  </c:chart>
  <c:spPr>
    <a:solidFill>
      <a:schemeClr val="bg1"/>
    </a:solidFill>
    <a:ln w="9525" cap="flat" cmpd="sng" algn="ctr">
      <a:noFill/>
      <a:round/>
    </a:ln>
    <a:effectLst/>
  </c:spPr>
  <c:txPr>
    <a:bodyPr/>
    <a:lstStyle/>
    <a:p>
      <a:pPr>
        <a:defRPr sz="800" b="0">
          <a:solidFill>
            <a:sysClr val="windowText" lastClr="000000"/>
          </a:solidFill>
          <a:latin typeface="Avenir Next LT Pro" panose="020B0504020202020204" pitchFamily="34" charset="0"/>
        </a:defRPr>
      </a:pPr>
      <a:endParaRPr lang="nl-NL"/>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nl-NL" b="1"/>
              <a:t>In-use stocks of</a:t>
            </a:r>
            <a:r>
              <a:rPr lang="nl-NL" b="1" baseline="0"/>
              <a:t> materials in buildings, the Netherlands, ca. 2020</a:t>
            </a:r>
            <a:endParaRPr lang="nl-NL" b="1"/>
          </a:p>
        </c:rich>
      </c:tx>
      <c:layout>
        <c:manualLayout>
          <c:xMode val="edge"/>
          <c:yMode val="edge"/>
          <c:x val="0.19663814801820423"/>
          <c:y val="6.8116748889482451E-3"/>
        </c:manualLayout>
      </c:layout>
      <c:overlay val="0"/>
    </c:title>
    <c:autoTitleDeleted val="0"/>
    <c:plotArea>
      <c:layout>
        <c:manualLayout>
          <c:layoutTarget val="inner"/>
          <c:xMode val="edge"/>
          <c:yMode val="edge"/>
          <c:x val="0.13157505797940888"/>
          <c:y val="4.7814930749186219E-2"/>
          <c:w val="0.46983472595428283"/>
          <c:h val="0.69178726549334224"/>
        </c:manualLayout>
      </c:layout>
      <c:barChart>
        <c:barDir val="col"/>
        <c:grouping val="stacked"/>
        <c:varyColors val="0"/>
        <c:ser>
          <c:idx val="0"/>
          <c:order val="0"/>
          <c:tx>
            <c:strRef>
              <c:f>'1.'!$F$2</c:f>
              <c:strCache>
                <c:ptCount val="1"/>
                <c:pt idx="0">
                  <c:v>Concrete</c:v>
                </c:pt>
              </c:strCache>
            </c:strRef>
          </c:tx>
          <c:spPr>
            <a:solidFill>
              <a:schemeClr val="tx1">
                <a:lumMod val="65000"/>
                <a:lumOff val="35000"/>
              </a:schemeClr>
            </a:solidFill>
            <a:ln>
              <a:noFill/>
            </a:ln>
            <a:effectLst/>
          </c:spPr>
          <c:invertIfNegative val="0"/>
          <c:cat>
            <c:strRef>
              <c:f>'1.'!$B$3:$B$9</c:f>
              <c:strCache>
                <c:ptCount val="7"/>
                <c:pt idx="0">
                  <c:v>Detached houses</c:v>
                </c:pt>
                <c:pt idx="1">
                  <c:v>Serial houses</c:v>
                </c:pt>
                <c:pt idx="2">
                  <c:v>Apartments</c:v>
                </c:pt>
                <c:pt idx="3">
                  <c:v>Shops</c:v>
                </c:pt>
                <c:pt idx="4">
                  <c:v>Commercial buildings</c:v>
                </c:pt>
                <c:pt idx="5">
                  <c:v>Office buildings</c:v>
                </c:pt>
                <c:pt idx="6">
                  <c:v>Service buildings</c:v>
                </c:pt>
              </c:strCache>
            </c:strRef>
          </c:cat>
          <c:val>
            <c:numRef>
              <c:f>'1.'!$F$3:$F$9</c:f>
              <c:numCache>
                <c:formatCode>0.00E+00</c:formatCode>
                <c:ptCount val="7"/>
                <c:pt idx="0">
                  <c:v>465062700.74337149</c:v>
                </c:pt>
                <c:pt idx="1">
                  <c:v>525258737.42092699</c:v>
                </c:pt>
                <c:pt idx="2">
                  <c:v>431232146.55382872</c:v>
                </c:pt>
                <c:pt idx="3">
                  <c:v>28631044.1372112</c:v>
                </c:pt>
                <c:pt idx="4">
                  <c:v>193746255.89968795</c:v>
                </c:pt>
                <c:pt idx="5">
                  <c:v>127744185.8675575</c:v>
                </c:pt>
                <c:pt idx="6">
                  <c:v>106308176.65852404</c:v>
                </c:pt>
              </c:numCache>
            </c:numRef>
          </c:val>
          <c:extLst>
            <c:ext xmlns:c16="http://schemas.microsoft.com/office/drawing/2014/chart" uri="{C3380CC4-5D6E-409C-BE32-E72D297353CC}">
              <c16:uniqueId val="{00000011-8D6F-46CE-8129-AC31C3C3CAB3}"/>
            </c:ext>
          </c:extLst>
        </c:ser>
        <c:ser>
          <c:idx val="1"/>
          <c:order val="1"/>
          <c:tx>
            <c:strRef>
              <c:f>'1.'!$G$2</c:f>
              <c:strCache>
                <c:ptCount val="1"/>
                <c:pt idx="0">
                  <c:v>Brick</c:v>
                </c:pt>
              </c:strCache>
            </c:strRef>
          </c:tx>
          <c:spPr>
            <a:solidFill>
              <a:srgbClr val="FF8601"/>
            </a:solidFill>
            <a:ln>
              <a:noFill/>
            </a:ln>
            <a:effectLst/>
          </c:spPr>
          <c:invertIfNegative val="0"/>
          <c:cat>
            <c:strRef>
              <c:f>'1.'!$B$3:$B$9</c:f>
              <c:strCache>
                <c:ptCount val="7"/>
                <c:pt idx="0">
                  <c:v>Detached houses</c:v>
                </c:pt>
                <c:pt idx="1">
                  <c:v>Serial houses</c:v>
                </c:pt>
                <c:pt idx="2">
                  <c:v>Apartments</c:v>
                </c:pt>
                <c:pt idx="3">
                  <c:v>Shops</c:v>
                </c:pt>
                <c:pt idx="4">
                  <c:v>Commercial buildings</c:v>
                </c:pt>
                <c:pt idx="5">
                  <c:v>Office buildings</c:v>
                </c:pt>
                <c:pt idx="6">
                  <c:v>Service buildings</c:v>
                </c:pt>
              </c:strCache>
            </c:strRef>
          </c:cat>
          <c:val>
            <c:numRef>
              <c:f>'1.'!$G$3:$G$9</c:f>
              <c:numCache>
                <c:formatCode>0.00E+00</c:formatCode>
                <c:ptCount val="7"/>
                <c:pt idx="0">
                  <c:v>68617915.064274743</c:v>
                </c:pt>
                <c:pt idx="1">
                  <c:v>40989326.034355968</c:v>
                </c:pt>
                <c:pt idx="2">
                  <c:v>18705742.915475689</c:v>
                </c:pt>
                <c:pt idx="3">
                  <c:v>2077706.6589063772</c:v>
                </c:pt>
                <c:pt idx="4">
                  <c:v>1164408.7994585689</c:v>
                </c:pt>
                <c:pt idx="5">
                  <c:v>5156881.4349557422</c:v>
                </c:pt>
                <c:pt idx="6">
                  <c:v>6111549.6582899597</c:v>
                </c:pt>
              </c:numCache>
            </c:numRef>
          </c:val>
          <c:extLst>
            <c:ext xmlns:c16="http://schemas.microsoft.com/office/drawing/2014/chart" uri="{C3380CC4-5D6E-409C-BE32-E72D297353CC}">
              <c16:uniqueId val="{00000013-8D6F-46CE-8129-AC31C3C3CAB3}"/>
            </c:ext>
          </c:extLst>
        </c:ser>
        <c:ser>
          <c:idx val="2"/>
          <c:order val="2"/>
          <c:tx>
            <c:strRef>
              <c:f>'1.'!$I$2</c:f>
              <c:strCache>
                <c:ptCount val="1"/>
                <c:pt idx="0">
                  <c:v>Sand, gravel, clay</c:v>
                </c:pt>
              </c:strCache>
            </c:strRef>
          </c:tx>
          <c:spPr>
            <a:solidFill>
              <a:schemeClr val="bg1">
                <a:lumMod val="75000"/>
              </a:schemeClr>
            </a:solidFill>
            <a:ln>
              <a:noFill/>
            </a:ln>
            <a:effectLst/>
          </c:spPr>
          <c:invertIfNegative val="0"/>
          <c:cat>
            <c:strRef>
              <c:f>'1.'!$B$3:$B$9</c:f>
              <c:strCache>
                <c:ptCount val="7"/>
                <c:pt idx="0">
                  <c:v>Detached houses</c:v>
                </c:pt>
                <c:pt idx="1">
                  <c:v>Serial houses</c:v>
                </c:pt>
                <c:pt idx="2">
                  <c:v>Apartments</c:v>
                </c:pt>
                <c:pt idx="3">
                  <c:v>Shops</c:v>
                </c:pt>
                <c:pt idx="4">
                  <c:v>Commercial buildings</c:v>
                </c:pt>
                <c:pt idx="5">
                  <c:v>Office buildings</c:v>
                </c:pt>
                <c:pt idx="6">
                  <c:v>Service buildings</c:v>
                </c:pt>
              </c:strCache>
            </c:strRef>
          </c:cat>
          <c:val>
            <c:numRef>
              <c:f>'1.'!$I$3:$I$9</c:f>
              <c:numCache>
                <c:formatCode>0.00E+00</c:formatCode>
                <c:ptCount val="7"/>
                <c:pt idx="0">
                  <c:v>7422149.9603948072</c:v>
                </c:pt>
                <c:pt idx="1">
                  <c:v>10658814.561482435</c:v>
                </c:pt>
                <c:pt idx="2">
                  <c:v>6185325.346155135</c:v>
                </c:pt>
                <c:pt idx="3">
                  <c:v>322981.85326095339</c:v>
                </c:pt>
                <c:pt idx="4">
                  <c:v>5101605.1565031381</c:v>
                </c:pt>
                <c:pt idx="5">
                  <c:v>3430178.1969818063</c:v>
                </c:pt>
                <c:pt idx="6">
                  <c:v>1070155.4880589235</c:v>
                </c:pt>
              </c:numCache>
            </c:numRef>
          </c:val>
          <c:extLst>
            <c:ext xmlns:c16="http://schemas.microsoft.com/office/drawing/2014/chart" uri="{C3380CC4-5D6E-409C-BE32-E72D297353CC}">
              <c16:uniqueId val="{00000015-8D6F-46CE-8129-AC31C3C3CAB3}"/>
            </c:ext>
          </c:extLst>
        </c:ser>
        <c:ser>
          <c:idx val="15"/>
          <c:order val="3"/>
          <c:tx>
            <c:strRef>
              <c:f>'1.'!$J$2</c:f>
              <c:strCache>
                <c:ptCount val="1"/>
                <c:pt idx="0">
                  <c:v>Gypsum</c:v>
                </c:pt>
              </c:strCache>
            </c:strRef>
          </c:tx>
          <c:spPr>
            <a:solidFill>
              <a:srgbClr val="B56B6B"/>
            </a:solidFill>
            <a:ln>
              <a:noFill/>
            </a:ln>
            <a:effectLst/>
          </c:spPr>
          <c:invertIfNegative val="0"/>
          <c:cat>
            <c:strRef>
              <c:f>'1.'!$B$3:$B$9</c:f>
              <c:strCache>
                <c:ptCount val="7"/>
                <c:pt idx="0">
                  <c:v>Detached houses</c:v>
                </c:pt>
                <c:pt idx="1">
                  <c:v>Serial houses</c:v>
                </c:pt>
                <c:pt idx="2">
                  <c:v>Apartments</c:v>
                </c:pt>
                <c:pt idx="3">
                  <c:v>Shops</c:v>
                </c:pt>
                <c:pt idx="4">
                  <c:v>Commercial buildings</c:v>
                </c:pt>
                <c:pt idx="5">
                  <c:v>Office buildings</c:v>
                </c:pt>
                <c:pt idx="6">
                  <c:v>Service buildings</c:v>
                </c:pt>
              </c:strCache>
            </c:strRef>
          </c:cat>
          <c:val>
            <c:numRef>
              <c:f>'1.'!$J$3:$J$9</c:f>
              <c:numCache>
                <c:formatCode>0.00E+00</c:formatCode>
                <c:ptCount val="7"/>
                <c:pt idx="0">
                  <c:v>9986057.1757012215</c:v>
                </c:pt>
                <c:pt idx="1">
                  <c:v>6380294.5875967089</c:v>
                </c:pt>
                <c:pt idx="2">
                  <c:v>6618220.8101110449</c:v>
                </c:pt>
                <c:pt idx="3">
                  <c:v>248711.83990787354</c:v>
                </c:pt>
                <c:pt idx="4">
                  <c:v>190481.24612410361</c:v>
                </c:pt>
                <c:pt idx="5">
                  <c:v>3905180.4089640682</c:v>
                </c:pt>
                <c:pt idx="6">
                  <c:v>1461481.9626289629</c:v>
                </c:pt>
              </c:numCache>
            </c:numRef>
          </c:val>
          <c:extLst>
            <c:ext xmlns:c16="http://schemas.microsoft.com/office/drawing/2014/chart" uri="{C3380CC4-5D6E-409C-BE32-E72D297353CC}">
              <c16:uniqueId val="{00000017-8D6F-46CE-8129-AC31C3C3CAB3}"/>
            </c:ext>
          </c:extLst>
        </c:ser>
        <c:ser>
          <c:idx val="16"/>
          <c:order val="4"/>
          <c:tx>
            <c:strRef>
              <c:f>'1.'!$K$2</c:f>
              <c:strCache>
                <c:ptCount val="1"/>
                <c:pt idx="0">
                  <c:v>Stone</c:v>
                </c:pt>
              </c:strCache>
            </c:strRef>
          </c:tx>
          <c:spPr>
            <a:solidFill>
              <a:srgbClr val="9BBFB7"/>
            </a:solidFill>
            <a:ln>
              <a:noFill/>
            </a:ln>
            <a:effectLst/>
          </c:spPr>
          <c:invertIfNegative val="0"/>
          <c:cat>
            <c:strRef>
              <c:f>'1.'!$B$3:$B$9</c:f>
              <c:strCache>
                <c:ptCount val="7"/>
                <c:pt idx="0">
                  <c:v>Detached houses</c:v>
                </c:pt>
                <c:pt idx="1">
                  <c:v>Serial houses</c:v>
                </c:pt>
                <c:pt idx="2">
                  <c:v>Apartments</c:v>
                </c:pt>
                <c:pt idx="3">
                  <c:v>Shops</c:v>
                </c:pt>
                <c:pt idx="4">
                  <c:v>Commercial buildings</c:v>
                </c:pt>
                <c:pt idx="5">
                  <c:v>Office buildings</c:v>
                </c:pt>
                <c:pt idx="6">
                  <c:v>Service buildings</c:v>
                </c:pt>
              </c:strCache>
            </c:strRef>
          </c:cat>
          <c:val>
            <c:numRef>
              <c:f>'1.'!$K$3:$K$9</c:f>
              <c:numCache>
                <c:formatCode>0.00E+00</c:formatCode>
                <c:ptCount val="7"/>
                <c:pt idx="0">
                  <c:v>170318697.34972876</c:v>
                </c:pt>
                <c:pt idx="1">
                  <c:v>154411481.26799783</c:v>
                </c:pt>
                <c:pt idx="2">
                  <c:v>47366712.488887757</c:v>
                </c:pt>
                <c:pt idx="3">
                  <c:v>7742740.6346318154</c:v>
                </c:pt>
                <c:pt idx="4">
                  <c:v>6126589.6601880714</c:v>
                </c:pt>
                <c:pt idx="5">
                  <c:v>23318665.101387568</c:v>
                </c:pt>
                <c:pt idx="6">
                  <c:v>21055495.527761582</c:v>
                </c:pt>
              </c:numCache>
            </c:numRef>
          </c:val>
          <c:extLst>
            <c:ext xmlns:c16="http://schemas.microsoft.com/office/drawing/2014/chart" uri="{C3380CC4-5D6E-409C-BE32-E72D297353CC}">
              <c16:uniqueId val="{00000019-8D6F-46CE-8129-AC31C3C3CAB3}"/>
            </c:ext>
          </c:extLst>
        </c:ser>
        <c:ser>
          <c:idx val="3"/>
          <c:order val="5"/>
          <c:tx>
            <c:strRef>
              <c:f>'1.'!$M$2</c:f>
              <c:strCache>
                <c:ptCount val="1"/>
                <c:pt idx="0">
                  <c:v>Other construction materials</c:v>
                </c:pt>
              </c:strCache>
            </c:strRef>
          </c:tx>
          <c:spPr>
            <a:solidFill>
              <a:srgbClr val="FFD347"/>
            </a:solidFill>
            <a:ln>
              <a:noFill/>
            </a:ln>
            <a:effectLst/>
          </c:spPr>
          <c:invertIfNegative val="0"/>
          <c:cat>
            <c:strRef>
              <c:f>'1.'!$B$3:$B$9</c:f>
              <c:strCache>
                <c:ptCount val="7"/>
                <c:pt idx="0">
                  <c:v>Detached houses</c:v>
                </c:pt>
                <c:pt idx="1">
                  <c:v>Serial houses</c:v>
                </c:pt>
                <c:pt idx="2">
                  <c:v>Apartments</c:v>
                </c:pt>
                <c:pt idx="3">
                  <c:v>Shops</c:v>
                </c:pt>
                <c:pt idx="4">
                  <c:v>Commercial buildings</c:v>
                </c:pt>
                <c:pt idx="5">
                  <c:v>Office buildings</c:v>
                </c:pt>
                <c:pt idx="6">
                  <c:v>Service buildings</c:v>
                </c:pt>
              </c:strCache>
            </c:strRef>
          </c:cat>
          <c:val>
            <c:numRef>
              <c:f>'1.'!$M$3:$M$9</c:f>
              <c:numCache>
                <c:formatCode>0.00E+00</c:formatCode>
                <c:ptCount val="7"/>
                <c:pt idx="0">
                  <c:v>19554.886707705038</c:v>
                </c:pt>
                <c:pt idx="1">
                  <c:v>0</c:v>
                </c:pt>
                <c:pt idx="2">
                  <c:v>232554.44246189061</c:v>
                </c:pt>
                <c:pt idx="3">
                  <c:v>288.40355076923095</c:v>
                </c:pt>
                <c:pt idx="4">
                  <c:v>228242.42870939866</c:v>
                </c:pt>
                <c:pt idx="5">
                  <c:v>149839.22494286043</c:v>
                </c:pt>
                <c:pt idx="6">
                  <c:v>47262.149351874243</c:v>
                </c:pt>
              </c:numCache>
            </c:numRef>
          </c:val>
          <c:extLst>
            <c:ext xmlns:c16="http://schemas.microsoft.com/office/drawing/2014/chart" uri="{C3380CC4-5D6E-409C-BE32-E72D297353CC}">
              <c16:uniqueId val="{0000001B-8D6F-46CE-8129-AC31C3C3CAB3}"/>
            </c:ext>
          </c:extLst>
        </c:ser>
        <c:ser>
          <c:idx val="4"/>
          <c:order val="6"/>
          <c:tx>
            <c:strRef>
              <c:f>'1.'!$N$2</c:f>
              <c:strCache>
                <c:ptCount val="1"/>
                <c:pt idx="0">
                  <c:v>Iron and steel</c:v>
                </c:pt>
              </c:strCache>
            </c:strRef>
          </c:tx>
          <c:spPr>
            <a:solidFill>
              <a:srgbClr val="4D9782"/>
            </a:solidFill>
            <a:ln>
              <a:noFill/>
            </a:ln>
            <a:effectLst/>
          </c:spPr>
          <c:invertIfNegative val="0"/>
          <c:cat>
            <c:strRef>
              <c:f>'1.'!$B$3:$B$9</c:f>
              <c:strCache>
                <c:ptCount val="7"/>
                <c:pt idx="0">
                  <c:v>Detached houses</c:v>
                </c:pt>
                <c:pt idx="1">
                  <c:v>Serial houses</c:v>
                </c:pt>
                <c:pt idx="2">
                  <c:v>Apartments</c:v>
                </c:pt>
                <c:pt idx="3">
                  <c:v>Shops</c:v>
                </c:pt>
                <c:pt idx="4">
                  <c:v>Commercial buildings</c:v>
                </c:pt>
                <c:pt idx="5">
                  <c:v>Office buildings</c:v>
                </c:pt>
                <c:pt idx="6">
                  <c:v>Service buildings</c:v>
                </c:pt>
              </c:strCache>
            </c:strRef>
          </c:cat>
          <c:val>
            <c:numRef>
              <c:f>'1.'!$N$3:$N$9</c:f>
              <c:numCache>
                <c:formatCode>0.00E+00</c:formatCode>
                <c:ptCount val="7"/>
                <c:pt idx="0">
                  <c:v>18827824.666656882</c:v>
                </c:pt>
                <c:pt idx="1">
                  <c:v>22405048.830196902</c:v>
                </c:pt>
                <c:pt idx="2">
                  <c:v>21496677.215662822</c:v>
                </c:pt>
                <c:pt idx="3">
                  <c:v>1142849.4405160449</c:v>
                </c:pt>
                <c:pt idx="4">
                  <c:v>19219233.25265136</c:v>
                </c:pt>
                <c:pt idx="5">
                  <c:v>8893274.2783295214</c:v>
                </c:pt>
                <c:pt idx="6">
                  <c:v>6028994.8121035779</c:v>
                </c:pt>
              </c:numCache>
            </c:numRef>
          </c:val>
          <c:extLst>
            <c:ext xmlns:c16="http://schemas.microsoft.com/office/drawing/2014/chart" uri="{C3380CC4-5D6E-409C-BE32-E72D297353CC}">
              <c16:uniqueId val="{0000001D-8D6F-46CE-8129-AC31C3C3CAB3}"/>
            </c:ext>
          </c:extLst>
        </c:ser>
        <c:ser>
          <c:idx val="5"/>
          <c:order val="7"/>
          <c:tx>
            <c:strRef>
              <c:f>'1.'!$O$2</c:f>
              <c:strCache>
                <c:ptCount val="1"/>
                <c:pt idx="0">
                  <c:v>Copper</c:v>
                </c:pt>
              </c:strCache>
            </c:strRef>
          </c:tx>
          <c:spPr>
            <a:solidFill>
              <a:srgbClr val="FF7F51"/>
            </a:solidFill>
            <a:ln>
              <a:noFill/>
            </a:ln>
            <a:effectLst/>
          </c:spPr>
          <c:invertIfNegative val="0"/>
          <c:cat>
            <c:strRef>
              <c:f>'1.'!$B$3:$B$9</c:f>
              <c:strCache>
                <c:ptCount val="7"/>
                <c:pt idx="0">
                  <c:v>Detached houses</c:v>
                </c:pt>
                <c:pt idx="1">
                  <c:v>Serial houses</c:v>
                </c:pt>
                <c:pt idx="2">
                  <c:v>Apartments</c:v>
                </c:pt>
                <c:pt idx="3">
                  <c:v>Shops</c:v>
                </c:pt>
                <c:pt idx="4">
                  <c:v>Commercial buildings</c:v>
                </c:pt>
                <c:pt idx="5">
                  <c:v>Office buildings</c:v>
                </c:pt>
                <c:pt idx="6">
                  <c:v>Service buildings</c:v>
                </c:pt>
              </c:strCache>
            </c:strRef>
          </c:cat>
          <c:val>
            <c:numRef>
              <c:f>'1.'!$O$3:$O$9</c:f>
              <c:numCache>
                <c:formatCode>0.00E+00</c:formatCode>
                <c:ptCount val="7"/>
                <c:pt idx="0">
                  <c:v>287560.19036628335</c:v>
                </c:pt>
                <c:pt idx="1">
                  <c:v>145927.29602800414</c:v>
                </c:pt>
                <c:pt idx="2">
                  <c:v>86596.512561025578</c:v>
                </c:pt>
                <c:pt idx="3">
                  <c:v>4962.3562899091066</c:v>
                </c:pt>
                <c:pt idx="4">
                  <c:v>57793.134151348946</c:v>
                </c:pt>
                <c:pt idx="5">
                  <c:v>35336.786547288386</c:v>
                </c:pt>
                <c:pt idx="6">
                  <c:v>25234.033557506853</c:v>
                </c:pt>
              </c:numCache>
            </c:numRef>
          </c:val>
          <c:extLst>
            <c:ext xmlns:c16="http://schemas.microsoft.com/office/drawing/2014/chart" uri="{C3380CC4-5D6E-409C-BE32-E72D297353CC}">
              <c16:uniqueId val="{0000001F-8D6F-46CE-8129-AC31C3C3CAB3}"/>
            </c:ext>
          </c:extLst>
        </c:ser>
        <c:ser>
          <c:idx val="6"/>
          <c:order val="8"/>
          <c:tx>
            <c:strRef>
              <c:f>'1.'!$P$2</c:f>
              <c:strCache>
                <c:ptCount val="1"/>
                <c:pt idx="0">
                  <c:v>Aluminium</c:v>
                </c:pt>
              </c:strCache>
            </c:strRef>
          </c:tx>
          <c:spPr>
            <a:solidFill>
              <a:srgbClr val="80ED99"/>
            </a:solidFill>
            <a:ln>
              <a:noFill/>
            </a:ln>
            <a:effectLst/>
          </c:spPr>
          <c:invertIfNegative val="0"/>
          <c:cat>
            <c:strRef>
              <c:f>'1.'!$B$3:$B$9</c:f>
              <c:strCache>
                <c:ptCount val="7"/>
                <c:pt idx="0">
                  <c:v>Detached houses</c:v>
                </c:pt>
                <c:pt idx="1">
                  <c:v>Serial houses</c:v>
                </c:pt>
                <c:pt idx="2">
                  <c:v>Apartments</c:v>
                </c:pt>
                <c:pt idx="3">
                  <c:v>Shops</c:v>
                </c:pt>
                <c:pt idx="4">
                  <c:v>Commercial buildings</c:v>
                </c:pt>
                <c:pt idx="5">
                  <c:v>Office buildings</c:v>
                </c:pt>
                <c:pt idx="6">
                  <c:v>Service buildings</c:v>
                </c:pt>
              </c:strCache>
            </c:strRef>
          </c:cat>
          <c:val>
            <c:numRef>
              <c:f>'1.'!$P$3:$P$9</c:f>
              <c:numCache>
                <c:formatCode>0.00E+00</c:formatCode>
                <c:ptCount val="7"/>
                <c:pt idx="0">
                  <c:v>67464.890072585986</c:v>
                </c:pt>
                <c:pt idx="1">
                  <c:v>164821.13633921932</c:v>
                </c:pt>
                <c:pt idx="2">
                  <c:v>1229438.5858557322</c:v>
                </c:pt>
                <c:pt idx="3">
                  <c:v>29467.789029936779</c:v>
                </c:pt>
                <c:pt idx="4">
                  <c:v>94855.417807363352</c:v>
                </c:pt>
                <c:pt idx="5">
                  <c:v>582441.48006328347</c:v>
                </c:pt>
                <c:pt idx="6">
                  <c:v>361102.6046689389</c:v>
                </c:pt>
              </c:numCache>
            </c:numRef>
          </c:val>
          <c:extLst>
            <c:ext xmlns:c16="http://schemas.microsoft.com/office/drawing/2014/chart" uri="{C3380CC4-5D6E-409C-BE32-E72D297353CC}">
              <c16:uniqueId val="{00000021-8D6F-46CE-8129-AC31C3C3CAB3}"/>
            </c:ext>
          </c:extLst>
        </c:ser>
        <c:ser>
          <c:idx val="7"/>
          <c:order val="9"/>
          <c:tx>
            <c:strRef>
              <c:f>'1.'!$T$2</c:f>
              <c:strCache>
                <c:ptCount val="1"/>
                <c:pt idx="0">
                  <c:v>Other metals (non critical)</c:v>
                </c:pt>
              </c:strCache>
            </c:strRef>
          </c:tx>
          <c:spPr>
            <a:solidFill>
              <a:srgbClr val="9F70C2"/>
            </a:solidFill>
            <a:ln>
              <a:noFill/>
            </a:ln>
            <a:effectLst/>
          </c:spPr>
          <c:invertIfNegative val="0"/>
          <c:cat>
            <c:strRef>
              <c:f>'1.'!$B$3:$B$9</c:f>
              <c:strCache>
                <c:ptCount val="7"/>
                <c:pt idx="0">
                  <c:v>Detached houses</c:v>
                </c:pt>
                <c:pt idx="1">
                  <c:v>Serial houses</c:v>
                </c:pt>
                <c:pt idx="2">
                  <c:v>Apartments</c:v>
                </c:pt>
                <c:pt idx="3">
                  <c:v>Shops</c:v>
                </c:pt>
                <c:pt idx="4">
                  <c:v>Commercial buildings</c:v>
                </c:pt>
                <c:pt idx="5">
                  <c:v>Office buildings</c:v>
                </c:pt>
                <c:pt idx="6">
                  <c:v>Service buildings</c:v>
                </c:pt>
              </c:strCache>
            </c:strRef>
          </c:cat>
          <c:val>
            <c:numRef>
              <c:f>'1.'!$T$3:$T$9</c:f>
              <c:numCache>
                <c:formatCode>0.00E+00</c:formatCode>
                <c:ptCount val="7"/>
                <c:pt idx="0">
                  <c:v>863667.06906529889</c:v>
                </c:pt>
                <c:pt idx="1">
                  <c:v>628019.1645948824</c:v>
                </c:pt>
                <c:pt idx="2">
                  <c:v>203498.27374652508</c:v>
                </c:pt>
                <c:pt idx="3">
                  <c:v>11787.60283696566</c:v>
                </c:pt>
                <c:pt idx="4">
                  <c:v>43135.225583194049</c:v>
                </c:pt>
                <c:pt idx="5">
                  <c:v>81795.031596312954</c:v>
                </c:pt>
                <c:pt idx="6">
                  <c:v>60208.997222331556</c:v>
                </c:pt>
              </c:numCache>
            </c:numRef>
          </c:val>
          <c:extLst>
            <c:ext xmlns:c16="http://schemas.microsoft.com/office/drawing/2014/chart" uri="{C3380CC4-5D6E-409C-BE32-E72D297353CC}">
              <c16:uniqueId val="{00000023-8D6F-46CE-8129-AC31C3C3CAB3}"/>
            </c:ext>
          </c:extLst>
        </c:ser>
        <c:ser>
          <c:idx val="8"/>
          <c:order val="10"/>
          <c:tx>
            <c:strRef>
              <c:f>'1.'!$U$2</c:f>
              <c:strCache>
                <c:ptCount val="1"/>
                <c:pt idx="0">
                  <c:v>Wood</c:v>
                </c:pt>
              </c:strCache>
            </c:strRef>
          </c:tx>
          <c:spPr>
            <a:solidFill>
              <a:srgbClr val="866840"/>
            </a:solidFill>
            <a:ln>
              <a:noFill/>
            </a:ln>
            <a:effectLst/>
          </c:spPr>
          <c:invertIfNegative val="0"/>
          <c:cat>
            <c:strRef>
              <c:f>'1.'!$B$3:$B$9</c:f>
              <c:strCache>
                <c:ptCount val="7"/>
                <c:pt idx="0">
                  <c:v>Detached houses</c:v>
                </c:pt>
                <c:pt idx="1">
                  <c:v>Serial houses</c:v>
                </c:pt>
                <c:pt idx="2">
                  <c:v>Apartments</c:v>
                </c:pt>
                <c:pt idx="3">
                  <c:v>Shops</c:v>
                </c:pt>
                <c:pt idx="4">
                  <c:v>Commercial buildings</c:v>
                </c:pt>
                <c:pt idx="5">
                  <c:v>Office buildings</c:v>
                </c:pt>
                <c:pt idx="6">
                  <c:v>Service buildings</c:v>
                </c:pt>
              </c:strCache>
            </c:strRef>
          </c:cat>
          <c:val>
            <c:numRef>
              <c:f>'1.'!$U$3:$U$9</c:f>
              <c:numCache>
                <c:formatCode>0.00E+00</c:formatCode>
                <c:ptCount val="7"/>
                <c:pt idx="0">
                  <c:v>22477988.620683081</c:v>
                </c:pt>
                <c:pt idx="1">
                  <c:v>13655596.129935745</c:v>
                </c:pt>
                <c:pt idx="2">
                  <c:v>6384651.1672545476</c:v>
                </c:pt>
                <c:pt idx="3">
                  <c:v>353041.70776471199</c:v>
                </c:pt>
                <c:pt idx="4">
                  <c:v>1829143.6348198049</c:v>
                </c:pt>
                <c:pt idx="5">
                  <c:v>1116146.7810048123</c:v>
                </c:pt>
                <c:pt idx="6">
                  <c:v>1142153.6344648995</c:v>
                </c:pt>
              </c:numCache>
            </c:numRef>
          </c:val>
          <c:extLst>
            <c:ext xmlns:c16="http://schemas.microsoft.com/office/drawing/2014/chart" uri="{C3380CC4-5D6E-409C-BE32-E72D297353CC}">
              <c16:uniqueId val="{00000025-8D6F-46CE-8129-AC31C3C3CAB3}"/>
            </c:ext>
          </c:extLst>
        </c:ser>
        <c:ser>
          <c:idx val="10"/>
          <c:order val="11"/>
          <c:tx>
            <c:strRef>
              <c:f>'1.'!$X$2</c:f>
              <c:strCache>
                <c:ptCount val="1"/>
                <c:pt idx="0">
                  <c:v>Plastics</c:v>
                </c:pt>
              </c:strCache>
            </c:strRef>
          </c:tx>
          <c:spPr>
            <a:solidFill>
              <a:srgbClr val="FFA7AB"/>
            </a:solidFill>
            <a:ln>
              <a:noFill/>
            </a:ln>
            <a:effectLst/>
          </c:spPr>
          <c:invertIfNegative val="0"/>
          <c:cat>
            <c:strRef>
              <c:f>'1.'!$B$3:$B$9</c:f>
              <c:strCache>
                <c:ptCount val="7"/>
                <c:pt idx="0">
                  <c:v>Detached houses</c:v>
                </c:pt>
                <c:pt idx="1">
                  <c:v>Serial houses</c:v>
                </c:pt>
                <c:pt idx="2">
                  <c:v>Apartments</c:v>
                </c:pt>
                <c:pt idx="3">
                  <c:v>Shops</c:v>
                </c:pt>
                <c:pt idx="4">
                  <c:v>Commercial buildings</c:v>
                </c:pt>
                <c:pt idx="5">
                  <c:v>Office buildings</c:v>
                </c:pt>
                <c:pt idx="6">
                  <c:v>Service buildings</c:v>
                </c:pt>
              </c:strCache>
            </c:strRef>
          </c:cat>
          <c:val>
            <c:numRef>
              <c:f>'1.'!$X$3:$X$9</c:f>
              <c:numCache>
                <c:formatCode>0.00E+00</c:formatCode>
                <c:ptCount val="7"/>
                <c:pt idx="0">
                  <c:v>522534.44094726455</c:v>
                </c:pt>
                <c:pt idx="1">
                  <c:v>652972.99582482793</c:v>
                </c:pt>
                <c:pt idx="2">
                  <c:v>505028.07600490714</c:v>
                </c:pt>
                <c:pt idx="3">
                  <c:v>42736.300109966309</c:v>
                </c:pt>
                <c:pt idx="4">
                  <c:v>497170.34121584555</c:v>
                </c:pt>
                <c:pt idx="5">
                  <c:v>179253.90077771782</c:v>
                </c:pt>
                <c:pt idx="6">
                  <c:v>122868.05151128543</c:v>
                </c:pt>
              </c:numCache>
            </c:numRef>
          </c:val>
          <c:extLst>
            <c:ext xmlns:c16="http://schemas.microsoft.com/office/drawing/2014/chart" uri="{C3380CC4-5D6E-409C-BE32-E72D297353CC}">
              <c16:uniqueId val="{00000027-8D6F-46CE-8129-AC31C3C3CAB3}"/>
            </c:ext>
          </c:extLst>
        </c:ser>
        <c:ser>
          <c:idx val="11"/>
          <c:order val="12"/>
          <c:tx>
            <c:strRef>
              <c:f>'1.'!$Y$2</c:f>
              <c:strCache>
                <c:ptCount val="1"/>
                <c:pt idx="0">
                  <c:v>Insulation materials</c:v>
                </c:pt>
              </c:strCache>
            </c:strRef>
          </c:tx>
          <c:spPr>
            <a:solidFill>
              <a:schemeClr val="accent4">
                <a:lumMod val="75000"/>
              </a:schemeClr>
            </a:solidFill>
            <a:ln>
              <a:noFill/>
            </a:ln>
            <a:effectLst/>
          </c:spPr>
          <c:invertIfNegative val="0"/>
          <c:cat>
            <c:strRef>
              <c:f>'1.'!$B$3:$B$9</c:f>
              <c:strCache>
                <c:ptCount val="7"/>
                <c:pt idx="0">
                  <c:v>Detached houses</c:v>
                </c:pt>
                <c:pt idx="1">
                  <c:v>Serial houses</c:v>
                </c:pt>
                <c:pt idx="2">
                  <c:v>Apartments</c:v>
                </c:pt>
                <c:pt idx="3">
                  <c:v>Shops</c:v>
                </c:pt>
                <c:pt idx="4">
                  <c:v>Commercial buildings</c:v>
                </c:pt>
                <c:pt idx="5">
                  <c:v>Office buildings</c:v>
                </c:pt>
                <c:pt idx="6">
                  <c:v>Service buildings</c:v>
                </c:pt>
              </c:strCache>
            </c:strRef>
          </c:cat>
          <c:val>
            <c:numRef>
              <c:f>'1.'!$Y$3:$Y$9</c:f>
              <c:numCache>
                <c:formatCode>0.00E+00</c:formatCode>
                <c:ptCount val="7"/>
                <c:pt idx="0">
                  <c:v>4810289.5960450554</c:v>
                </c:pt>
                <c:pt idx="1">
                  <c:v>5721386.9230552819</c:v>
                </c:pt>
                <c:pt idx="2">
                  <c:v>4464022.595903229</c:v>
                </c:pt>
                <c:pt idx="3">
                  <c:v>283063.13669830962</c:v>
                </c:pt>
                <c:pt idx="4">
                  <c:v>5530367.9234995712</c:v>
                </c:pt>
                <c:pt idx="5">
                  <c:v>1594140.4906317447</c:v>
                </c:pt>
                <c:pt idx="6">
                  <c:v>1051813.1596048749</c:v>
                </c:pt>
              </c:numCache>
            </c:numRef>
          </c:val>
          <c:extLst>
            <c:ext xmlns:c16="http://schemas.microsoft.com/office/drawing/2014/chart" uri="{C3380CC4-5D6E-409C-BE32-E72D297353CC}">
              <c16:uniqueId val="{00000029-8D6F-46CE-8129-AC31C3C3CAB3}"/>
            </c:ext>
          </c:extLst>
        </c:ser>
        <c:ser>
          <c:idx val="12"/>
          <c:order val="13"/>
          <c:tx>
            <c:strRef>
              <c:f>'1.'!$Z$2</c:f>
              <c:strCache>
                <c:ptCount val="1"/>
                <c:pt idx="0">
                  <c:v>Other materials</c:v>
                </c:pt>
              </c:strCache>
            </c:strRef>
          </c:tx>
          <c:spPr>
            <a:solidFill>
              <a:srgbClr val="5D95C7"/>
            </a:solidFill>
            <a:ln>
              <a:noFill/>
            </a:ln>
            <a:effectLst/>
          </c:spPr>
          <c:invertIfNegative val="0"/>
          <c:cat>
            <c:strRef>
              <c:f>'1.'!$B$3:$B$9</c:f>
              <c:strCache>
                <c:ptCount val="7"/>
                <c:pt idx="0">
                  <c:v>Detached houses</c:v>
                </c:pt>
                <c:pt idx="1">
                  <c:v>Serial houses</c:v>
                </c:pt>
                <c:pt idx="2">
                  <c:v>Apartments</c:v>
                </c:pt>
                <c:pt idx="3">
                  <c:v>Shops</c:v>
                </c:pt>
                <c:pt idx="4">
                  <c:v>Commercial buildings</c:v>
                </c:pt>
                <c:pt idx="5">
                  <c:v>Office buildings</c:v>
                </c:pt>
                <c:pt idx="6">
                  <c:v>Service buildings</c:v>
                </c:pt>
              </c:strCache>
            </c:strRef>
          </c:cat>
          <c:val>
            <c:numRef>
              <c:f>'1.'!$Z$3:$Z$9</c:f>
              <c:numCache>
                <c:formatCode>0.00E+00</c:formatCode>
                <c:ptCount val="7"/>
                <c:pt idx="0">
                  <c:v>599167.95711258927</c:v>
                </c:pt>
                <c:pt idx="1">
                  <c:v>782673.31582331075</c:v>
                </c:pt>
                <c:pt idx="2">
                  <c:v>1230872.3960112343</c:v>
                </c:pt>
                <c:pt idx="3">
                  <c:v>73143.343054178142</c:v>
                </c:pt>
                <c:pt idx="4">
                  <c:v>76342.816647753876</c:v>
                </c:pt>
                <c:pt idx="5">
                  <c:v>224232.69729373051</c:v>
                </c:pt>
                <c:pt idx="6">
                  <c:v>242855.55285672276</c:v>
                </c:pt>
              </c:numCache>
            </c:numRef>
          </c:val>
          <c:extLst>
            <c:ext xmlns:c16="http://schemas.microsoft.com/office/drawing/2014/chart" uri="{C3380CC4-5D6E-409C-BE32-E72D297353CC}">
              <c16:uniqueId val="{0000002B-8D6F-46CE-8129-AC31C3C3CAB3}"/>
            </c:ext>
          </c:extLst>
        </c:ser>
        <c:ser>
          <c:idx val="13"/>
          <c:order val="14"/>
          <c:tx>
            <c:strRef>
              <c:f>'1.'!$AA$2</c:f>
              <c:strCache>
                <c:ptCount val="1"/>
                <c:pt idx="0">
                  <c:v>Glass</c:v>
                </c:pt>
              </c:strCache>
            </c:strRef>
          </c:tx>
          <c:spPr>
            <a:solidFill>
              <a:schemeClr val="tx1"/>
            </a:solidFill>
            <a:ln>
              <a:noFill/>
            </a:ln>
            <a:effectLst/>
          </c:spPr>
          <c:invertIfNegative val="0"/>
          <c:cat>
            <c:strRef>
              <c:f>'1.'!$B$3:$B$9</c:f>
              <c:strCache>
                <c:ptCount val="7"/>
                <c:pt idx="0">
                  <c:v>Detached houses</c:v>
                </c:pt>
                <c:pt idx="1">
                  <c:v>Serial houses</c:v>
                </c:pt>
                <c:pt idx="2">
                  <c:v>Apartments</c:v>
                </c:pt>
                <c:pt idx="3">
                  <c:v>Shops</c:v>
                </c:pt>
                <c:pt idx="4">
                  <c:v>Commercial buildings</c:v>
                </c:pt>
                <c:pt idx="5">
                  <c:v>Office buildings</c:v>
                </c:pt>
                <c:pt idx="6">
                  <c:v>Service buildings</c:v>
                </c:pt>
              </c:strCache>
            </c:strRef>
          </c:cat>
          <c:val>
            <c:numRef>
              <c:f>'1.'!$AA$3:$AA$9</c:f>
              <c:numCache>
                <c:formatCode>0.00E+00</c:formatCode>
                <c:ptCount val="7"/>
                <c:pt idx="0">
                  <c:v>1141750.5187259023</c:v>
                </c:pt>
                <c:pt idx="1">
                  <c:v>1398513.6194293427</c:v>
                </c:pt>
                <c:pt idx="2">
                  <c:v>1583096.9656177019</c:v>
                </c:pt>
                <c:pt idx="3">
                  <c:v>395508.46710385929</c:v>
                </c:pt>
                <c:pt idx="4">
                  <c:v>207203.03473527677</c:v>
                </c:pt>
                <c:pt idx="5">
                  <c:v>797868.9483974562</c:v>
                </c:pt>
                <c:pt idx="6">
                  <c:v>288515.84787376679</c:v>
                </c:pt>
              </c:numCache>
            </c:numRef>
          </c:val>
          <c:extLst>
            <c:ext xmlns:c16="http://schemas.microsoft.com/office/drawing/2014/chart" uri="{C3380CC4-5D6E-409C-BE32-E72D297353CC}">
              <c16:uniqueId val="{0000002D-8D6F-46CE-8129-AC31C3C3CAB3}"/>
            </c:ext>
          </c:extLst>
        </c:ser>
        <c:ser>
          <c:idx val="14"/>
          <c:order val="15"/>
          <c:tx>
            <c:strRef>
              <c:f>'1.'!$AB$2</c:f>
              <c:strCache>
                <c:ptCount val="1"/>
                <c:pt idx="0">
                  <c:v>Ceramics</c:v>
                </c:pt>
              </c:strCache>
            </c:strRef>
          </c:tx>
          <c:spPr>
            <a:solidFill>
              <a:srgbClr val="CC3300"/>
            </a:solidFill>
            <a:ln>
              <a:noFill/>
            </a:ln>
            <a:effectLst/>
          </c:spPr>
          <c:invertIfNegative val="0"/>
          <c:cat>
            <c:strRef>
              <c:f>'1.'!$B$3:$B$9</c:f>
              <c:strCache>
                <c:ptCount val="7"/>
                <c:pt idx="0">
                  <c:v>Detached houses</c:v>
                </c:pt>
                <c:pt idx="1">
                  <c:v>Serial houses</c:v>
                </c:pt>
                <c:pt idx="2">
                  <c:v>Apartments</c:v>
                </c:pt>
                <c:pt idx="3">
                  <c:v>Shops</c:v>
                </c:pt>
                <c:pt idx="4">
                  <c:v>Commercial buildings</c:v>
                </c:pt>
                <c:pt idx="5">
                  <c:v>Office buildings</c:v>
                </c:pt>
                <c:pt idx="6">
                  <c:v>Service buildings</c:v>
                </c:pt>
              </c:strCache>
            </c:strRef>
          </c:cat>
          <c:val>
            <c:numRef>
              <c:f>'1.'!$AB$3:$AB$9</c:f>
              <c:numCache>
                <c:formatCode>0.00E+00</c:formatCode>
                <c:ptCount val="7"/>
                <c:pt idx="0">
                  <c:v>3380716.4289671611</c:v>
                </c:pt>
                <c:pt idx="1">
                  <c:v>1146910.897485232</c:v>
                </c:pt>
                <c:pt idx="2">
                  <c:v>1677408.120496681</c:v>
                </c:pt>
                <c:pt idx="3">
                  <c:v>175429.54514603806</c:v>
                </c:pt>
                <c:pt idx="4">
                  <c:v>47306.71326107101</c:v>
                </c:pt>
                <c:pt idx="5">
                  <c:v>551570.59081732947</c:v>
                </c:pt>
                <c:pt idx="6">
                  <c:v>585162.465578384</c:v>
                </c:pt>
              </c:numCache>
            </c:numRef>
          </c:val>
          <c:extLst>
            <c:ext xmlns:c16="http://schemas.microsoft.com/office/drawing/2014/chart" uri="{C3380CC4-5D6E-409C-BE32-E72D297353CC}">
              <c16:uniqueId val="{0000002F-8D6F-46CE-8129-AC31C3C3CAB3}"/>
            </c:ext>
          </c:extLst>
        </c:ser>
        <c:dLbls>
          <c:showLegendKey val="0"/>
          <c:showVal val="0"/>
          <c:showCatName val="0"/>
          <c:showSerName val="0"/>
          <c:showPercent val="0"/>
          <c:showBubbleSize val="0"/>
        </c:dLbls>
        <c:gapWidth val="75"/>
        <c:overlap val="100"/>
        <c:axId val="2049683967"/>
        <c:axId val="2049684383"/>
        <c:extLst/>
      </c:barChart>
      <c:catAx>
        <c:axId val="2049683967"/>
        <c:scaling>
          <c:orientation val="minMax"/>
        </c:scaling>
        <c:delete val="0"/>
        <c:axPos val="b"/>
        <c:numFmt formatCode="General" sourceLinked="1"/>
        <c:majorTickMark val="none"/>
        <c:minorTickMark val="none"/>
        <c:tickLblPos val="nextTo"/>
        <c:spPr>
          <a:noFill/>
          <a:ln w="9525" cap="flat" cmpd="sng" algn="ctr">
            <a:solidFill>
              <a:schemeClr val="tx1"/>
            </a:solidFill>
            <a:round/>
          </a:ln>
          <a:effectLst/>
        </c:spPr>
        <c:txPr>
          <a:bodyPr rot="-60000000" vert="horz"/>
          <a:lstStyle/>
          <a:p>
            <a:pPr>
              <a:defRPr/>
            </a:pPr>
            <a:endParaRPr lang="nl-NL"/>
          </a:p>
        </c:txPr>
        <c:crossAx val="2049684383"/>
        <c:crosses val="autoZero"/>
        <c:auto val="1"/>
        <c:lblAlgn val="ctr"/>
        <c:lblOffset val="100"/>
        <c:noMultiLvlLbl val="0"/>
      </c:catAx>
      <c:valAx>
        <c:axId val="2049684383"/>
        <c:scaling>
          <c:orientation val="minMax"/>
        </c:scaling>
        <c:delete val="0"/>
        <c:axPos val="l"/>
        <c:title>
          <c:tx>
            <c:rich>
              <a:bodyPr rot="-5400000" vert="horz"/>
              <a:lstStyle/>
              <a:p>
                <a:pPr>
                  <a:defRPr b="1"/>
                </a:pPr>
                <a:r>
                  <a:rPr lang="en-US" b="1"/>
                  <a:t>ton</a:t>
                </a:r>
              </a:p>
            </c:rich>
          </c:tx>
          <c:overlay val="0"/>
          <c:spPr>
            <a:noFill/>
            <a:ln>
              <a:noFill/>
            </a:ln>
            <a:effectLst/>
          </c:spPr>
        </c:title>
        <c:numFmt formatCode="0.00E+00" sourceLinked="1"/>
        <c:majorTickMark val="none"/>
        <c:minorTickMark val="none"/>
        <c:tickLblPos val="nextTo"/>
        <c:spPr>
          <a:noFill/>
          <a:ln>
            <a:solidFill>
              <a:schemeClr val="tx1"/>
            </a:solidFill>
          </a:ln>
          <a:effectLst/>
        </c:spPr>
        <c:txPr>
          <a:bodyPr rot="-60000000" vert="horz"/>
          <a:lstStyle/>
          <a:p>
            <a:pPr>
              <a:defRPr/>
            </a:pPr>
            <a:endParaRPr lang="nl-NL"/>
          </a:p>
        </c:txPr>
        <c:crossAx val="2049683967"/>
        <c:crosses val="autoZero"/>
        <c:crossBetween val="between"/>
      </c:valAx>
    </c:plotArea>
    <c:legend>
      <c:legendPos val="tr"/>
      <c:layout>
        <c:manualLayout>
          <c:xMode val="edge"/>
          <c:yMode val="edge"/>
          <c:x val="0.6260382904764249"/>
          <c:y val="7.8537538764866341E-2"/>
          <c:w val="0.30740203622085077"/>
          <c:h val="0.7635474445006416"/>
        </c:manualLayout>
      </c:layout>
      <c:overlay val="0"/>
      <c:spPr>
        <a:noFill/>
        <a:ln>
          <a:solidFill>
            <a:schemeClr val="tx1"/>
          </a:solidFill>
        </a:ln>
        <a:effectLst/>
      </c:spPr>
      <c:txPr>
        <a:bodyPr rot="0" vert="horz"/>
        <a:lstStyle/>
        <a:p>
          <a:pPr>
            <a:defRPr/>
          </a:pPr>
          <a:endParaRPr lang="nl-NL"/>
        </a:p>
      </c:txPr>
    </c:legend>
    <c:plotVisOnly val="1"/>
    <c:dispBlanksAs val="gap"/>
    <c:showDLblsOverMax val="0"/>
    <c:extLst/>
  </c:chart>
  <c:spPr>
    <a:solidFill>
      <a:schemeClr val="bg1"/>
    </a:solidFill>
    <a:ln w="9525" cap="flat" cmpd="sng" algn="ctr">
      <a:noFill/>
      <a:round/>
    </a:ln>
    <a:effectLst/>
  </c:spPr>
  <c:txPr>
    <a:bodyPr/>
    <a:lstStyle/>
    <a:p>
      <a:pPr>
        <a:defRPr sz="800" b="0">
          <a:solidFill>
            <a:sysClr val="windowText" lastClr="000000"/>
          </a:solidFill>
          <a:latin typeface="Avenir Next LT Pro" panose="020B0504020202020204" pitchFamily="34" charset="0"/>
        </a:defRPr>
      </a:pPr>
      <a:endParaRPr lang="nl-NL"/>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nl-NL" b="1"/>
              <a:t>In-use stocks of materials in road, rail and waterways infrastructure, the Netherlands, ca. 2020</a:t>
            </a:r>
          </a:p>
        </c:rich>
      </c:tx>
      <c:layout>
        <c:manualLayout>
          <c:xMode val="edge"/>
          <c:yMode val="edge"/>
          <c:x val="5.9209895274718566E-2"/>
          <c:y val="0"/>
        </c:manualLayout>
      </c:layout>
      <c:overlay val="0"/>
    </c:title>
    <c:autoTitleDeleted val="0"/>
    <c:plotArea>
      <c:layout>
        <c:manualLayout>
          <c:layoutTarget val="inner"/>
          <c:xMode val="edge"/>
          <c:yMode val="edge"/>
          <c:x val="0.15637652495625018"/>
          <c:y val="8.9856869305703149E-2"/>
          <c:w val="0.56690755225364275"/>
          <c:h val="0.57356280873579879"/>
        </c:manualLayout>
      </c:layout>
      <c:barChart>
        <c:barDir val="col"/>
        <c:grouping val="stacked"/>
        <c:varyColors val="0"/>
        <c:ser>
          <c:idx val="0"/>
          <c:order val="0"/>
          <c:tx>
            <c:strRef>
              <c:f>'1.'!$F$2</c:f>
              <c:strCache>
                <c:ptCount val="1"/>
                <c:pt idx="0">
                  <c:v>Concrete</c:v>
                </c:pt>
              </c:strCache>
            </c:strRef>
          </c:tx>
          <c:spPr>
            <a:solidFill>
              <a:schemeClr val="tx1">
                <a:lumMod val="65000"/>
                <a:lumOff val="35000"/>
              </a:schemeClr>
            </a:solidFill>
            <a:ln>
              <a:noFill/>
            </a:ln>
            <a:effectLst/>
          </c:spPr>
          <c:invertIfNegative val="0"/>
          <c:cat>
            <c:strRef>
              <c:f>'1.'!$B$10:$B$18</c:f>
              <c:strCache>
                <c:ptCount val="9"/>
                <c:pt idx="0">
                  <c:v>Bridges</c:v>
                </c:pt>
                <c:pt idx="1">
                  <c:v>Pumping stations</c:v>
                </c:pt>
                <c:pt idx="2">
                  <c:v>Non-asphalt road surface</c:v>
                </c:pt>
                <c:pt idx="3">
                  <c:v>Sluices</c:v>
                </c:pt>
                <c:pt idx="4">
                  <c:v>Roads</c:v>
                </c:pt>
                <c:pt idx="5">
                  <c:v>Tunnels</c:v>
                </c:pt>
                <c:pt idx="6">
                  <c:v>Viaducts</c:v>
                </c:pt>
                <c:pt idx="7">
                  <c:v>Coastal defense</c:v>
                </c:pt>
                <c:pt idx="8">
                  <c:v>Railway tracks</c:v>
                </c:pt>
              </c:strCache>
            </c:strRef>
          </c:cat>
          <c:val>
            <c:numRef>
              <c:f>'1.'!$F$10:$F$18</c:f>
              <c:numCache>
                <c:formatCode>0.00E+00</c:formatCode>
                <c:ptCount val="9"/>
                <c:pt idx="0">
                  <c:v>89888279.120638013</c:v>
                </c:pt>
                <c:pt idx="1">
                  <c:v>475248.40560599999</c:v>
                </c:pt>
                <c:pt idx="2">
                  <c:v>63011601.207999997</c:v>
                </c:pt>
                <c:pt idx="3">
                  <c:v>5771963.7664692001</c:v>
                </c:pt>
                <c:pt idx="4">
                  <c:v>357564.809503</c:v>
                </c:pt>
                <c:pt idx="5">
                  <c:v>56505299.135309592</c:v>
                </c:pt>
                <c:pt idx="6">
                  <c:v>31998599.230579998</c:v>
                </c:pt>
                <c:pt idx="7">
                  <c:v>16803326.013700001</c:v>
                </c:pt>
                <c:pt idx="8">
                  <c:v>12150469.276951812</c:v>
                </c:pt>
              </c:numCache>
            </c:numRef>
          </c:val>
          <c:extLst>
            <c:ext xmlns:c16="http://schemas.microsoft.com/office/drawing/2014/chart" uri="{C3380CC4-5D6E-409C-BE32-E72D297353CC}">
              <c16:uniqueId val="{00000011-A9F5-4C1B-80F5-05064DED2E11}"/>
            </c:ext>
          </c:extLst>
        </c:ser>
        <c:ser>
          <c:idx val="1"/>
          <c:order val="1"/>
          <c:tx>
            <c:strRef>
              <c:f>'1.'!$G$2</c:f>
              <c:strCache>
                <c:ptCount val="1"/>
                <c:pt idx="0">
                  <c:v>Brick</c:v>
                </c:pt>
              </c:strCache>
            </c:strRef>
          </c:tx>
          <c:spPr>
            <a:solidFill>
              <a:srgbClr val="FF8601"/>
            </a:solidFill>
            <a:ln>
              <a:noFill/>
            </a:ln>
            <a:effectLst/>
          </c:spPr>
          <c:invertIfNegative val="0"/>
          <c:cat>
            <c:strRef>
              <c:f>'1.'!$B$10:$B$18</c:f>
              <c:strCache>
                <c:ptCount val="9"/>
                <c:pt idx="0">
                  <c:v>Bridges</c:v>
                </c:pt>
                <c:pt idx="1">
                  <c:v>Pumping stations</c:v>
                </c:pt>
                <c:pt idx="2">
                  <c:v>Non-asphalt road surface</c:v>
                </c:pt>
                <c:pt idx="3">
                  <c:v>Sluices</c:v>
                </c:pt>
                <c:pt idx="4">
                  <c:v>Roads</c:v>
                </c:pt>
                <c:pt idx="5">
                  <c:v>Tunnels</c:v>
                </c:pt>
                <c:pt idx="6">
                  <c:v>Viaducts</c:v>
                </c:pt>
                <c:pt idx="7">
                  <c:v>Coastal defense</c:v>
                </c:pt>
                <c:pt idx="8">
                  <c:v>Railway tracks</c:v>
                </c:pt>
              </c:strCache>
            </c:strRef>
          </c:cat>
          <c:val>
            <c:numRef>
              <c:f>'1.'!$G$10:$G$18</c:f>
              <c:numCache>
                <c:formatCode>0.00E+00</c:formatCode>
                <c:ptCount val="9"/>
                <c:pt idx="0">
                  <c:v>2516637.9435000001</c:v>
                </c:pt>
                <c:pt idx="2">
                  <c:v>4865873.0370000005</c:v>
                </c:pt>
                <c:pt idx="6">
                  <c:v>41915.439999999995</c:v>
                </c:pt>
              </c:numCache>
            </c:numRef>
          </c:val>
          <c:extLst>
            <c:ext xmlns:c16="http://schemas.microsoft.com/office/drawing/2014/chart" uri="{C3380CC4-5D6E-409C-BE32-E72D297353CC}">
              <c16:uniqueId val="{00000013-A9F5-4C1B-80F5-05064DED2E11}"/>
            </c:ext>
          </c:extLst>
        </c:ser>
        <c:ser>
          <c:idx val="2"/>
          <c:order val="2"/>
          <c:tx>
            <c:strRef>
              <c:f>'1.'!$H$2</c:f>
              <c:strCache>
                <c:ptCount val="1"/>
                <c:pt idx="0">
                  <c:v>Asphalt</c:v>
                </c:pt>
              </c:strCache>
            </c:strRef>
          </c:tx>
          <c:spPr>
            <a:solidFill>
              <a:schemeClr val="tx2">
                <a:lumMod val="60000"/>
                <a:lumOff val="40000"/>
              </a:schemeClr>
            </a:solidFill>
            <a:ln>
              <a:noFill/>
            </a:ln>
            <a:effectLst/>
          </c:spPr>
          <c:invertIfNegative val="0"/>
          <c:cat>
            <c:strRef>
              <c:f>'1.'!$B$10:$B$18</c:f>
              <c:strCache>
                <c:ptCount val="9"/>
                <c:pt idx="0">
                  <c:v>Bridges</c:v>
                </c:pt>
                <c:pt idx="1">
                  <c:v>Pumping stations</c:v>
                </c:pt>
                <c:pt idx="2">
                  <c:v>Non-asphalt road surface</c:v>
                </c:pt>
                <c:pt idx="3">
                  <c:v>Sluices</c:v>
                </c:pt>
                <c:pt idx="4">
                  <c:v>Roads</c:v>
                </c:pt>
                <c:pt idx="5">
                  <c:v>Tunnels</c:v>
                </c:pt>
                <c:pt idx="6">
                  <c:v>Viaducts</c:v>
                </c:pt>
                <c:pt idx="7">
                  <c:v>Coastal defense</c:v>
                </c:pt>
                <c:pt idx="8">
                  <c:v>Railway tracks</c:v>
                </c:pt>
              </c:strCache>
            </c:strRef>
          </c:cat>
          <c:val>
            <c:numRef>
              <c:f>'1.'!$H$10:$H$18</c:f>
              <c:numCache>
                <c:formatCode>0.00E+00</c:formatCode>
                <c:ptCount val="9"/>
                <c:pt idx="4">
                  <c:v>253105999.97389999</c:v>
                </c:pt>
                <c:pt idx="8">
                  <c:v>39002.327218395039</c:v>
                </c:pt>
              </c:numCache>
            </c:numRef>
          </c:val>
          <c:extLst>
            <c:ext xmlns:c16="http://schemas.microsoft.com/office/drawing/2014/chart" uri="{C3380CC4-5D6E-409C-BE32-E72D297353CC}">
              <c16:uniqueId val="{00000015-A9F5-4C1B-80F5-05064DED2E11}"/>
            </c:ext>
          </c:extLst>
        </c:ser>
        <c:ser>
          <c:idx val="3"/>
          <c:order val="3"/>
          <c:tx>
            <c:strRef>
              <c:f>'1.'!$I$2</c:f>
              <c:strCache>
                <c:ptCount val="1"/>
                <c:pt idx="0">
                  <c:v>Sand, gravel, clay</c:v>
                </c:pt>
              </c:strCache>
            </c:strRef>
          </c:tx>
          <c:spPr>
            <a:solidFill>
              <a:schemeClr val="bg1">
                <a:lumMod val="75000"/>
              </a:schemeClr>
            </a:solidFill>
            <a:ln>
              <a:noFill/>
            </a:ln>
            <a:effectLst/>
          </c:spPr>
          <c:invertIfNegative val="0"/>
          <c:cat>
            <c:strRef>
              <c:f>'1.'!$B$10:$B$18</c:f>
              <c:strCache>
                <c:ptCount val="9"/>
                <c:pt idx="0">
                  <c:v>Bridges</c:v>
                </c:pt>
                <c:pt idx="1">
                  <c:v>Pumping stations</c:v>
                </c:pt>
                <c:pt idx="2">
                  <c:v>Non-asphalt road surface</c:v>
                </c:pt>
                <c:pt idx="3">
                  <c:v>Sluices</c:v>
                </c:pt>
                <c:pt idx="4">
                  <c:v>Roads</c:v>
                </c:pt>
                <c:pt idx="5">
                  <c:v>Tunnels</c:v>
                </c:pt>
                <c:pt idx="6">
                  <c:v>Viaducts</c:v>
                </c:pt>
                <c:pt idx="7">
                  <c:v>Coastal defense</c:v>
                </c:pt>
                <c:pt idx="8">
                  <c:v>Railway tracks</c:v>
                </c:pt>
              </c:strCache>
            </c:strRef>
          </c:cat>
          <c:val>
            <c:numRef>
              <c:f>'1.'!$I$10:$I$18</c:f>
              <c:numCache>
                <c:formatCode>0.00E+00</c:formatCode>
                <c:ptCount val="9"/>
                <c:pt idx="2">
                  <c:v>269435380</c:v>
                </c:pt>
                <c:pt idx="3">
                  <c:v>741800</c:v>
                </c:pt>
                <c:pt idx="4">
                  <c:v>1753864158.2755997</c:v>
                </c:pt>
                <c:pt idx="5">
                  <c:v>362710700</c:v>
                </c:pt>
                <c:pt idx="6">
                  <c:v>274480420</c:v>
                </c:pt>
                <c:pt idx="7">
                  <c:v>1155431703.1517999</c:v>
                </c:pt>
                <c:pt idx="8">
                  <c:v>27963300.579163108</c:v>
                </c:pt>
              </c:numCache>
            </c:numRef>
          </c:val>
          <c:extLst>
            <c:ext xmlns:c16="http://schemas.microsoft.com/office/drawing/2014/chart" uri="{C3380CC4-5D6E-409C-BE32-E72D297353CC}">
              <c16:uniqueId val="{00000017-A9F5-4C1B-80F5-05064DED2E11}"/>
            </c:ext>
          </c:extLst>
        </c:ser>
        <c:ser>
          <c:idx val="4"/>
          <c:order val="4"/>
          <c:tx>
            <c:strRef>
              <c:f>'1.'!$L$2</c:f>
              <c:strCache>
                <c:ptCount val="1"/>
                <c:pt idx="0">
                  <c:v>Recycled CDW</c:v>
                </c:pt>
              </c:strCache>
            </c:strRef>
          </c:tx>
          <c:spPr>
            <a:solidFill>
              <a:srgbClr val="B56B6B"/>
            </a:solidFill>
            <a:ln>
              <a:noFill/>
            </a:ln>
            <a:effectLst/>
          </c:spPr>
          <c:invertIfNegative val="0"/>
          <c:cat>
            <c:strRef>
              <c:f>'1.'!$B$10:$B$18</c:f>
              <c:strCache>
                <c:ptCount val="9"/>
                <c:pt idx="0">
                  <c:v>Bridges</c:v>
                </c:pt>
                <c:pt idx="1">
                  <c:v>Pumping stations</c:v>
                </c:pt>
                <c:pt idx="2">
                  <c:v>Non-asphalt road surface</c:v>
                </c:pt>
                <c:pt idx="3">
                  <c:v>Sluices</c:v>
                </c:pt>
                <c:pt idx="4">
                  <c:v>Roads</c:v>
                </c:pt>
                <c:pt idx="5">
                  <c:v>Tunnels</c:v>
                </c:pt>
                <c:pt idx="6">
                  <c:v>Viaducts</c:v>
                </c:pt>
                <c:pt idx="7">
                  <c:v>Coastal defense</c:v>
                </c:pt>
                <c:pt idx="8">
                  <c:v>Railway tracks</c:v>
                </c:pt>
              </c:strCache>
            </c:strRef>
          </c:cat>
          <c:val>
            <c:numRef>
              <c:f>'1.'!$L$10:$L$18</c:f>
              <c:numCache>
                <c:formatCode>0.00E+00</c:formatCode>
                <c:ptCount val="9"/>
                <c:pt idx="0">
                  <c:v>469996.82519999996</c:v>
                </c:pt>
                <c:pt idx="2">
                  <c:v>116375811.40000001</c:v>
                </c:pt>
                <c:pt idx="4">
                  <c:v>455373398.10499996</c:v>
                </c:pt>
                <c:pt idx="5">
                  <c:v>190204.47425</c:v>
                </c:pt>
                <c:pt idx="6">
                  <c:v>111764.96713</c:v>
                </c:pt>
              </c:numCache>
            </c:numRef>
          </c:val>
          <c:extLst>
            <c:ext xmlns:c16="http://schemas.microsoft.com/office/drawing/2014/chart" uri="{C3380CC4-5D6E-409C-BE32-E72D297353CC}">
              <c16:uniqueId val="{00000019-A9F5-4C1B-80F5-05064DED2E11}"/>
            </c:ext>
          </c:extLst>
        </c:ser>
        <c:ser>
          <c:idx val="6"/>
          <c:order val="5"/>
          <c:tx>
            <c:strRef>
              <c:f>'1.'!$M$2</c:f>
              <c:strCache>
                <c:ptCount val="1"/>
                <c:pt idx="0">
                  <c:v>Other construction materials</c:v>
                </c:pt>
              </c:strCache>
            </c:strRef>
          </c:tx>
          <c:spPr>
            <a:solidFill>
              <a:srgbClr val="FFD347"/>
            </a:solidFill>
            <a:ln>
              <a:noFill/>
            </a:ln>
            <a:effectLst/>
          </c:spPr>
          <c:invertIfNegative val="0"/>
          <c:cat>
            <c:strRef>
              <c:f>'1.'!$B$10:$B$18</c:f>
              <c:strCache>
                <c:ptCount val="9"/>
                <c:pt idx="0">
                  <c:v>Bridges</c:v>
                </c:pt>
                <c:pt idx="1">
                  <c:v>Pumping stations</c:v>
                </c:pt>
                <c:pt idx="2">
                  <c:v>Non-asphalt road surface</c:v>
                </c:pt>
                <c:pt idx="3">
                  <c:v>Sluices</c:v>
                </c:pt>
                <c:pt idx="4">
                  <c:v>Roads</c:v>
                </c:pt>
                <c:pt idx="5">
                  <c:v>Tunnels</c:v>
                </c:pt>
                <c:pt idx="6">
                  <c:v>Viaducts</c:v>
                </c:pt>
                <c:pt idx="7">
                  <c:v>Coastal defense</c:v>
                </c:pt>
                <c:pt idx="8">
                  <c:v>Railway tracks</c:v>
                </c:pt>
              </c:strCache>
            </c:strRef>
          </c:cat>
          <c:val>
            <c:numRef>
              <c:f>'1.'!$M$10:$M$18</c:f>
              <c:numCache>
                <c:formatCode>0.00E+00</c:formatCode>
                <c:ptCount val="9"/>
                <c:pt idx="0">
                  <c:v>18799.386479999997</c:v>
                </c:pt>
                <c:pt idx="1">
                  <c:v>1.26346</c:v>
                </c:pt>
                <c:pt idx="4">
                  <c:v>453.5478195</c:v>
                </c:pt>
                <c:pt idx="5">
                  <c:v>7608.1789699999999</c:v>
                </c:pt>
                <c:pt idx="6">
                  <c:v>4470.5986850000008</c:v>
                </c:pt>
              </c:numCache>
            </c:numRef>
          </c:val>
          <c:extLst>
            <c:ext xmlns:c16="http://schemas.microsoft.com/office/drawing/2014/chart" uri="{C3380CC4-5D6E-409C-BE32-E72D297353CC}">
              <c16:uniqueId val="{0000001B-A9F5-4C1B-80F5-05064DED2E11}"/>
            </c:ext>
          </c:extLst>
        </c:ser>
        <c:ser>
          <c:idx val="7"/>
          <c:order val="6"/>
          <c:tx>
            <c:strRef>
              <c:f>'1.'!$N$2</c:f>
              <c:strCache>
                <c:ptCount val="1"/>
                <c:pt idx="0">
                  <c:v>Iron and steel</c:v>
                </c:pt>
              </c:strCache>
            </c:strRef>
          </c:tx>
          <c:spPr>
            <a:solidFill>
              <a:srgbClr val="4D9782"/>
            </a:solidFill>
            <a:ln>
              <a:noFill/>
            </a:ln>
            <a:effectLst/>
          </c:spPr>
          <c:invertIfNegative val="0"/>
          <c:cat>
            <c:strRef>
              <c:f>'1.'!$B$10:$B$18</c:f>
              <c:strCache>
                <c:ptCount val="9"/>
                <c:pt idx="0">
                  <c:v>Bridges</c:v>
                </c:pt>
                <c:pt idx="1">
                  <c:v>Pumping stations</c:v>
                </c:pt>
                <c:pt idx="2">
                  <c:v>Non-asphalt road surface</c:v>
                </c:pt>
                <c:pt idx="3">
                  <c:v>Sluices</c:v>
                </c:pt>
                <c:pt idx="4">
                  <c:v>Roads</c:v>
                </c:pt>
                <c:pt idx="5">
                  <c:v>Tunnels</c:v>
                </c:pt>
                <c:pt idx="6">
                  <c:v>Viaducts</c:v>
                </c:pt>
                <c:pt idx="7">
                  <c:v>Coastal defense</c:v>
                </c:pt>
                <c:pt idx="8">
                  <c:v>Railway tracks</c:v>
                </c:pt>
              </c:strCache>
            </c:strRef>
          </c:cat>
          <c:val>
            <c:numRef>
              <c:f>'1.'!$N$10:$N$18</c:f>
              <c:numCache>
                <c:formatCode>0.00E+00</c:formatCode>
                <c:ptCount val="9"/>
                <c:pt idx="0">
                  <c:v>6548240.5110200001</c:v>
                </c:pt>
                <c:pt idx="1">
                  <c:v>231240.2507</c:v>
                </c:pt>
                <c:pt idx="3">
                  <c:v>435083.69930000004</c:v>
                </c:pt>
                <c:pt idx="4">
                  <c:v>261600.25531000004</c:v>
                </c:pt>
                <c:pt idx="5">
                  <c:v>11499384.125199998</c:v>
                </c:pt>
                <c:pt idx="6">
                  <c:v>350234.73212</c:v>
                </c:pt>
                <c:pt idx="8">
                  <c:v>1757858.1946005577</c:v>
                </c:pt>
              </c:numCache>
            </c:numRef>
          </c:val>
          <c:extLst>
            <c:ext xmlns:c16="http://schemas.microsoft.com/office/drawing/2014/chart" uri="{C3380CC4-5D6E-409C-BE32-E72D297353CC}">
              <c16:uniqueId val="{0000001D-A9F5-4C1B-80F5-05064DED2E11}"/>
            </c:ext>
          </c:extLst>
        </c:ser>
        <c:ser>
          <c:idx val="5"/>
          <c:order val="11"/>
          <c:tx>
            <c:strRef>
              <c:f>'1.'!$U$2</c:f>
              <c:strCache>
                <c:ptCount val="1"/>
                <c:pt idx="0">
                  <c:v>Wood</c:v>
                </c:pt>
              </c:strCache>
            </c:strRef>
          </c:tx>
          <c:spPr>
            <a:solidFill>
              <a:srgbClr val="FFA7AB"/>
            </a:solidFill>
          </c:spPr>
          <c:invertIfNegative val="0"/>
          <c:cat>
            <c:strRef>
              <c:f>'1.'!$B$10:$B$18</c:f>
              <c:strCache>
                <c:ptCount val="9"/>
                <c:pt idx="0">
                  <c:v>Bridges</c:v>
                </c:pt>
                <c:pt idx="1">
                  <c:v>Pumping stations</c:v>
                </c:pt>
                <c:pt idx="2">
                  <c:v>Non-asphalt road surface</c:v>
                </c:pt>
                <c:pt idx="3">
                  <c:v>Sluices</c:v>
                </c:pt>
                <c:pt idx="4">
                  <c:v>Roads</c:v>
                </c:pt>
                <c:pt idx="5">
                  <c:v>Tunnels</c:v>
                </c:pt>
                <c:pt idx="6">
                  <c:v>Viaducts</c:v>
                </c:pt>
                <c:pt idx="7">
                  <c:v>Coastal defense</c:v>
                </c:pt>
                <c:pt idx="8">
                  <c:v>Railway tracks</c:v>
                </c:pt>
              </c:strCache>
            </c:strRef>
          </c:cat>
          <c:val>
            <c:numRef>
              <c:f>'1.'!$U$10:$U$18</c:f>
              <c:numCache>
                <c:formatCode>0.00E+00</c:formatCode>
                <c:ptCount val="9"/>
                <c:pt idx="0">
                  <c:v>2268.0820399999998</c:v>
                </c:pt>
                <c:pt idx="1">
                  <c:v>11847.306489999999</c:v>
                </c:pt>
                <c:pt idx="3">
                  <c:v>4895.8222500000002</c:v>
                </c:pt>
                <c:pt idx="8">
                  <c:v>45222.823810877439</c:v>
                </c:pt>
              </c:numCache>
            </c:numRef>
          </c:val>
          <c:extLst>
            <c:ext xmlns:c16="http://schemas.microsoft.com/office/drawing/2014/chart" uri="{C3380CC4-5D6E-409C-BE32-E72D297353CC}">
              <c16:uniqueId val="{00000027-A9F5-4C1B-80F5-05064DED2E11}"/>
            </c:ext>
          </c:extLst>
        </c:ser>
        <c:ser>
          <c:idx val="9"/>
          <c:order val="12"/>
          <c:tx>
            <c:strRef>
              <c:f>'1.'!$X$2</c:f>
              <c:strCache>
                <c:ptCount val="1"/>
                <c:pt idx="0">
                  <c:v>Plastics</c:v>
                </c:pt>
              </c:strCache>
            </c:strRef>
          </c:tx>
          <c:spPr>
            <a:solidFill>
              <a:schemeClr val="accent4">
                <a:lumMod val="75000"/>
              </a:schemeClr>
            </a:solidFill>
          </c:spPr>
          <c:invertIfNegative val="0"/>
          <c:cat>
            <c:strRef>
              <c:f>'1.'!$B$10:$B$18</c:f>
              <c:strCache>
                <c:ptCount val="9"/>
                <c:pt idx="0">
                  <c:v>Bridges</c:v>
                </c:pt>
                <c:pt idx="1">
                  <c:v>Pumping stations</c:v>
                </c:pt>
                <c:pt idx="2">
                  <c:v>Non-asphalt road surface</c:v>
                </c:pt>
                <c:pt idx="3">
                  <c:v>Sluices</c:v>
                </c:pt>
                <c:pt idx="4">
                  <c:v>Roads</c:v>
                </c:pt>
                <c:pt idx="5">
                  <c:v>Tunnels</c:v>
                </c:pt>
                <c:pt idx="6">
                  <c:v>Viaducts</c:v>
                </c:pt>
                <c:pt idx="7">
                  <c:v>Coastal defense</c:v>
                </c:pt>
                <c:pt idx="8">
                  <c:v>Railway tracks</c:v>
                </c:pt>
              </c:strCache>
            </c:strRef>
          </c:cat>
          <c:val>
            <c:numRef>
              <c:f>'1.'!$X$10:$X$18</c:f>
              <c:numCache>
                <c:formatCode>0.00E+00</c:formatCode>
                <c:ptCount val="9"/>
                <c:pt idx="1">
                  <c:v>0.22971999999999998</c:v>
                </c:pt>
                <c:pt idx="3">
                  <c:v>554.60005733000003</c:v>
                </c:pt>
                <c:pt idx="7">
                  <c:v>14389.4892</c:v>
                </c:pt>
                <c:pt idx="8">
                  <c:v>18258.491539187333</c:v>
                </c:pt>
              </c:numCache>
            </c:numRef>
          </c:val>
          <c:extLst>
            <c:ext xmlns:c16="http://schemas.microsoft.com/office/drawing/2014/chart" uri="{C3380CC4-5D6E-409C-BE32-E72D297353CC}">
              <c16:uniqueId val="{00000029-A9F5-4C1B-80F5-05064DED2E11}"/>
            </c:ext>
          </c:extLst>
        </c:ser>
        <c:dLbls>
          <c:showLegendKey val="0"/>
          <c:showVal val="0"/>
          <c:showCatName val="0"/>
          <c:showSerName val="0"/>
          <c:showPercent val="0"/>
          <c:showBubbleSize val="0"/>
        </c:dLbls>
        <c:gapWidth val="60"/>
        <c:overlap val="100"/>
        <c:axId val="2049683967"/>
        <c:axId val="2049684383"/>
        <c:extLst>
          <c:ext xmlns:c15="http://schemas.microsoft.com/office/drawing/2012/chart" uri="{02D57815-91ED-43cb-92C2-25804820EDAC}">
            <c15:filteredBarSeries>
              <c15:ser>
                <c:idx val="8"/>
                <c:order val="7"/>
                <c:tx>
                  <c:strRef>
                    <c:extLst>
                      <c:ext uri="{02D57815-91ED-43cb-92C2-25804820EDAC}">
                        <c15:formulaRef>
                          <c15:sqref>'1.'!$O$2</c15:sqref>
                        </c15:formulaRef>
                      </c:ext>
                    </c:extLst>
                    <c:strCache>
                      <c:ptCount val="1"/>
                      <c:pt idx="0">
                        <c:v>Copper</c:v>
                      </c:pt>
                    </c:strCache>
                  </c:strRef>
                </c:tx>
                <c:spPr>
                  <a:solidFill>
                    <a:srgbClr val="FF7F51"/>
                  </a:solidFill>
                  <a:ln>
                    <a:noFill/>
                  </a:ln>
                  <a:effectLst/>
                </c:spPr>
                <c:invertIfNegative val="0"/>
                <c:cat>
                  <c:strRef>
                    <c:extLst>
                      <c:ext uri="{02D57815-91ED-43cb-92C2-25804820EDAC}">
                        <c15:formulaRef>
                          <c15:sqref>'1.'!$B$10:$B$18</c15:sqref>
                        </c15:formulaRef>
                      </c:ext>
                    </c:extLst>
                    <c:strCache>
                      <c:ptCount val="9"/>
                      <c:pt idx="0">
                        <c:v>Bridges</c:v>
                      </c:pt>
                      <c:pt idx="1">
                        <c:v>Pumping stations</c:v>
                      </c:pt>
                      <c:pt idx="2">
                        <c:v>Non-asphalt road surface</c:v>
                      </c:pt>
                      <c:pt idx="3">
                        <c:v>Sluices</c:v>
                      </c:pt>
                      <c:pt idx="4">
                        <c:v>Roads</c:v>
                      </c:pt>
                      <c:pt idx="5">
                        <c:v>Tunnels</c:v>
                      </c:pt>
                      <c:pt idx="6">
                        <c:v>Viaducts</c:v>
                      </c:pt>
                      <c:pt idx="7">
                        <c:v>Coastal defense</c:v>
                      </c:pt>
                      <c:pt idx="8">
                        <c:v>Railway tracks</c:v>
                      </c:pt>
                    </c:strCache>
                  </c:strRef>
                </c:cat>
                <c:val>
                  <c:numRef>
                    <c:extLst>
                      <c:ext uri="{02D57815-91ED-43cb-92C2-25804820EDAC}">
                        <c15:formulaRef>
                          <c15:sqref>'1.'!$O$10:$O$18</c15:sqref>
                        </c15:formulaRef>
                      </c:ext>
                    </c:extLst>
                    <c:numCache>
                      <c:formatCode>0.00E+00</c:formatCode>
                      <c:ptCount val="9"/>
                      <c:pt idx="8">
                        <c:v>32634.836593877462</c:v>
                      </c:pt>
                    </c:numCache>
                  </c:numRef>
                </c:val>
                <c:extLst>
                  <c:ext xmlns:c16="http://schemas.microsoft.com/office/drawing/2014/chart" uri="{C3380CC4-5D6E-409C-BE32-E72D297353CC}">
                    <c16:uniqueId val="{0000001F-A9F5-4C1B-80F5-05064DED2E11}"/>
                  </c:ext>
                </c:extLst>
              </c15:ser>
            </c15:filteredBarSeries>
            <c15:filteredBarSeries>
              <c15:ser>
                <c:idx val="10"/>
                <c:order val="8"/>
                <c:tx>
                  <c:strRef>
                    <c:extLst xmlns:c15="http://schemas.microsoft.com/office/drawing/2012/chart">
                      <c:ext xmlns:c15="http://schemas.microsoft.com/office/drawing/2012/chart" uri="{02D57815-91ED-43cb-92C2-25804820EDAC}">
                        <c15:formulaRef>
                          <c15:sqref>'1.'!$P$2</c15:sqref>
                        </c15:formulaRef>
                      </c:ext>
                    </c:extLst>
                    <c:strCache>
                      <c:ptCount val="1"/>
                      <c:pt idx="0">
                        <c:v>Aluminium</c:v>
                      </c:pt>
                    </c:strCache>
                  </c:strRef>
                </c:tx>
                <c:spPr>
                  <a:solidFill>
                    <a:srgbClr val="80ED99"/>
                  </a:solidFill>
                  <a:ln>
                    <a:noFill/>
                  </a:ln>
                  <a:effectLst/>
                </c:spPr>
                <c:invertIfNegative val="0"/>
                <c:cat>
                  <c:strRef>
                    <c:extLst xmlns:c15="http://schemas.microsoft.com/office/drawing/2012/chart">
                      <c:ext xmlns:c15="http://schemas.microsoft.com/office/drawing/2012/chart" uri="{02D57815-91ED-43cb-92C2-25804820EDAC}">
                        <c15:formulaRef>
                          <c15:sqref>'1.'!$B$10:$B$18</c15:sqref>
                        </c15:formulaRef>
                      </c:ext>
                    </c:extLst>
                    <c:strCache>
                      <c:ptCount val="9"/>
                      <c:pt idx="0">
                        <c:v>Bridges</c:v>
                      </c:pt>
                      <c:pt idx="1">
                        <c:v>Pumping stations</c:v>
                      </c:pt>
                      <c:pt idx="2">
                        <c:v>Non-asphalt road surface</c:v>
                      </c:pt>
                      <c:pt idx="3">
                        <c:v>Sluices</c:v>
                      </c:pt>
                      <c:pt idx="4">
                        <c:v>Roads</c:v>
                      </c:pt>
                      <c:pt idx="5">
                        <c:v>Tunnels</c:v>
                      </c:pt>
                      <c:pt idx="6">
                        <c:v>Viaducts</c:v>
                      </c:pt>
                      <c:pt idx="7">
                        <c:v>Coastal defense</c:v>
                      </c:pt>
                      <c:pt idx="8">
                        <c:v>Railway tracks</c:v>
                      </c:pt>
                    </c:strCache>
                  </c:strRef>
                </c:cat>
                <c:val>
                  <c:numRef>
                    <c:extLst xmlns:c15="http://schemas.microsoft.com/office/drawing/2012/chart">
                      <c:ext xmlns:c15="http://schemas.microsoft.com/office/drawing/2012/chart" uri="{02D57815-91ED-43cb-92C2-25804820EDAC}">
                        <c15:formulaRef>
                          <c15:sqref>'1.'!$P$10:$P$18</c15:sqref>
                        </c15:formulaRef>
                      </c:ext>
                    </c:extLst>
                    <c:numCache>
                      <c:formatCode>0.00E+00</c:formatCode>
                      <c:ptCount val="9"/>
                      <c:pt idx="0">
                        <c:v>64.8</c:v>
                      </c:pt>
                      <c:pt idx="1">
                        <c:v>0.11485999999999999</c:v>
                      </c:pt>
                      <c:pt idx="3">
                        <c:v>221.208</c:v>
                      </c:pt>
                      <c:pt idx="4">
                        <c:v>50029.452139000001</c:v>
                      </c:pt>
                      <c:pt idx="6">
                        <c:v>2.0928</c:v>
                      </c:pt>
                      <c:pt idx="8">
                        <c:v>5773.4221278774603</c:v>
                      </c:pt>
                    </c:numCache>
                  </c:numRef>
                </c:val>
                <c:extLst xmlns:c15="http://schemas.microsoft.com/office/drawing/2012/chart">
                  <c:ext xmlns:c16="http://schemas.microsoft.com/office/drawing/2014/chart" uri="{C3380CC4-5D6E-409C-BE32-E72D297353CC}">
                    <c16:uniqueId val="{00000021-A9F5-4C1B-80F5-05064DED2E11}"/>
                  </c:ext>
                </c:extLst>
              </c15:ser>
            </c15:filteredBarSeries>
            <c15:filteredBarSeries>
              <c15:ser>
                <c:idx val="11"/>
                <c:order val="9"/>
                <c:tx>
                  <c:strRef>
                    <c:extLst xmlns:c15="http://schemas.microsoft.com/office/drawing/2012/chart">
                      <c:ext xmlns:c15="http://schemas.microsoft.com/office/drawing/2012/chart" uri="{02D57815-91ED-43cb-92C2-25804820EDAC}">
                        <c15:formulaRef>
                          <c15:sqref>'1.'!$Q$2</c15:sqref>
                        </c15:formulaRef>
                      </c:ext>
                    </c:extLst>
                    <c:strCache>
                      <c:ptCount val="1"/>
                      <c:pt idx="0">
                        <c:v>Zinc</c:v>
                      </c:pt>
                    </c:strCache>
                  </c:strRef>
                </c:tx>
                <c:spPr>
                  <a:solidFill>
                    <a:srgbClr val="8D1760"/>
                  </a:solidFill>
                  <a:ln>
                    <a:noFill/>
                  </a:ln>
                  <a:effectLst/>
                </c:spPr>
                <c:invertIfNegative val="0"/>
                <c:cat>
                  <c:strRef>
                    <c:extLst xmlns:c15="http://schemas.microsoft.com/office/drawing/2012/chart">
                      <c:ext xmlns:c15="http://schemas.microsoft.com/office/drawing/2012/chart" uri="{02D57815-91ED-43cb-92C2-25804820EDAC}">
                        <c15:formulaRef>
                          <c15:sqref>'1.'!$B$10:$B$18</c15:sqref>
                        </c15:formulaRef>
                      </c:ext>
                    </c:extLst>
                    <c:strCache>
                      <c:ptCount val="9"/>
                      <c:pt idx="0">
                        <c:v>Bridges</c:v>
                      </c:pt>
                      <c:pt idx="1">
                        <c:v>Pumping stations</c:v>
                      </c:pt>
                      <c:pt idx="2">
                        <c:v>Non-asphalt road surface</c:v>
                      </c:pt>
                      <c:pt idx="3">
                        <c:v>Sluices</c:v>
                      </c:pt>
                      <c:pt idx="4">
                        <c:v>Roads</c:v>
                      </c:pt>
                      <c:pt idx="5">
                        <c:v>Tunnels</c:v>
                      </c:pt>
                      <c:pt idx="6">
                        <c:v>Viaducts</c:v>
                      </c:pt>
                      <c:pt idx="7">
                        <c:v>Coastal defense</c:v>
                      </c:pt>
                      <c:pt idx="8">
                        <c:v>Railway tracks</c:v>
                      </c:pt>
                    </c:strCache>
                  </c:strRef>
                </c:cat>
                <c:val>
                  <c:numRef>
                    <c:extLst xmlns:c15="http://schemas.microsoft.com/office/drawing/2012/chart">
                      <c:ext xmlns:c15="http://schemas.microsoft.com/office/drawing/2012/chart" uri="{02D57815-91ED-43cb-92C2-25804820EDAC}">
                        <c15:formulaRef>
                          <c15:sqref>'1.'!$Q$10:$Q$18</c15:sqref>
                        </c15:formulaRef>
                      </c:ext>
                    </c:extLst>
                    <c:numCache>
                      <c:formatCode>0.00E+00</c:formatCode>
                      <c:ptCount val="9"/>
                      <c:pt idx="1">
                        <c:v>5.7429999999999994</c:v>
                      </c:pt>
                    </c:numCache>
                  </c:numRef>
                </c:val>
                <c:extLst xmlns:c15="http://schemas.microsoft.com/office/drawing/2012/chart">
                  <c:ext xmlns:c16="http://schemas.microsoft.com/office/drawing/2014/chart" uri="{C3380CC4-5D6E-409C-BE32-E72D297353CC}">
                    <c16:uniqueId val="{00000023-A9F5-4C1B-80F5-05064DED2E11}"/>
                  </c:ext>
                </c:extLst>
              </c15:ser>
            </c15:filteredBarSeries>
            <c15:filteredBarSeries>
              <c15:ser>
                <c:idx val="13"/>
                <c:order val="10"/>
                <c:tx>
                  <c:strRef>
                    <c:extLst xmlns:c15="http://schemas.microsoft.com/office/drawing/2012/chart">
                      <c:ext xmlns:c15="http://schemas.microsoft.com/office/drawing/2012/chart" uri="{02D57815-91ED-43cb-92C2-25804820EDAC}">
                        <c15:formulaRef>
                          <c15:sqref>'1.'!$T$2</c15:sqref>
                        </c15:formulaRef>
                      </c:ext>
                    </c:extLst>
                    <c:strCache>
                      <c:ptCount val="1"/>
                      <c:pt idx="0">
                        <c:v>Other metals (non critical)</c:v>
                      </c:pt>
                    </c:strCache>
                  </c:strRef>
                </c:tx>
                <c:spPr>
                  <a:solidFill>
                    <a:srgbClr val="9F70C2"/>
                  </a:solidFill>
                  <a:ln>
                    <a:noFill/>
                  </a:ln>
                  <a:effectLst/>
                </c:spPr>
                <c:invertIfNegative val="0"/>
                <c:cat>
                  <c:strRef>
                    <c:extLst xmlns:c15="http://schemas.microsoft.com/office/drawing/2012/chart">
                      <c:ext xmlns:c15="http://schemas.microsoft.com/office/drawing/2012/chart" uri="{02D57815-91ED-43cb-92C2-25804820EDAC}">
                        <c15:formulaRef>
                          <c15:sqref>'1.'!$B$10:$B$18</c15:sqref>
                        </c15:formulaRef>
                      </c:ext>
                    </c:extLst>
                    <c:strCache>
                      <c:ptCount val="9"/>
                      <c:pt idx="0">
                        <c:v>Bridges</c:v>
                      </c:pt>
                      <c:pt idx="1">
                        <c:v>Pumping stations</c:v>
                      </c:pt>
                      <c:pt idx="2">
                        <c:v>Non-asphalt road surface</c:v>
                      </c:pt>
                      <c:pt idx="3">
                        <c:v>Sluices</c:v>
                      </c:pt>
                      <c:pt idx="4">
                        <c:v>Roads</c:v>
                      </c:pt>
                      <c:pt idx="5">
                        <c:v>Tunnels</c:v>
                      </c:pt>
                      <c:pt idx="6">
                        <c:v>Viaducts</c:v>
                      </c:pt>
                      <c:pt idx="7">
                        <c:v>Coastal defense</c:v>
                      </c:pt>
                      <c:pt idx="8">
                        <c:v>Railway tracks</c:v>
                      </c:pt>
                    </c:strCache>
                  </c:strRef>
                </c:cat>
                <c:val>
                  <c:numRef>
                    <c:extLst xmlns:c15="http://schemas.microsoft.com/office/drawing/2012/chart">
                      <c:ext xmlns:c15="http://schemas.microsoft.com/office/drawing/2012/chart" uri="{02D57815-91ED-43cb-92C2-25804820EDAC}">
                        <c15:formulaRef>
                          <c15:sqref>'1.'!$T$10:$T$18</c15:sqref>
                        </c15:formulaRef>
                      </c:ext>
                    </c:extLst>
                    <c:numCache>
                      <c:formatCode>0.00E+00</c:formatCode>
                      <c:ptCount val="9"/>
                      <c:pt idx="0">
                        <c:v>933.15039999999999</c:v>
                      </c:pt>
                      <c:pt idx="3">
                        <c:v>814.98131999999998</c:v>
                      </c:pt>
                      <c:pt idx="4">
                        <c:v>64845.371596000005</c:v>
                      </c:pt>
                      <c:pt idx="8">
                        <c:v>780.84930814804648</c:v>
                      </c:pt>
                    </c:numCache>
                  </c:numRef>
                </c:val>
                <c:extLst xmlns:c15="http://schemas.microsoft.com/office/drawing/2012/chart">
                  <c:ext xmlns:c16="http://schemas.microsoft.com/office/drawing/2014/chart" uri="{C3380CC4-5D6E-409C-BE32-E72D297353CC}">
                    <c16:uniqueId val="{00000025-A9F5-4C1B-80F5-05064DED2E11}"/>
                  </c:ext>
                </c:extLst>
              </c15:ser>
            </c15:filteredBarSeries>
            <c15:filteredBarSeries>
              <c15:ser>
                <c:idx val="12"/>
                <c:order val="13"/>
                <c:tx>
                  <c:strRef>
                    <c:extLst xmlns:c15="http://schemas.microsoft.com/office/drawing/2012/chart">
                      <c:ext xmlns:c15="http://schemas.microsoft.com/office/drawing/2012/chart" uri="{02D57815-91ED-43cb-92C2-25804820EDAC}">
                        <c15:formulaRef>
                          <c15:sqref>'1.'!$Y$2</c15:sqref>
                        </c15:formulaRef>
                      </c:ext>
                    </c:extLst>
                    <c:strCache>
                      <c:ptCount val="1"/>
                      <c:pt idx="0">
                        <c:v>Insulation materials</c:v>
                      </c:pt>
                    </c:strCache>
                  </c:strRef>
                </c:tx>
                <c:spPr>
                  <a:solidFill>
                    <a:schemeClr val="accent5">
                      <a:lumMod val="75000"/>
                    </a:schemeClr>
                  </a:solidFill>
                </c:spPr>
                <c:invertIfNegative val="0"/>
                <c:cat>
                  <c:strRef>
                    <c:extLst xmlns:c15="http://schemas.microsoft.com/office/drawing/2012/chart">
                      <c:ext xmlns:c15="http://schemas.microsoft.com/office/drawing/2012/chart" uri="{02D57815-91ED-43cb-92C2-25804820EDAC}">
                        <c15:formulaRef>
                          <c15:sqref>'1.'!$B$10:$B$18</c15:sqref>
                        </c15:formulaRef>
                      </c:ext>
                    </c:extLst>
                    <c:strCache>
                      <c:ptCount val="9"/>
                      <c:pt idx="0">
                        <c:v>Bridges</c:v>
                      </c:pt>
                      <c:pt idx="1">
                        <c:v>Pumping stations</c:v>
                      </c:pt>
                      <c:pt idx="2">
                        <c:v>Non-asphalt road surface</c:v>
                      </c:pt>
                      <c:pt idx="3">
                        <c:v>Sluices</c:v>
                      </c:pt>
                      <c:pt idx="4">
                        <c:v>Roads</c:v>
                      </c:pt>
                      <c:pt idx="5">
                        <c:v>Tunnels</c:v>
                      </c:pt>
                      <c:pt idx="6">
                        <c:v>Viaducts</c:v>
                      </c:pt>
                      <c:pt idx="7">
                        <c:v>Coastal defense</c:v>
                      </c:pt>
                      <c:pt idx="8">
                        <c:v>Railway tracks</c:v>
                      </c:pt>
                    </c:strCache>
                  </c:strRef>
                </c:cat>
                <c:val>
                  <c:numRef>
                    <c:extLst xmlns:c15="http://schemas.microsoft.com/office/drawing/2012/chart">
                      <c:ext xmlns:c15="http://schemas.microsoft.com/office/drawing/2012/chart" uri="{02D57815-91ED-43cb-92C2-25804820EDAC}">
                        <c15:formulaRef>
                          <c15:sqref>'1.'!$Y$10:$Y$18</c15:sqref>
                        </c15:formulaRef>
                      </c:ext>
                    </c:extLst>
                    <c:numCache>
                      <c:formatCode>0.00E+00</c:formatCode>
                      <c:ptCount val="9"/>
                      <c:pt idx="8">
                        <c:v>1566.1667838471578</c:v>
                      </c:pt>
                    </c:numCache>
                  </c:numRef>
                </c:val>
                <c:extLst xmlns:c15="http://schemas.microsoft.com/office/drawing/2012/chart">
                  <c:ext xmlns:c16="http://schemas.microsoft.com/office/drawing/2014/chart" uri="{C3380CC4-5D6E-409C-BE32-E72D297353CC}">
                    <c16:uniqueId val="{0000002B-A9F5-4C1B-80F5-05064DED2E11}"/>
                  </c:ext>
                </c:extLst>
              </c15:ser>
            </c15:filteredBarSeries>
            <c15:filteredBarSeries>
              <c15:ser>
                <c:idx val="14"/>
                <c:order val="14"/>
                <c:tx>
                  <c:strRef>
                    <c:extLst xmlns:c15="http://schemas.microsoft.com/office/drawing/2012/chart">
                      <c:ext xmlns:c15="http://schemas.microsoft.com/office/drawing/2012/chart" uri="{02D57815-91ED-43cb-92C2-25804820EDAC}">
                        <c15:formulaRef>
                          <c15:sqref>'1.'!$Z$2</c15:sqref>
                        </c15:formulaRef>
                      </c:ext>
                    </c:extLst>
                    <c:strCache>
                      <c:ptCount val="1"/>
                      <c:pt idx="0">
                        <c:v>Other materials</c:v>
                      </c:pt>
                    </c:strCache>
                  </c:strRef>
                </c:tx>
                <c:spPr>
                  <a:solidFill>
                    <a:srgbClr val="6699FF"/>
                  </a:solidFill>
                </c:spPr>
                <c:invertIfNegative val="0"/>
                <c:cat>
                  <c:strRef>
                    <c:extLst xmlns:c15="http://schemas.microsoft.com/office/drawing/2012/chart">
                      <c:ext xmlns:c15="http://schemas.microsoft.com/office/drawing/2012/chart" uri="{02D57815-91ED-43cb-92C2-25804820EDAC}">
                        <c15:formulaRef>
                          <c15:sqref>'1.'!$B$10:$B$18</c15:sqref>
                        </c15:formulaRef>
                      </c:ext>
                    </c:extLst>
                    <c:strCache>
                      <c:ptCount val="9"/>
                      <c:pt idx="0">
                        <c:v>Bridges</c:v>
                      </c:pt>
                      <c:pt idx="1">
                        <c:v>Pumping stations</c:v>
                      </c:pt>
                      <c:pt idx="2">
                        <c:v>Non-asphalt road surface</c:v>
                      </c:pt>
                      <c:pt idx="3">
                        <c:v>Sluices</c:v>
                      </c:pt>
                      <c:pt idx="4">
                        <c:v>Roads</c:v>
                      </c:pt>
                      <c:pt idx="5">
                        <c:v>Tunnels</c:v>
                      </c:pt>
                      <c:pt idx="6">
                        <c:v>Viaducts</c:v>
                      </c:pt>
                      <c:pt idx="7">
                        <c:v>Coastal defense</c:v>
                      </c:pt>
                      <c:pt idx="8">
                        <c:v>Railway tracks</c:v>
                      </c:pt>
                    </c:strCache>
                  </c:strRef>
                </c:cat>
                <c:val>
                  <c:numRef>
                    <c:extLst xmlns:c15="http://schemas.microsoft.com/office/drawing/2012/chart">
                      <c:ext xmlns:c15="http://schemas.microsoft.com/office/drawing/2012/chart" uri="{02D57815-91ED-43cb-92C2-25804820EDAC}">
                        <c15:formulaRef>
                          <c15:sqref>'1.'!$Z$10:$Z$18</c15:sqref>
                        </c15:formulaRef>
                      </c:ext>
                    </c:extLst>
                    <c:numCache>
                      <c:formatCode>0.00E+00</c:formatCode>
                      <c:ptCount val="9"/>
                      <c:pt idx="4">
                        <c:v>73352.183731000012</c:v>
                      </c:pt>
                      <c:pt idx="8">
                        <c:v>536.2205003920667</c:v>
                      </c:pt>
                    </c:numCache>
                  </c:numRef>
                </c:val>
                <c:extLst xmlns:c15="http://schemas.microsoft.com/office/drawing/2012/chart">
                  <c:ext xmlns:c16="http://schemas.microsoft.com/office/drawing/2014/chart" uri="{C3380CC4-5D6E-409C-BE32-E72D297353CC}">
                    <c16:uniqueId val="{0000002D-A9F5-4C1B-80F5-05064DED2E11}"/>
                  </c:ext>
                </c:extLst>
              </c15:ser>
            </c15:filteredBarSeries>
            <c15:filteredBarSeries>
              <c15:ser>
                <c:idx val="15"/>
                <c:order val="15"/>
                <c:tx>
                  <c:strRef>
                    <c:extLst xmlns:c15="http://schemas.microsoft.com/office/drawing/2012/chart">
                      <c:ext xmlns:c15="http://schemas.microsoft.com/office/drawing/2012/chart" uri="{02D57815-91ED-43cb-92C2-25804820EDAC}">
                        <c15:formulaRef>
                          <c15:sqref>'1.'!$AA$2</c15:sqref>
                        </c15:formulaRef>
                      </c:ext>
                    </c:extLst>
                    <c:strCache>
                      <c:ptCount val="1"/>
                      <c:pt idx="0">
                        <c:v>Glass</c:v>
                      </c:pt>
                    </c:strCache>
                  </c:strRef>
                </c:tx>
                <c:spPr>
                  <a:solidFill>
                    <a:schemeClr val="tx1"/>
                  </a:solidFill>
                </c:spPr>
                <c:invertIfNegative val="0"/>
                <c:cat>
                  <c:strRef>
                    <c:extLst xmlns:c15="http://schemas.microsoft.com/office/drawing/2012/chart">
                      <c:ext xmlns:c15="http://schemas.microsoft.com/office/drawing/2012/chart" uri="{02D57815-91ED-43cb-92C2-25804820EDAC}">
                        <c15:formulaRef>
                          <c15:sqref>'1.'!$B$10:$B$18</c15:sqref>
                        </c15:formulaRef>
                      </c:ext>
                    </c:extLst>
                    <c:strCache>
                      <c:ptCount val="9"/>
                      <c:pt idx="0">
                        <c:v>Bridges</c:v>
                      </c:pt>
                      <c:pt idx="1">
                        <c:v>Pumping stations</c:v>
                      </c:pt>
                      <c:pt idx="2">
                        <c:v>Non-asphalt road surface</c:v>
                      </c:pt>
                      <c:pt idx="3">
                        <c:v>Sluices</c:v>
                      </c:pt>
                      <c:pt idx="4">
                        <c:v>Roads</c:v>
                      </c:pt>
                      <c:pt idx="5">
                        <c:v>Tunnels</c:v>
                      </c:pt>
                      <c:pt idx="6">
                        <c:v>Viaducts</c:v>
                      </c:pt>
                      <c:pt idx="7">
                        <c:v>Coastal defense</c:v>
                      </c:pt>
                      <c:pt idx="8">
                        <c:v>Railway tracks</c:v>
                      </c:pt>
                    </c:strCache>
                  </c:strRef>
                </c:cat>
                <c:val>
                  <c:numRef>
                    <c:extLst xmlns:c15="http://schemas.microsoft.com/office/drawing/2012/chart">
                      <c:ext xmlns:c15="http://schemas.microsoft.com/office/drawing/2012/chart" uri="{02D57815-91ED-43cb-92C2-25804820EDAC}">
                        <c15:formulaRef>
                          <c15:sqref>'1.'!$AA$10:$AA$18</c15:sqref>
                        </c15:formulaRef>
                      </c:ext>
                    </c:extLst>
                    <c:numCache>
                      <c:formatCode>0.00E+00</c:formatCode>
                      <c:ptCount val="9"/>
                      <c:pt idx="4">
                        <c:v>146704.36742000002</c:v>
                      </c:pt>
                      <c:pt idx="8">
                        <c:v>470.0799999999997</c:v>
                      </c:pt>
                    </c:numCache>
                  </c:numRef>
                </c:val>
                <c:extLst xmlns:c15="http://schemas.microsoft.com/office/drawing/2012/chart">
                  <c:ext xmlns:c16="http://schemas.microsoft.com/office/drawing/2014/chart" uri="{C3380CC4-5D6E-409C-BE32-E72D297353CC}">
                    <c16:uniqueId val="{0000002E-A9F5-4C1B-80F5-05064DED2E11}"/>
                  </c:ext>
                </c:extLst>
              </c15:ser>
            </c15:filteredBarSeries>
          </c:ext>
        </c:extLst>
      </c:barChart>
      <c:catAx>
        <c:axId val="2049683967"/>
        <c:scaling>
          <c:orientation val="minMax"/>
        </c:scaling>
        <c:delete val="0"/>
        <c:axPos val="b"/>
        <c:numFmt formatCode="General" sourceLinked="1"/>
        <c:majorTickMark val="none"/>
        <c:minorTickMark val="none"/>
        <c:tickLblPos val="nextTo"/>
        <c:spPr>
          <a:noFill/>
          <a:ln w="9525" cap="flat" cmpd="sng" algn="ctr">
            <a:solidFill>
              <a:schemeClr val="tx1"/>
            </a:solidFill>
            <a:round/>
          </a:ln>
          <a:effectLst/>
        </c:spPr>
        <c:txPr>
          <a:bodyPr rot="-60000000" vert="horz"/>
          <a:lstStyle/>
          <a:p>
            <a:pPr>
              <a:defRPr/>
            </a:pPr>
            <a:endParaRPr lang="nl-NL"/>
          </a:p>
        </c:txPr>
        <c:crossAx val="2049684383"/>
        <c:crosses val="autoZero"/>
        <c:auto val="1"/>
        <c:lblAlgn val="ctr"/>
        <c:lblOffset val="100"/>
        <c:noMultiLvlLbl val="0"/>
      </c:catAx>
      <c:valAx>
        <c:axId val="2049684383"/>
        <c:scaling>
          <c:orientation val="minMax"/>
        </c:scaling>
        <c:delete val="0"/>
        <c:axPos val="l"/>
        <c:title>
          <c:tx>
            <c:rich>
              <a:bodyPr rot="-5400000" vert="horz"/>
              <a:lstStyle/>
              <a:p>
                <a:pPr>
                  <a:defRPr b="1"/>
                </a:pPr>
                <a:r>
                  <a:rPr lang="en-US" b="1"/>
                  <a:t>ton</a:t>
                </a:r>
              </a:p>
            </c:rich>
          </c:tx>
          <c:overlay val="0"/>
          <c:spPr>
            <a:noFill/>
            <a:ln>
              <a:noFill/>
            </a:ln>
            <a:effectLst/>
          </c:spPr>
        </c:title>
        <c:numFmt formatCode="0.00E+00" sourceLinked="1"/>
        <c:majorTickMark val="none"/>
        <c:minorTickMark val="none"/>
        <c:tickLblPos val="nextTo"/>
        <c:spPr>
          <a:noFill/>
          <a:ln>
            <a:solidFill>
              <a:schemeClr val="tx1"/>
            </a:solidFill>
          </a:ln>
          <a:effectLst/>
        </c:spPr>
        <c:txPr>
          <a:bodyPr rot="-60000000" vert="horz"/>
          <a:lstStyle/>
          <a:p>
            <a:pPr>
              <a:defRPr/>
            </a:pPr>
            <a:endParaRPr lang="nl-NL"/>
          </a:p>
        </c:txPr>
        <c:crossAx val="2049683967"/>
        <c:crosses val="autoZero"/>
        <c:crossBetween val="between"/>
      </c:valAx>
    </c:plotArea>
    <c:legend>
      <c:legendPos val="r"/>
      <c:layout>
        <c:manualLayout>
          <c:xMode val="edge"/>
          <c:yMode val="edge"/>
          <c:x val="0.75640167072139231"/>
          <c:y val="7.5316681219296994E-2"/>
          <c:w val="0.20559936626681122"/>
          <c:h val="0.83571954244684155"/>
        </c:manualLayout>
      </c:layout>
      <c:overlay val="0"/>
      <c:spPr>
        <a:ln>
          <a:solidFill>
            <a:schemeClr val="tx1"/>
          </a:solidFill>
        </a:ln>
      </c:spPr>
      <c:txPr>
        <a:bodyPr rot="0" vert="horz"/>
        <a:lstStyle/>
        <a:p>
          <a:pPr>
            <a:defRPr/>
          </a:pPr>
          <a:endParaRPr lang="nl-NL"/>
        </a:p>
      </c:txPr>
    </c:legend>
    <c:plotVisOnly val="1"/>
    <c:dispBlanksAs val="gap"/>
    <c:showDLblsOverMax val="0"/>
    <c:extLst/>
  </c:chart>
  <c:spPr>
    <a:solidFill>
      <a:schemeClr val="bg1"/>
    </a:solidFill>
    <a:ln w="9525" cap="flat" cmpd="sng" algn="ctr">
      <a:noFill/>
      <a:round/>
    </a:ln>
    <a:effectLst/>
  </c:spPr>
  <c:txPr>
    <a:bodyPr/>
    <a:lstStyle/>
    <a:p>
      <a:pPr>
        <a:defRPr sz="800" b="0">
          <a:solidFill>
            <a:sysClr val="windowText" lastClr="000000"/>
          </a:solidFill>
          <a:latin typeface="Avenir Next LT Pro" panose="020B0504020202020204" pitchFamily="34" charset="0"/>
        </a:defRPr>
      </a:pPr>
      <a:endParaRPr lang="nl-NL"/>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nl-NL" b="1"/>
              <a:t>In-use</a:t>
            </a:r>
            <a:r>
              <a:rPr lang="nl-NL" b="1" baseline="0"/>
              <a:t> stocks of m</a:t>
            </a:r>
            <a:r>
              <a:rPr lang="nl-NL" b="1"/>
              <a:t>aterials in vehicles, the Netherlands,</a:t>
            </a:r>
            <a:r>
              <a:rPr lang="nl-NL" b="1" baseline="0"/>
              <a:t> ca.2020</a:t>
            </a:r>
            <a:endParaRPr lang="nl-NL" b="1"/>
          </a:p>
        </c:rich>
      </c:tx>
      <c:layout>
        <c:manualLayout>
          <c:xMode val="edge"/>
          <c:yMode val="edge"/>
          <c:x val="0.17371583457664072"/>
          <c:y val="6.3562450107230353E-3"/>
        </c:manualLayout>
      </c:layout>
      <c:overlay val="0"/>
    </c:title>
    <c:autoTitleDeleted val="0"/>
    <c:plotArea>
      <c:layout>
        <c:manualLayout>
          <c:layoutTarget val="inner"/>
          <c:xMode val="edge"/>
          <c:yMode val="edge"/>
          <c:x val="0.16395795234160826"/>
          <c:y val="6.0033733142812816E-2"/>
          <c:w val="0.59317763756816866"/>
          <c:h val="0.6563821454579124"/>
        </c:manualLayout>
      </c:layout>
      <c:barChart>
        <c:barDir val="col"/>
        <c:grouping val="stacked"/>
        <c:varyColors val="0"/>
        <c:ser>
          <c:idx val="4"/>
          <c:order val="0"/>
          <c:tx>
            <c:strRef>
              <c:f>'1.'!$N$2</c:f>
              <c:strCache>
                <c:ptCount val="1"/>
                <c:pt idx="0">
                  <c:v>Iron and steel</c:v>
                </c:pt>
              </c:strCache>
            </c:strRef>
          </c:tx>
          <c:spPr>
            <a:solidFill>
              <a:srgbClr val="4D9782"/>
            </a:solidFill>
            <a:ln>
              <a:noFill/>
            </a:ln>
            <a:effectLst/>
          </c:spPr>
          <c:invertIfNegative val="0"/>
          <c:cat>
            <c:strRef>
              <c:f>'1.'!$B$38:$B$44</c:f>
              <c:strCache>
                <c:ptCount val="7"/>
                <c:pt idx="0">
                  <c:v>Aeroplanes</c:v>
                </c:pt>
                <c:pt idx="1">
                  <c:v>(Motor)cycles</c:v>
                </c:pt>
                <c:pt idx="2">
                  <c:v>Ships</c:v>
                </c:pt>
                <c:pt idx="3">
                  <c:v>Trains</c:v>
                </c:pt>
                <c:pt idx="4">
                  <c:v>Passenger cars</c:v>
                </c:pt>
                <c:pt idx="5">
                  <c:v>Lorries, vans and trucks</c:v>
                </c:pt>
                <c:pt idx="6">
                  <c:v>Buses</c:v>
                </c:pt>
              </c:strCache>
            </c:strRef>
          </c:cat>
          <c:val>
            <c:numRef>
              <c:f>'1.'!$N$38:$N$44</c:f>
              <c:numCache>
                <c:formatCode>0.00E+00</c:formatCode>
                <c:ptCount val="7"/>
                <c:pt idx="0">
                  <c:v>2816.4769917236968</c:v>
                </c:pt>
                <c:pt idx="1">
                  <c:v>217910.88309484272</c:v>
                </c:pt>
                <c:pt idx="2">
                  <c:v>21506497.856162097</c:v>
                </c:pt>
                <c:pt idx="3">
                  <c:v>79822.948545680905</c:v>
                </c:pt>
                <c:pt idx="4">
                  <c:v>6185477.1215588963</c:v>
                </c:pt>
                <c:pt idx="5">
                  <c:v>1447544.0073732319</c:v>
                </c:pt>
                <c:pt idx="6">
                  <c:v>72249.122665133647</c:v>
                </c:pt>
              </c:numCache>
            </c:numRef>
          </c:val>
          <c:extLst>
            <c:ext xmlns:c16="http://schemas.microsoft.com/office/drawing/2014/chart" uri="{C3380CC4-5D6E-409C-BE32-E72D297353CC}">
              <c16:uniqueId val="{0000000E-8A2D-469F-B66E-5CB26A3D6D1A}"/>
            </c:ext>
          </c:extLst>
        </c:ser>
        <c:ser>
          <c:idx val="5"/>
          <c:order val="1"/>
          <c:tx>
            <c:strRef>
              <c:f>'1.'!$O$2</c:f>
              <c:strCache>
                <c:ptCount val="1"/>
                <c:pt idx="0">
                  <c:v>Copper</c:v>
                </c:pt>
              </c:strCache>
            </c:strRef>
          </c:tx>
          <c:spPr>
            <a:solidFill>
              <a:srgbClr val="FF7F51"/>
            </a:solidFill>
            <a:ln>
              <a:noFill/>
            </a:ln>
            <a:effectLst/>
          </c:spPr>
          <c:invertIfNegative val="0"/>
          <c:cat>
            <c:strRef>
              <c:f>'1.'!$B$38:$B$44</c:f>
              <c:strCache>
                <c:ptCount val="7"/>
                <c:pt idx="0">
                  <c:v>Aeroplanes</c:v>
                </c:pt>
                <c:pt idx="1">
                  <c:v>(Motor)cycles</c:v>
                </c:pt>
                <c:pt idx="2">
                  <c:v>Ships</c:v>
                </c:pt>
                <c:pt idx="3">
                  <c:v>Trains</c:v>
                </c:pt>
                <c:pt idx="4">
                  <c:v>Passenger cars</c:v>
                </c:pt>
                <c:pt idx="5">
                  <c:v>Lorries, vans and trucks</c:v>
                </c:pt>
                <c:pt idx="6">
                  <c:v>Buses</c:v>
                </c:pt>
              </c:strCache>
            </c:strRef>
          </c:cat>
          <c:val>
            <c:numRef>
              <c:f>'1.'!$O$38:$O$44</c:f>
              <c:numCache>
                <c:formatCode>0.00E+00</c:formatCode>
                <c:ptCount val="7"/>
                <c:pt idx="0">
                  <c:v>2.1485123595637008</c:v>
                </c:pt>
                <c:pt idx="1">
                  <c:v>1678.0645611840671</c:v>
                </c:pt>
                <c:pt idx="2">
                  <c:v>907140.11356455891</c:v>
                </c:pt>
                <c:pt idx="3">
                  <c:v>8611.0543958479466</c:v>
                </c:pt>
                <c:pt idx="4">
                  <c:v>283889.44394011854</c:v>
                </c:pt>
                <c:pt idx="5">
                  <c:v>44497.978687090908</c:v>
                </c:pt>
                <c:pt idx="6">
                  <c:v>1160.7054549138611</c:v>
                </c:pt>
              </c:numCache>
            </c:numRef>
          </c:val>
          <c:extLst>
            <c:ext xmlns:c16="http://schemas.microsoft.com/office/drawing/2014/chart" uri="{C3380CC4-5D6E-409C-BE32-E72D297353CC}">
              <c16:uniqueId val="{00000010-8A2D-469F-B66E-5CB26A3D6D1A}"/>
            </c:ext>
          </c:extLst>
        </c:ser>
        <c:ser>
          <c:idx val="6"/>
          <c:order val="2"/>
          <c:tx>
            <c:strRef>
              <c:f>'1.'!$P$2</c:f>
              <c:strCache>
                <c:ptCount val="1"/>
                <c:pt idx="0">
                  <c:v>Aluminium</c:v>
                </c:pt>
              </c:strCache>
            </c:strRef>
          </c:tx>
          <c:spPr>
            <a:solidFill>
              <a:schemeClr val="accent1">
                <a:lumMod val="60000"/>
                <a:lumOff val="40000"/>
              </a:schemeClr>
            </a:solidFill>
            <a:ln>
              <a:noFill/>
            </a:ln>
            <a:effectLst/>
          </c:spPr>
          <c:invertIfNegative val="0"/>
          <c:cat>
            <c:strRef>
              <c:f>'1.'!$B$38:$B$44</c:f>
              <c:strCache>
                <c:ptCount val="7"/>
                <c:pt idx="0">
                  <c:v>Aeroplanes</c:v>
                </c:pt>
                <c:pt idx="1">
                  <c:v>(Motor)cycles</c:v>
                </c:pt>
                <c:pt idx="2">
                  <c:v>Ships</c:v>
                </c:pt>
                <c:pt idx="3">
                  <c:v>Trains</c:v>
                </c:pt>
                <c:pt idx="4">
                  <c:v>Passenger cars</c:v>
                </c:pt>
                <c:pt idx="5">
                  <c:v>Lorries, vans and trucks</c:v>
                </c:pt>
                <c:pt idx="6">
                  <c:v>Buses</c:v>
                </c:pt>
              </c:strCache>
            </c:strRef>
          </c:cat>
          <c:val>
            <c:numRef>
              <c:f>'1.'!$P$38:$P$44</c:f>
              <c:numCache>
                <c:formatCode>0.00E+00</c:formatCode>
                <c:ptCount val="7"/>
                <c:pt idx="0">
                  <c:v>13031.181335885811</c:v>
                </c:pt>
                <c:pt idx="1">
                  <c:v>213338.35232697995</c:v>
                </c:pt>
                <c:pt idx="2">
                  <c:v>7916.0775081492211</c:v>
                </c:pt>
                <c:pt idx="3">
                  <c:v>21382.350717086356</c:v>
                </c:pt>
                <c:pt idx="4">
                  <c:v>791314.05411040888</c:v>
                </c:pt>
                <c:pt idx="5">
                  <c:v>141267.49444319989</c:v>
                </c:pt>
                <c:pt idx="6">
                  <c:v>17783.28541014815</c:v>
                </c:pt>
              </c:numCache>
            </c:numRef>
          </c:val>
          <c:extLst>
            <c:ext xmlns:c16="http://schemas.microsoft.com/office/drawing/2014/chart" uri="{C3380CC4-5D6E-409C-BE32-E72D297353CC}">
              <c16:uniqueId val="{00000012-8A2D-469F-B66E-5CB26A3D6D1A}"/>
            </c:ext>
          </c:extLst>
        </c:ser>
        <c:ser>
          <c:idx val="7"/>
          <c:order val="3"/>
          <c:tx>
            <c:strRef>
              <c:f>'1.'!$Q$2</c:f>
              <c:strCache>
                <c:ptCount val="1"/>
                <c:pt idx="0">
                  <c:v>Zinc</c:v>
                </c:pt>
              </c:strCache>
            </c:strRef>
          </c:tx>
          <c:spPr>
            <a:solidFill>
              <a:srgbClr val="FFFF00"/>
            </a:solidFill>
            <a:ln>
              <a:noFill/>
            </a:ln>
            <a:effectLst/>
          </c:spPr>
          <c:invertIfNegative val="0"/>
          <c:cat>
            <c:strRef>
              <c:f>'1.'!$B$38:$B$44</c:f>
              <c:strCache>
                <c:ptCount val="7"/>
                <c:pt idx="0">
                  <c:v>Aeroplanes</c:v>
                </c:pt>
                <c:pt idx="1">
                  <c:v>(Motor)cycles</c:v>
                </c:pt>
                <c:pt idx="2">
                  <c:v>Ships</c:v>
                </c:pt>
                <c:pt idx="3">
                  <c:v>Trains</c:v>
                </c:pt>
                <c:pt idx="4">
                  <c:v>Passenger cars</c:v>
                </c:pt>
                <c:pt idx="5">
                  <c:v>Lorries, vans and trucks</c:v>
                </c:pt>
                <c:pt idx="6">
                  <c:v>Buses</c:v>
                </c:pt>
              </c:strCache>
            </c:strRef>
          </c:cat>
          <c:val>
            <c:numRef>
              <c:f>'1.'!$Q$38:$Q$44</c:f>
              <c:numCache>
                <c:formatCode>0.00E+00</c:formatCode>
                <c:ptCount val="7"/>
                <c:pt idx="0">
                  <c:v>2.1485123595637008</c:v>
                </c:pt>
                <c:pt idx="1">
                  <c:v>458.02291797514772</c:v>
                </c:pt>
                <c:pt idx="5">
                  <c:v>1683.2624983110368</c:v>
                </c:pt>
              </c:numCache>
            </c:numRef>
          </c:val>
          <c:extLst>
            <c:ext xmlns:c16="http://schemas.microsoft.com/office/drawing/2014/chart" uri="{C3380CC4-5D6E-409C-BE32-E72D297353CC}">
              <c16:uniqueId val="{00000014-8A2D-469F-B66E-5CB26A3D6D1A}"/>
            </c:ext>
          </c:extLst>
        </c:ser>
        <c:ser>
          <c:idx val="8"/>
          <c:order val="4"/>
          <c:tx>
            <c:strRef>
              <c:f>'1.'!$R$2</c:f>
              <c:strCache>
                <c:ptCount val="1"/>
                <c:pt idx="0">
                  <c:v>Lead</c:v>
                </c:pt>
              </c:strCache>
            </c:strRef>
          </c:tx>
          <c:spPr>
            <a:solidFill>
              <a:schemeClr val="accent1">
                <a:lumMod val="20000"/>
                <a:lumOff val="80000"/>
              </a:schemeClr>
            </a:solidFill>
            <a:ln>
              <a:noFill/>
            </a:ln>
            <a:effectLst/>
          </c:spPr>
          <c:invertIfNegative val="0"/>
          <c:cat>
            <c:strRef>
              <c:f>'1.'!$B$38:$B$44</c:f>
              <c:strCache>
                <c:ptCount val="7"/>
                <c:pt idx="0">
                  <c:v>Aeroplanes</c:v>
                </c:pt>
                <c:pt idx="1">
                  <c:v>(Motor)cycles</c:v>
                </c:pt>
                <c:pt idx="2">
                  <c:v>Ships</c:v>
                </c:pt>
                <c:pt idx="3">
                  <c:v>Trains</c:v>
                </c:pt>
                <c:pt idx="4">
                  <c:v>Passenger cars</c:v>
                </c:pt>
                <c:pt idx="5">
                  <c:v>Lorries, vans and trucks</c:v>
                </c:pt>
                <c:pt idx="6">
                  <c:v>Buses</c:v>
                </c:pt>
              </c:strCache>
            </c:strRef>
          </c:cat>
          <c:val>
            <c:numRef>
              <c:f>'1.'!$R$38:$R$44</c:f>
              <c:numCache>
                <c:formatCode>0.00E+00</c:formatCode>
                <c:ptCount val="7"/>
                <c:pt idx="0">
                  <c:v>0</c:v>
                </c:pt>
                <c:pt idx="1">
                  <c:v>1011.1228315255595</c:v>
                </c:pt>
                <c:pt idx="3">
                  <c:v>24.582335992457459</c:v>
                </c:pt>
                <c:pt idx="6">
                  <c:v>958.38065084630762</c:v>
                </c:pt>
              </c:numCache>
            </c:numRef>
          </c:val>
          <c:extLst>
            <c:ext xmlns:c16="http://schemas.microsoft.com/office/drawing/2014/chart" uri="{C3380CC4-5D6E-409C-BE32-E72D297353CC}">
              <c16:uniqueId val="{00000016-8A2D-469F-B66E-5CB26A3D6D1A}"/>
            </c:ext>
          </c:extLst>
        </c:ser>
        <c:ser>
          <c:idx val="11"/>
          <c:order val="7"/>
          <c:tx>
            <c:strRef>
              <c:f>'1.'!$V$2</c:f>
              <c:strCache>
                <c:ptCount val="1"/>
                <c:pt idx="0">
                  <c:v>Other biobased materials</c:v>
                </c:pt>
              </c:strCache>
            </c:strRef>
          </c:tx>
          <c:spPr>
            <a:solidFill>
              <a:schemeClr val="accent6">
                <a:lumMod val="75000"/>
              </a:schemeClr>
            </a:solidFill>
            <a:ln>
              <a:noFill/>
            </a:ln>
            <a:effectLst/>
          </c:spPr>
          <c:invertIfNegative val="0"/>
          <c:cat>
            <c:strRef>
              <c:f>'1.'!$B$38:$B$44</c:f>
              <c:strCache>
                <c:ptCount val="7"/>
                <c:pt idx="0">
                  <c:v>Aeroplanes</c:v>
                </c:pt>
                <c:pt idx="1">
                  <c:v>(Motor)cycles</c:v>
                </c:pt>
                <c:pt idx="2">
                  <c:v>Ships</c:v>
                </c:pt>
                <c:pt idx="3">
                  <c:v>Trains</c:v>
                </c:pt>
                <c:pt idx="4">
                  <c:v>Passenger cars</c:v>
                </c:pt>
                <c:pt idx="5">
                  <c:v>Lorries, vans and trucks</c:v>
                </c:pt>
                <c:pt idx="6">
                  <c:v>Buses</c:v>
                </c:pt>
              </c:strCache>
            </c:strRef>
          </c:cat>
          <c:val>
            <c:numRef>
              <c:f>'1.'!$V$38:$V$44</c:f>
              <c:numCache>
                <c:formatCode>0.00E+00</c:formatCode>
                <c:ptCount val="7"/>
                <c:pt idx="0">
                  <c:v>64.590550600722352</c:v>
                </c:pt>
                <c:pt idx="2">
                  <c:v>744520.90712005971</c:v>
                </c:pt>
                <c:pt idx="3">
                  <c:v>41.64042085414372</c:v>
                </c:pt>
                <c:pt idx="4">
                  <c:v>495.74712643678163</c:v>
                </c:pt>
                <c:pt idx="5">
                  <c:v>840.18013597056836</c:v>
                </c:pt>
              </c:numCache>
            </c:numRef>
          </c:val>
          <c:extLst>
            <c:ext xmlns:c16="http://schemas.microsoft.com/office/drawing/2014/chart" uri="{C3380CC4-5D6E-409C-BE32-E72D297353CC}">
              <c16:uniqueId val="{0000001C-8A2D-469F-B66E-5CB26A3D6D1A}"/>
            </c:ext>
          </c:extLst>
        </c:ser>
        <c:ser>
          <c:idx val="12"/>
          <c:order val="8"/>
          <c:tx>
            <c:strRef>
              <c:f>'1.'!$X$2</c:f>
              <c:strCache>
                <c:ptCount val="1"/>
                <c:pt idx="0">
                  <c:v>Plastics</c:v>
                </c:pt>
              </c:strCache>
            </c:strRef>
          </c:tx>
          <c:spPr>
            <a:solidFill>
              <a:srgbClr val="FFA7AB"/>
            </a:solidFill>
            <a:ln>
              <a:noFill/>
            </a:ln>
            <a:effectLst/>
          </c:spPr>
          <c:invertIfNegative val="0"/>
          <c:cat>
            <c:strRef>
              <c:f>'1.'!$B$38:$B$44</c:f>
              <c:strCache>
                <c:ptCount val="7"/>
                <c:pt idx="0">
                  <c:v>Aeroplanes</c:v>
                </c:pt>
                <c:pt idx="1">
                  <c:v>(Motor)cycles</c:v>
                </c:pt>
                <c:pt idx="2">
                  <c:v>Ships</c:v>
                </c:pt>
                <c:pt idx="3">
                  <c:v>Trains</c:v>
                </c:pt>
                <c:pt idx="4">
                  <c:v>Passenger cars</c:v>
                </c:pt>
                <c:pt idx="5">
                  <c:v>Lorries, vans and trucks</c:v>
                </c:pt>
                <c:pt idx="6">
                  <c:v>Buses</c:v>
                </c:pt>
              </c:strCache>
            </c:strRef>
          </c:cat>
          <c:val>
            <c:numRef>
              <c:f>'1.'!$X$38:$X$44</c:f>
              <c:numCache>
                <c:formatCode>0.00E+00</c:formatCode>
                <c:ptCount val="7"/>
                <c:pt idx="0">
                  <c:v>115.3475344586128</c:v>
                </c:pt>
                <c:pt idx="1">
                  <c:v>83340.602742338131</c:v>
                </c:pt>
                <c:pt idx="2">
                  <c:v>268984.76177859952</c:v>
                </c:pt>
                <c:pt idx="3">
                  <c:v>36557.134215199156</c:v>
                </c:pt>
                <c:pt idx="4">
                  <c:v>244224.81296107729</c:v>
                </c:pt>
                <c:pt idx="5">
                  <c:v>42669.777357582716</c:v>
                </c:pt>
                <c:pt idx="6">
                  <c:v>6740.6105776190288</c:v>
                </c:pt>
              </c:numCache>
            </c:numRef>
          </c:val>
          <c:extLst>
            <c:ext xmlns:c16="http://schemas.microsoft.com/office/drawing/2014/chart" uri="{C3380CC4-5D6E-409C-BE32-E72D297353CC}">
              <c16:uniqueId val="{0000001E-8A2D-469F-B66E-5CB26A3D6D1A}"/>
            </c:ext>
          </c:extLst>
        </c:ser>
        <c:ser>
          <c:idx val="13"/>
          <c:order val="9"/>
          <c:tx>
            <c:strRef>
              <c:f>'1.'!$Y$2</c:f>
              <c:strCache>
                <c:ptCount val="1"/>
                <c:pt idx="0">
                  <c:v>Insulation materials</c:v>
                </c:pt>
              </c:strCache>
            </c:strRef>
          </c:tx>
          <c:spPr>
            <a:solidFill>
              <a:schemeClr val="accent4">
                <a:lumMod val="75000"/>
              </a:schemeClr>
            </a:solidFill>
            <a:ln>
              <a:noFill/>
            </a:ln>
            <a:effectLst/>
          </c:spPr>
          <c:invertIfNegative val="0"/>
          <c:cat>
            <c:strRef>
              <c:f>'1.'!$B$38:$B$44</c:f>
              <c:strCache>
                <c:ptCount val="7"/>
                <c:pt idx="0">
                  <c:v>Aeroplanes</c:v>
                </c:pt>
                <c:pt idx="1">
                  <c:v>(Motor)cycles</c:v>
                </c:pt>
                <c:pt idx="2">
                  <c:v>Ships</c:v>
                </c:pt>
                <c:pt idx="3">
                  <c:v>Trains</c:v>
                </c:pt>
                <c:pt idx="4">
                  <c:v>Passenger cars</c:v>
                </c:pt>
                <c:pt idx="5">
                  <c:v>Lorries, vans and trucks</c:v>
                </c:pt>
                <c:pt idx="6">
                  <c:v>Buses</c:v>
                </c:pt>
              </c:strCache>
            </c:strRef>
          </c:cat>
          <c:val>
            <c:numRef>
              <c:f>'1.'!$Y$38:$Y$44</c:f>
              <c:numCache>
                <c:formatCode>0.00E+00</c:formatCode>
                <c:ptCount val="7"/>
                <c:pt idx="1">
                  <c:v>1.3363636363636361E-2</c:v>
                </c:pt>
                <c:pt idx="3">
                  <c:v>2.991006660679234</c:v>
                </c:pt>
                <c:pt idx="6">
                  <c:v>4216.8748637237532</c:v>
                </c:pt>
              </c:numCache>
            </c:numRef>
          </c:val>
          <c:extLst>
            <c:ext xmlns:c16="http://schemas.microsoft.com/office/drawing/2014/chart" uri="{C3380CC4-5D6E-409C-BE32-E72D297353CC}">
              <c16:uniqueId val="{00000020-8A2D-469F-B66E-5CB26A3D6D1A}"/>
            </c:ext>
          </c:extLst>
        </c:ser>
        <c:ser>
          <c:idx val="14"/>
          <c:order val="10"/>
          <c:tx>
            <c:strRef>
              <c:f>'1.'!$Z$2</c:f>
              <c:strCache>
                <c:ptCount val="1"/>
                <c:pt idx="0">
                  <c:v>Other materials</c:v>
                </c:pt>
              </c:strCache>
            </c:strRef>
          </c:tx>
          <c:spPr>
            <a:solidFill>
              <a:srgbClr val="6699FF"/>
            </a:solidFill>
            <a:ln>
              <a:noFill/>
            </a:ln>
            <a:effectLst/>
          </c:spPr>
          <c:invertIfNegative val="0"/>
          <c:cat>
            <c:strRef>
              <c:f>'1.'!$B$38:$B$44</c:f>
              <c:strCache>
                <c:ptCount val="7"/>
                <c:pt idx="0">
                  <c:v>Aeroplanes</c:v>
                </c:pt>
                <c:pt idx="1">
                  <c:v>(Motor)cycles</c:v>
                </c:pt>
                <c:pt idx="2">
                  <c:v>Ships</c:v>
                </c:pt>
                <c:pt idx="3">
                  <c:v>Trains</c:v>
                </c:pt>
                <c:pt idx="4">
                  <c:v>Passenger cars</c:v>
                </c:pt>
                <c:pt idx="5">
                  <c:v>Lorries, vans and trucks</c:v>
                </c:pt>
                <c:pt idx="6">
                  <c:v>Buses</c:v>
                </c:pt>
              </c:strCache>
            </c:strRef>
          </c:cat>
          <c:val>
            <c:numRef>
              <c:f>'1.'!$Z$38:$Z$44</c:f>
              <c:numCache>
                <c:formatCode>0.00E+00</c:formatCode>
                <c:ptCount val="7"/>
                <c:pt idx="0">
                  <c:v>1984.3472245765668</c:v>
                </c:pt>
                <c:pt idx="1">
                  <c:v>14933.887126433121</c:v>
                </c:pt>
                <c:pt idx="2">
                  <c:v>539400.28386653773</c:v>
                </c:pt>
                <c:pt idx="3">
                  <c:v>2956.8892687987704</c:v>
                </c:pt>
                <c:pt idx="6">
                  <c:v>4632.1731457571532</c:v>
                </c:pt>
              </c:numCache>
            </c:numRef>
          </c:val>
          <c:extLst>
            <c:ext xmlns:c16="http://schemas.microsoft.com/office/drawing/2014/chart" uri="{C3380CC4-5D6E-409C-BE32-E72D297353CC}">
              <c16:uniqueId val="{00000022-8A2D-469F-B66E-5CB26A3D6D1A}"/>
            </c:ext>
          </c:extLst>
        </c:ser>
        <c:ser>
          <c:idx val="15"/>
          <c:order val="11"/>
          <c:tx>
            <c:strRef>
              <c:f>'1.'!$AA$2</c:f>
              <c:strCache>
                <c:ptCount val="1"/>
                <c:pt idx="0">
                  <c:v>Glass</c:v>
                </c:pt>
              </c:strCache>
            </c:strRef>
          </c:tx>
          <c:spPr>
            <a:solidFill>
              <a:schemeClr val="tx1"/>
            </a:solidFill>
          </c:spPr>
          <c:invertIfNegative val="0"/>
          <c:cat>
            <c:strRef>
              <c:f>'1.'!$B$38:$B$44</c:f>
              <c:strCache>
                <c:ptCount val="7"/>
                <c:pt idx="0">
                  <c:v>Aeroplanes</c:v>
                </c:pt>
                <c:pt idx="1">
                  <c:v>(Motor)cycles</c:v>
                </c:pt>
                <c:pt idx="2">
                  <c:v>Ships</c:v>
                </c:pt>
                <c:pt idx="3">
                  <c:v>Trains</c:v>
                </c:pt>
                <c:pt idx="4">
                  <c:v>Passenger cars</c:v>
                </c:pt>
                <c:pt idx="5">
                  <c:v>Lorries, vans and trucks</c:v>
                </c:pt>
                <c:pt idx="6">
                  <c:v>Buses</c:v>
                </c:pt>
              </c:strCache>
            </c:strRef>
          </c:cat>
          <c:val>
            <c:numRef>
              <c:f>'1.'!$AA$38:$AA$44</c:f>
              <c:numCache>
                <c:formatCode>0.00E+00</c:formatCode>
                <c:ptCount val="7"/>
                <c:pt idx="0">
                  <c:v>0</c:v>
                </c:pt>
                <c:pt idx="1">
                  <c:v>4.348533996988199E-4</c:v>
                </c:pt>
                <c:pt idx="2">
                  <c:v>0</c:v>
                </c:pt>
                <c:pt idx="3">
                  <c:v>5817.4090938795871</c:v>
                </c:pt>
                <c:pt idx="6">
                  <c:v>5217.8502101632293</c:v>
                </c:pt>
              </c:numCache>
            </c:numRef>
          </c:val>
          <c:extLst>
            <c:ext xmlns:c16="http://schemas.microsoft.com/office/drawing/2014/chart" uri="{C3380CC4-5D6E-409C-BE32-E72D297353CC}">
              <c16:uniqueId val="{00000024-8A2D-469F-B66E-5CB26A3D6D1A}"/>
            </c:ext>
          </c:extLst>
        </c:ser>
        <c:ser>
          <c:idx val="0"/>
          <c:order val="12"/>
          <c:tx>
            <c:strRef>
              <c:f>'1.'!$BE$2</c:f>
              <c:strCache>
                <c:ptCount val="1"/>
                <c:pt idx="0">
                  <c:v>Total CRM</c:v>
                </c:pt>
              </c:strCache>
            </c:strRef>
          </c:tx>
          <c:spPr>
            <a:solidFill>
              <a:srgbClr val="8C386A"/>
            </a:solidFill>
            <a:ln>
              <a:noFill/>
            </a:ln>
            <a:effectLst/>
          </c:spPr>
          <c:invertIfNegative val="0"/>
          <c:cat>
            <c:strRef>
              <c:f>'1.'!$B$38:$B$44</c:f>
              <c:strCache>
                <c:ptCount val="7"/>
                <c:pt idx="0">
                  <c:v>Aeroplanes</c:v>
                </c:pt>
                <c:pt idx="1">
                  <c:v>(Motor)cycles</c:v>
                </c:pt>
                <c:pt idx="2">
                  <c:v>Ships</c:v>
                </c:pt>
                <c:pt idx="3">
                  <c:v>Trains</c:v>
                </c:pt>
                <c:pt idx="4">
                  <c:v>Passenger cars</c:v>
                </c:pt>
                <c:pt idx="5">
                  <c:v>Lorries, vans and trucks</c:v>
                </c:pt>
                <c:pt idx="6">
                  <c:v>Buses</c:v>
                </c:pt>
              </c:strCache>
            </c:strRef>
          </c:cat>
          <c:val>
            <c:numRef>
              <c:f>'1.'!$BE$38:$BE$44</c:f>
              <c:numCache>
                <c:formatCode>0.00E+00</c:formatCode>
                <c:ptCount val="7"/>
                <c:pt idx="0">
                  <c:v>1832.5568130714819</c:v>
                </c:pt>
                <c:pt idx="1">
                  <c:v>734.9019135112045</c:v>
                </c:pt>
                <c:pt idx="4">
                  <c:v>3623.8122165030986</c:v>
                </c:pt>
                <c:pt idx="5">
                  <c:v>249.10608984827451</c:v>
                </c:pt>
                <c:pt idx="6">
                  <c:v>0</c:v>
                </c:pt>
              </c:numCache>
            </c:numRef>
          </c:val>
          <c:extLst>
            <c:ext xmlns:c16="http://schemas.microsoft.com/office/drawing/2014/chart" uri="{C3380CC4-5D6E-409C-BE32-E72D297353CC}">
              <c16:uniqueId val="{00000026-8A2D-469F-B66E-5CB26A3D6D1A}"/>
            </c:ext>
          </c:extLst>
        </c:ser>
        <c:dLbls>
          <c:showLegendKey val="0"/>
          <c:showVal val="0"/>
          <c:showCatName val="0"/>
          <c:showSerName val="0"/>
          <c:showPercent val="0"/>
          <c:showBubbleSize val="0"/>
        </c:dLbls>
        <c:gapWidth val="70"/>
        <c:overlap val="100"/>
        <c:axId val="2049683967"/>
        <c:axId val="2049684383"/>
        <c:extLst>
          <c:ext xmlns:c15="http://schemas.microsoft.com/office/drawing/2012/chart" uri="{02D57815-91ED-43cb-92C2-25804820EDAC}">
            <c15:filteredBarSeries>
              <c15:ser>
                <c:idx val="9"/>
                <c:order val="5"/>
                <c:tx>
                  <c:strRef>
                    <c:extLst>
                      <c:ext uri="{02D57815-91ED-43cb-92C2-25804820EDAC}">
                        <c15:formulaRef>
                          <c15:sqref>'1.'!$S$2</c15:sqref>
                        </c15:formulaRef>
                      </c:ext>
                    </c:extLst>
                    <c:strCache>
                      <c:ptCount val="1"/>
                      <c:pt idx="0">
                        <c:v>Alloying elements (non critical)</c:v>
                      </c:pt>
                    </c:strCache>
                  </c:strRef>
                </c:tx>
                <c:spPr>
                  <a:solidFill>
                    <a:srgbClr val="E3E385"/>
                  </a:solidFill>
                  <a:ln>
                    <a:noFill/>
                  </a:ln>
                  <a:effectLst/>
                </c:spPr>
                <c:invertIfNegative val="0"/>
                <c:cat>
                  <c:strRef>
                    <c:extLst>
                      <c:ext uri="{02D57815-91ED-43cb-92C2-25804820EDAC}">
                        <c15:formulaRef>
                          <c15:sqref>'1.'!$B$38:$B$44</c15:sqref>
                        </c15:formulaRef>
                      </c:ext>
                    </c:extLst>
                    <c:strCache>
                      <c:ptCount val="7"/>
                      <c:pt idx="0">
                        <c:v>Aeroplanes</c:v>
                      </c:pt>
                      <c:pt idx="1">
                        <c:v>(Motor)cycles</c:v>
                      </c:pt>
                      <c:pt idx="2">
                        <c:v>Ships</c:v>
                      </c:pt>
                      <c:pt idx="3">
                        <c:v>Trains</c:v>
                      </c:pt>
                      <c:pt idx="4">
                        <c:v>Passenger cars</c:v>
                      </c:pt>
                      <c:pt idx="5">
                        <c:v>Lorries, vans and trucks</c:v>
                      </c:pt>
                      <c:pt idx="6">
                        <c:v>Buses</c:v>
                      </c:pt>
                    </c:strCache>
                  </c:strRef>
                </c:cat>
                <c:val>
                  <c:numRef>
                    <c:extLst>
                      <c:ext uri="{02D57815-91ED-43cb-92C2-25804820EDAC}">
                        <c15:formulaRef>
                          <c15:sqref>'1.'!$S$38:$S$44</c15:sqref>
                        </c15:formulaRef>
                      </c:ext>
                    </c:extLst>
                    <c:numCache>
                      <c:formatCode>0.00E+00</c:formatCode>
                      <c:ptCount val="7"/>
                      <c:pt idx="0">
                        <c:v>958.74440605225755</c:v>
                      </c:pt>
                      <c:pt idx="1">
                        <c:v>296.09225339190391</c:v>
                      </c:pt>
                      <c:pt idx="4">
                        <c:v>90931.844971726052</c:v>
                      </c:pt>
                      <c:pt idx="5">
                        <c:v>14248.15932153752</c:v>
                      </c:pt>
                    </c:numCache>
                  </c:numRef>
                </c:val>
                <c:extLst>
                  <c:ext xmlns:c16="http://schemas.microsoft.com/office/drawing/2014/chart" uri="{C3380CC4-5D6E-409C-BE32-E72D297353CC}">
                    <c16:uniqueId val="{00000018-8A2D-469F-B66E-5CB26A3D6D1A}"/>
                  </c:ext>
                </c:extLst>
              </c15:ser>
            </c15:filteredBarSeries>
            <c15:filteredBarSeries>
              <c15:ser>
                <c:idx val="10"/>
                <c:order val="6"/>
                <c:tx>
                  <c:strRef>
                    <c:extLst xmlns:c15="http://schemas.microsoft.com/office/drawing/2012/chart">
                      <c:ext xmlns:c15="http://schemas.microsoft.com/office/drawing/2012/chart" uri="{02D57815-91ED-43cb-92C2-25804820EDAC}">
                        <c15:formulaRef>
                          <c15:sqref>'1.'!$T$2</c15:sqref>
                        </c15:formulaRef>
                      </c:ext>
                    </c:extLst>
                    <c:strCache>
                      <c:ptCount val="1"/>
                      <c:pt idx="0">
                        <c:v>Other metals (non critical)</c:v>
                      </c:pt>
                    </c:strCache>
                  </c:strRef>
                </c:tx>
                <c:spPr>
                  <a:solidFill>
                    <a:srgbClr val="9F70C2"/>
                  </a:solidFill>
                  <a:ln>
                    <a:noFill/>
                  </a:ln>
                  <a:effectLst/>
                </c:spPr>
                <c:invertIfNegative val="0"/>
                <c:cat>
                  <c:strRef>
                    <c:extLst xmlns:c15="http://schemas.microsoft.com/office/drawing/2012/chart">
                      <c:ext xmlns:c15="http://schemas.microsoft.com/office/drawing/2012/chart" uri="{02D57815-91ED-43cb-92C2-25804820EDAC}">
                        <c15:formulaRef>
                          <c15:sqref>'1.'!$B$38:$B$44</c15:sqref>
                        </c15:formulaRef>
                      </c:ext>
                    </c:extLst>
                    <c:strCache>
                      <c:ptCount val="7"/>
                      <c:pt idx="0">
                        <c:v>Aeroplanes</c:v>
                      </c:pt>
                      <c:pt idx="1">
                        <c:v>(Motor)cycles</c:v>
                      </c:pt>
                      <c:pt idx="2">
                        <c:v>Ships</c:v>
                      </c:pt>
                      <c:pt idx="3">
                        <c:v>Trains</c:v>
                      </c:pt>
                      <c:pt idx="4">
                        <c:v>Passenger cars</c:v>
                      </c:pt>
                      <c:pt idx="5">
                        <c:v>Lorries, vans and trucks</c:v>
                      </c:pt>
                      <c:pt idx="6">
                        <c:v>Buses</c:v>
                      </c:pt>
                    </c:strCache>
                  </c:strRef>
                </c:cat>
                <c:val>
                  <c:numRef>
                    <c:extLst xmlns:c15="http://schemas.microsoft.com/office/drawing/2012/chart">
                      <c:ext xmlns:c15="http://schemas.microsoft.com/office/drawing/2012/chart" uri="{02D57815-91ED-43cb-92C2-25804820EDAC}">
                        <c15:formulaRef>
                          <c15:sqref>'1.'!$T$38:$T$44</c15:sqref>
                        </c15:formulaRef>
                      </c:ext>
                    </c:extLst>
                    <c:numCache>
                      <c:formatCode>0.00E+00</c:formatCode>
                      <c:ptCount val="7"/>
                      <c:pt idx="0">
                        <c:v>0</c:v>
                      </c:pt>
                      <c:pt idx="1">
                        <c:v>268.50446667966207</c:v>
                      </c:pt>
                      <c:pt idx="6">
                        <c:v>31.946021694876919</c:v>
                      </c:pt>
                    </c:numCache>
                  </c:numRef>
                </c:val>
                <c:extLst xmlns:c15="http://schemas.microsoft.com/office/drawing/2012/chart">
                  <c:ext xmlns:c16="http://schemas.microsoft.com/office/drawing/2014/chart" uri="{C3380CC4-5D6E-409C-BE32-E72D297353CC}">
                    <c16:uniqueId val="{0000001A-8A2D-469F-B66E-5CB26A3D6D1A}"/>
                  </c:ext>
                </c:extLst>
              </c15:ser>
            </c15:filteredBarSeries>
          </c:ext>
        </c:extLst>
      </c:barChart>
      <c:catAx>
        <c:axId val="2049683967"/>
        <c:scaling>
          <c:orientation val="minMax"/>
        </c:scaling>
        <c:delete val="0"/>
        <c:axPos val="b"/>
        <c:numFmt formatCode="General" sourceLinked="1"/>
        <c:majorTickMark val="none"/>
        <c:minorTickMark val="none"/>
        <c:tickLblPos val="nextTo"/>
        <c:spPr>
          <a:noFill/>
          <a:ln w="9525" cap="flat" cmpd="sng" algn="ctr">
            <a:solidFill>
              <a:schemeClr val="tx1"/>
            </a:solidFill>
            <a:round/>
          </a:ln>
          <a:effectLst/>
        </c:spPr>
        <c:txPr>
          <a:bodyPr rot="-60000000" vert="horz"/>
          <a:lstStyle/>
          <a:p>
            <a:pPr>
              <a:defRPr/>
            </a:pPr>
            <a:endParaRPr lang="nl-NL"/>
          </a:p>
        </c:txPr>
        <c:crossAx val="2049684383"/>
        <c:crosses val="autoZero"/>
        <c:auto val="1"/>
        <c:lblAlgn val="ctr"/>
        <c:lblOffset val="100"/>
        <c:noMultiLvlLbl val="0"/>
      </c:catAx>
      <c:valAx>
        <c:axId val="2049684383"/>
        <c:scaling>
          <c:orientation val="minMax"/>
        </c:scaling>
        <c:delete val="0"/>
        <c:axPos val="l"/>
        <c:title>
          <c:tx>
            <c:rich>
              <a:bodyPr rot="-5400000" vert="horz"/>
              <a:lstStyle/>
              <a:p>
                <a:pPr>
                  <a:defRPr b="1"/>
                </a:pPr>
                <a:r>
                  <a:rPr lang="en-US" b="1"/>
                  <a:t>ton</a:t>
                </a:r>
              </a:p>
            </c:rich>
          </c:tx>
          <c:overlay val="0"/>
          <c:spPr>
            <a:noFill/>
            <a:ln>
              <a:noFill/>
            </a:ln>
            <a:effectLst/>
          </c:spPr>
        </c:title>
        <c:numFmt formatCode="0.00E+00" sourceLinked="1"/>
        <c:majorTickMark val="none"/>
        <c:minorTickMark val="none"/>
        <c:tickLblPos val="nextTo"/>
        <c:spPr>
          <a:noFill/>
          <a:ln>
            <a:solidFill>
              <a:schemeClr val="tx1"/>
            </a:solidFill>
          </a:ln>
          <a:effectLst/>
        </c:spPr>
        <c:txPr>
          <a:bodyPr rot="-60000000" vert="horz"/>
          <a:lstStyle/>
          <a:p>
            <a:pPr>
              <a:defRPr/>
            </a:pPr>
            <a:endParaRPr lang="nl-NL"/>
          </a:p>
        </c:txPr>
        <c:crossAx val="2049683967"/>
        <c:crosses val="autoZero"/>
        <c:crossBetween val="between"/>
      </c:valAx>
    </c:plotArea>
    <c:legend>
      <c:legendPos val="r"/>
      <c:layout>
        <c:manualLayout>
          <c:xMode val="edge"/>
          <c:yMode val="edge"/>
          <c:x val="0.75695092468597225"/>
          <c:y val="6.7874436633992896E-2"/>
          <c:w val="0.23410089701697082"/>
          <c:h val="0.70180051900992724"/>
        </c:manualLayout>
      </c:layout>
      <c:overlay val="0"/>
      <c:spPr>
        <a:noFill/>
        <a:ln>
          <a:solidFill>
            <a:schemeClr val="tx1"/>
          </a:solidFill>
        </a:ln>
        <a:effectLst/>
      </c:spPr>
      <c:txPr>
        <a:bodyPr rot="0" vert="horz"/>
        <a:lstStyle/>
        <a:p>
          <a:pPr>
            <a:defRPr/>
          </a:pPr>
          <a:endParaRPr lang="nl-NL"/>
        </a:p>
      </c:txPr>
    </c:legend>
    <c:plotVisOnly val="1"/>
    <c:dispBlanksAs val="gap"/>
    <c:showDLblsOverMax val="0"/>
    <c:extLst/>
  </c:chart>
  <c:spPr>
    <a:solidFill>
      <a:schemeClr val="bg1"/>
    </a:solidFill>
    <a:ln w="9525" cap="flat" cmpd="sng" algn="ctr">
      <a:noFill/>
      <a:round/>
    </a:ln>
    <a:effectLst/>
  </c:spPr>
  <c:txPr>
    <a:bodyPr/>
    <a:lstStyle/>
    <a:p>
      <a:pPr>
        <a:defRPr sz="800" b="0">
          <a:solidFill>
            <a:sysClr val="windowText" lastClr="000000"/>
          </a:solidFill>
          <a:latin typeface="Avenir Next LT Pro" panose="020B0504020202020204" pitchFamily="34" charset="0"/>
        </a:defRPr>
      </a:pPr>
      <a:endParaRPr lang="nl-NL"/>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nl-NL" b="1"/>
              <a:t>In-use stocks of</a:t>
            </a:r>
            <a:r>
              <a:rPr lang="nl-NL" b="1" baseline="0"/>
              <a:t> materials in other consumer goods, the Netherlands, ca. 2020</a:t>
            </a:r>
            <a:endParaRPr lang="nl-NL" b="1"/>
          </a:p>
        </c:rich>
      </c:tx>
      <c:layout>
        <c:manualLayout>
          <c:xMode val="edge"/>
          <c:yMode val="edge"/>
          <c:x val="0.14574730327159002"/>
          <c:y val="1.4198623807402781E-2"/>
        </c:manualLayout>
      </c:layout>
      <c:overlay val="0"/>
    </c:title>
    <c:autoTitleDeleted val="0"/>
    <c:plotArea>
      <c:layout>
        <c:manualLayout>
          <c:layoutTarget val="inner"/>
          <c:xMode val="edge"/>
          <c:yMode val="edge"/>
          <c:x val="0.13004274451260758"/>
          <c:y val="5.0633968239673394E-2"/>
          <c:w val="0.51532654242846954"/>
          <c:h val="0.62689501941753689"/>
        </c:manualLayout>
      </c:layout>
      <c:barChart>
        <c:barDir val="col"/>
        <c:grouping val="stacked"/>
        <c:varyColors val="0"/>
        <c:ser>
          <c:idx val="0"/>
          <c:order val="0"/>
          <c:tx>
            <c:strRef>
              <c:f>'1.'!$N$2</c:f>
              <c:strCache>
                <c:ptCount val="1"/>
                <c:pt idx="0">
                  <c:v>Iron and steel</c:v>
                </c:pt>
              </c:strCache>
            </c:strRef>
          </c:tx>
          <c:spPr>
            <a:solidFill>
              <a:srgbClr val="4D9782"/>
            </a:solidFill>
            <a:ln>
              <a:noFill/>
            </a:ln>
            <a:effectLst/>
          </c:spPr>
          <c:invertIfNegative val="0"/>
          <c:cat>
            <c:strRef>
              <c:f>'1.'!$B$73:$B$87</c:f>
              <c:strCache>
                <c:ptCount val="15"/>
                <c:pt idx="0">
                  <c:v>Cookery equipment</c:v>
                </c:pt>
                <c:pt idx="1">
                  <c:v>Chairs and couches</c:v>
                </c:pt>
                <c:pt idx="2">
                  <c:v>Office furniture</c:v>
                </c:pt>
                <c:pt idx="3">
                  <c:v>Kitchen furniture</c:v>
                </c:pt>
                <c:pt idx="4">
                  <c:v>Matrasses</c:v>
                </c:pt>
                <c:pt idx="5">
                  <c:v>Bedroom furniture</c:v>
                </c:pt>
                <c:pt idx="6">
                  <c:v>Other furniture</c:v>
                </c:pt>
                <c:pt idx="7">
                  <c:v>Jewelry and coins</c:v>
                </c:pt>
                <c:pt idx="8">
                  <c:v>Musical instruments</c:v>
                </c:pt>
                <c:pt idx="9">
                  <c:v>Sports equipment</c:v>
                </c:pt>
                <c:pt idx="10">
                  <c:v>Toys and games</c:v>
                </c:pt>
                <c:pt idx="11">
                  <c:v>Spectacles / contact lenses</c:v>
                </c:pt>
                <c:pt idx="12">
                  <c:v>Medical equipment</c:v>
                </c:pt>
                <c:pt idx="13">
                  <c:v>Writing/drawing utensils</c:v>
                </c:pt>
                <c:pt idx="14">
                  <c:v>Other</c:v>
                </c:pt>
              </c:strCache>
            </c:strRef>
          </c:cat>
          <c:val>
            <c:numRef>
              <c:f>'1.'!$N$73:$N$87</c:f>
              <c:numCache>
                <c:formatCode>0.00E+00</c:formatCode>
                <c:ptCount val="15"/>
                <c:pt idx="0">
                  <c:v>1179815.24331315</c:v>
                </c:pt>
                <c:pt idx="1">
                  <c:v>359478.04879227001</c:v>
                </c:pt>
                <c:pt idx="2">
                  <c:v>731585.02998749504</c:v>
                </c:pt>
                <c:pt idx="3">
                  <c:v>97607.783338606198</c:v>
                </c:pt>
                <c:pt idx="4">
                  <c:v>154082.697862909</c:v>
                </c:pt>
                <c:pt idx="6">
                  <c:v>303409.19001975103</c:v>
                </c:pt>
                <c:pt idx="8">
                  <c:v>38857.415338369901</c:v>
                </c:pt>
                <c:pt idx="9">
                  <c:v>1.3159202900673699E-4</c:v>
                </c:pt>
                <c:pt idx="11">
                  <c:v>1098.5819258179199</c:v>
                </c:pt>
                <c:pt idx="12">
                  <c:v>56070.297361928198</c:v>
                </c:pt>
                <c:pt idx="13">
                  <c:v>2935.9684327004002</c:v>
                </c:pt>
                <c:pt idx="14">
                  <c:v>46533.8536932887</c:v>
                </c:pt>
              </c:numCache>
            </c:numRef>
          </c:val>
          <c:extLst>
            <c:ext xmlns:c16="http://schemas.microsoft.com/office/drawing/2014/chart" uri="{C3380CC4-5D6E-409C-BE32-E72D297353CC}">
              <c16:uniqueId val="{00000012-1E1C-439F-B317-006AEF6DB8B7}"/>
            </c:ext>
          </c:extLst>
        </c:ser>
        <c:ser>
          <c:idx val="4"/>
          <c:order val="1"/>
          <c:tx>
            <c:strRef>
              <c:f>'1.'!$O$2</c:f>
              <c:strCache>
                <c:ptCount val="1"/>
                <c:pt idx="0">
                  <c:v>Copper</c:v>
                </c:pt>
              </c:strCache>
            </c:strRef>
          </c:tx>
          <c:spPr>
            <a:solidFill>
              <a:srgbClr val="FF7F51"/>
            </a:solidFill>
            <a:ln>
              <a:noFill/>
            </a:ln>
            <a:effectLst/>
          </c:spPr>
          <c:invertIfNegative val="0"/>
          <c:cat>
            <c:strRef>
              <c:f>'1.'!$B$73:$B$87</c:f>
              <c:strCache>
                <c:ptCount val="15"/>
                <c:pt idx="0">
                  <c:v>Cookery equipment</c:v>
                </c:pt>
                <c:pt idx="1">
                  <c:v>Chairs and couches</c:v>
                </c:pt>
                <c:pt idx="2">
                  <c:v>Office furniture</c:v>
                </c:pt>
                <c:pt idx="3">
                  <c:v>Kitchen furniture</c:v>
                </c:pt>
                <c:pt idx="4">
                  <c:v>Matrasses</c:v>
                </c:pt>
                <c:pt idx="5">
                  <c:v>Bedroom furniture</c:v>
                </c:pt>
                <c:pt idx="6">
                  <c:v>Other furniture</c:v>
                </c:pt>
                <c:pt idx="7">
                  <c:v>Jewelry and coins</c:v>
                </c:pt>
                <c:pt idx="8">
                  <c:v>Musical instruments</c:v>
                </c:pt>
                <c:pt idx="9">
                  <c:v>Sports equipment</c:v>
                </c:pt>
                <c:pt idx="10">
                  <c:v>Toys and games</c:v>
                </c:pt>
                <c:pt idx="11">
                  <c:v>Spectacles / contact lenses</c:v>
                </c:pt>
                <c:pt idx="12">
                  <c:v>Medical equipment</c:v>
                </c:pt>
                <c:pt idx="13">
                  <c:v>Writing/drawing utensils</c:v>
                </c:pt>
                <c:pt idx="14">
                  <c:v>Other</c:v>
                </c:pt>
              </c:strCache>
            </c:strRef>
          </c:cat>
          <c:val>
            <c:numRef>
              <c:f>'1.'!$O$73:$O$87</c:f>
              <c:numCache>
                <c:formatCode>0.00E+00</c:formatCode>
                <c:ptCount val="15"/>
              </c:numCache>
            </c:numRef>
          </c:val>
          <c:extLst>
            <c:ext xmlns:c16="http://schemas.microsoft.com/office/drawing/2014/chart" uri="{C3380CC4-5D6E-409C-BE32-E72D297353CC}">
              <c16:uniqueId val="{00000014-1E1C-439F-B317-006AEF6DB8B7}"/>
            </c:ext>
          </c:extLst>
        </c:ser>
        <c:ser>
          <c:idx val="6"/>
          <c:order val="2"/>
          <c:tx>
            <c:strRef>
              <c:f>'1.'!$P$2</c:f>
              <c:strCache>
                <c:ptCount val="1"/>
                <c:pt idx="0">
                  <c:v>Aluminium</c:v>
                </c:pt>
              </c:strCache>
            </c:strRef>
          </c:tx>
          <c:spPr>
            <a:solidFill>
              <a:schemeClr val="accent1">
                <a:lumMod val="60000"/>
                <a:lumOff val="40000"/>
              </a:schemeClr>
            </a:solidFill>
            <a:ln>
              <a:noFill/>
            </a:ln>
            <a:effectLst/>
          </c:spPr>
          <c:invertIfNegative val="0"/>
          <c:cat>
            <c:strRef>
              <c:f>'1.'!$B$73:$B$87</c:f>
              <c:strCache>
                <c:ptCount val="15"/>
                <c:pt idx="0">
                  <c:v>Cookery equipment</c:v>
                </c:pt>
                <c:pt idx="1">
                  <c:v>Chairs and couches</c:v>
                </c:pt>
                <c:pt idx="2">
                  <c:v>Office furniture</c:v>
                </c:pt>
                <c:pt idx="3">
                  <c:v>Kitchen furniture</c:v>
                </c:pt>
                <c:pt idx="4">
                  <c:v>Matrasses</c:v>
                </c:pt>
                <c:pt idx="5">
                  <c:v>Bedroom furniture</c:v>
                </c:pt>
                <c:pt idx="6">
                  <c:v>Other furniture</c:v>
                </c:pt>
                <c:pt idx="7">
                  <c:v>Jewelry and coins</c:v>
                </c:pt>
                <c:pt idx="8">
                  <c:v>Musical instruments</c:v>
                </c:pt>
                <c:pt idx="9">
                  <c:v>Sports equipment</c:v>
                </c:pt>
                <c:pt idx="10">
                  <c:v>Toys and games</c:v>
                </c:pt>
                <c:pt idx="11">
                  <c:v>Spectacles / contact lenses</c:v>
                </c:pt>
                <c:pt idx="12">
                  <c:v>Medical equipment</c:v>
                </c:pt>
                <c:pt idx="13">
                  <c:v>Writing/drawing utensils</c:v>
                </c:pt>
                <c:pt idx="14">
                  <c:v>Other</c:v>
                </c:pt>
              </c:strCache>
            </c:strRef>
          </c:cat>
          <c:val>
            <c:numRef>
              <c:f>'1.'!$P$73:$P$87</c:f>
              <c:numCache>
                <c:formatCode>0.00E+00</c:formatCode>
                <c:ptCount val="15"/>
                <c:pt idx="1">
                  <c:v>119960.833267522</c:v>
                </c:pt>
                <c:pt idx="2">
                  <c:v>5220.7037545012399</c:v>
                </c:pt>
                <c:pt idx="3">
                  <c:v>77122.118575500004</c:v>
                </c:pt>
                <c:pt idx="5">
                  <c:v>23300.5696839706</c:v>
                </c:pt>
                <c:pt idx="11">
                  <c:v>47.022435409919098</c:v>
                </c:pt>
                <c:pt idx="12">
                  <c:v>2686.1997234404098</c:v>
                </c:pt>
              </c:numCache>
            </c:numRef>
          </c:val>
          <c:extLst>
            <c:ext xmlns:c16="http://schemas.microsoft.com/office/drawing/2014/chart" uri="{C3380CC4-5D6E-409C-BE32-E72D297353CC}">
              <c16:uniqueId val="{00000016-1E1C-439F-B317-006AEF6DB8B7}"/>
            </c:ext>
          </c:extLst>
        </c:ser>
        <c:ser>
          <c:idx val="7"/>
          <c:order val="3"/>
          <c:tx>
            <c:strRef>
              <c:f>'1.'!$Q$2</c:f>
              <c:strCache>
                <c:ptCount val="1"/>
                <c:pt idx="0">
                  <c:v>Zinc</c:v>
                </c:pt>
              </c:strCache>
            </c:strRef>
          </c:tx>
          <c:spPr>
            <a:solidFill>
              <a:srgbClr val="FFFF00"/>
            </a:solidFill>
            <a:ln>
              <a:noFill/>
            </a:ln>
            <a:effectLst/>
          </c:spPr>
          <c:invertIfNegative val="0"/>
          <c:cat>
            <c:strRef>
              <c:f>'1.'!$B$73:$B$87</c:f>
              <c:strCache>
                <c:ptCount val="15"/>
                <c:pt idx="0">
                  <c:v>Cookery equipment</c:v>
                </c:pt>
                <c:pt idx="1">
                  <c:v>Chairs and couches</c:v>
                </c:pt>
                <c:pt idx="2">
                  <c:v>Office furniture</c:v>
                </c:pt>
                <c:pt idx="3">
                  <c:v>Kitchen furniture</c:v>
                </c:pt>
                <c:pt idx="4">
                  <c:v>Matrasses</c:v>
                </c:pt>
                <c:pt idx="5">
                  <c:v>Bedroom furniture</c:v>
                </c:pt>
                <c:pt idx="6">
                  <c:v>Other furniture</c:v>
                </c:pt>
                <c:pt idx="7">
                  <c:v>Jewelry and coins</c:v>
                </c:pt>
                <c:pt idx="8">
                  <c:v>Musical instruments</c:v>
                </c:pt>
                <c:pt idx="9">
                  <c:v>Sports equipment</c:v>
                </c:pt>
                <c:pt idx="10">
                  <c:v>Toys and games</c:v>
                </c:pt>
                <c:pt idx="11">
                  <c:v>Spectacles / contact lenses</c:v>
                </c:pt>
                <c:pt idx="12">
                  <c:v>Medical equipment</c:v>
                </c:pt>
                <c:pt idx="13">
                  <c:v>Writing/drawing utensils</c:v>
                </c:pt>
                <c:pt idx="14">
                  <c:v>Other</c:v>
                </c:pt>
              </c:strCache>
            </c:strRef>
          </c:cat>
          <c:val>
            <c:numRef>
              <c:f>'1.'!$Q$73:$Q$87</c:f>
              <c:numCache>
                <c:formatCode>0.00E+00</c:formatCode>
                <c:ptCount val="15"/>
              </c:numCache>
            </c:numRef>
          </c:val>
          <c:extLst>
            <c:ext xmlns:c16="http://schemas.microsoft.com/office/drawing/2014/chart" uri="{C3380CC4-5D6E-409C-BE32-E72D297353CC}">
              <c16:uniqueId val="{00000018-1E1C-439F-B317-006AEF6DB8B7}"/>
            </c:ext>
          </c:extLst>
        </c:ser>
        <c:ser>
          <c:idx val="8"/>
          <c:order val="4"/>
          <c:tx>
            <c:strRef>
              <c:f>'1.'!$R$2</c:f>
              <c:strCache>
                <c:ptCount val="1"/>
                <c:pt idx="0">
                  <c:v>Lead</c:v>
                </c:pt>
              </c:strCache>
            </c:strRef>
          </c:tx>
          <c:spPr>
            <a:solidFill>
              <a:schemeClr val="accent1">
                <a:lumMod val="20000"/>
                <a:lumOff val="80000"/>
              </a:schemeClr>
            </a:solidFill>
            <a:ln>
              <a:noFill/>
            </a:ln>
            <a:effectLst/>
          </c:spPr>
          <c:invertIfNegative val="0"/>
          <c:cat>
            <c:strRef>
              <c:f>'1.'!$B$73:$B$87</c:f>
              <c:strCache>
                <c:ptCount val="15"/>
                <c:pt idx="0">
                  <c:v>Cookery equipment</c:v>
                </c:pt>
                <c:pt idx="1">
                  <c:v>Chairs and couches</c:v>
                </c:pt>
                <c:pt idx="2">
                  <c:v>Office furniture</c:v>
                </c:pt>
                <c:pt idx="3">
                  <c:v>Kitchen furniture</c:v>
                </c:pt>
                <c:pt idx="4">
                  <c:v>Matrasses</c:v>
                </c:pt>
                <c:pt idx="5">
                  <c:v>Bedroom furniture</c:v>
                </c:pt>
                <c:pt idx="6">
                  <c:v>Other furniture</c:v>
                </c:pt>
                <c:pt idx="7">
                  <c:v>Jewelry and coins</c:v>
                </c:pt>
                <c:pt idx="8">
                  <c:v>Musical instruments</c:v>
                </c:pt>
                <c:pt idx="9">
                  <c:v>Sports equipment</c:v>
                </c:pt>
                <c:pt idx="10">
                  <c:v>Toys and games</c:v>
                </c:pt>
                <c:pt idx="11">
                  <c:v>Spectacles / contact lenses</c:v>
                </c:pt>
                <c:pt idx="12">
                  <c:v>Medical equipment</c:v>
                </c:pt>
                <c:pt idx="13">
                  <c:v>Writing/drawing utensils</c:v>
                </c:pt>
                <c:pt idx="14">
                  <c:v>Other</c:v>
                </c:pt>
              </c:strCache>
            </c:strRef>
          </c:cat>
          <c:val>
            <c:numRef>
              <c:f>'1.'!$R$73:$R$87</c:f>
              <c:numCache>
                <c:formatCode>0.00E+00</c:formatCode>
                <c:ptCount val="15"/>
              </c:numCache>
            </c:numRef>
          </c:val>
          <c:extLst>
            <c:ext xmlns:c16="http://schemas.microsoft.com/office/drawing/2014/chart" uri="{C3380CC4-5D6E-409C-BE32-E72D297353CC}">
              <c16:uniqueId val="{0000001A-1E1C-439F-B317-006AEF6DB8B7}"/>
            </c:ext>
          </c:extLst>
        </c:ser>
        <c:ser>
          <c:idx val="9"/>
          <c:order val="5"/>
          <c:tx>
            <c:strRef>
              <c:f>'1.'!$S$2</c:f>
              <c:strCache>
                <c:ptCount val="1"/>
                <c:pt idx="0">
                  <c:v>Alloying elements (non critical)</c:v>
                </c:pt>
              </c:strCache>
            </c:strRef>
          </c:tx>
          <c:spPr>
            <a:solidFill>
              <a:srgbClr val="E3E385"/>
            </a:solidFill>
            <a:ln>
              <a:noFill/>
            </a:ln>
            <a:effectLst/>
          </c:spPr>
          <c:invertIfNegative val="0"/>
          <c:cat>
            <c:strRef>
              <c:f>'1.'!$B$73:$B$87</c:f>
              <c:strCache>
                <c:ptCount val="15"/>
                <c:pt idx="0">
                  <c:v>Cookery equipment</c:v>
                </c:pt>
                <c:pt idx="1">
                  <c:v>Chairs and couches</c:v>
                </c:pt>
                <c:pt idx="2">
                  <c:v>Office furniture</c:v>
                </c:pt>
                <c:pt idx="3">
                  <c:v>Kitchen furniture</c:v>
                </c:pt>
                <c:pt idx="4">
                  <c:v>Matrasses</c:v>
                </c:pt>
                <c:pt idx="5">
                  <c:v>Bedroom furniture</c:v>
                </c:pt>
                <c:pt idx="6">
                  <c:v>Other furniture</c:v>
                </c:pt>
                <c:pt idx="7">
                  <c:v>Jewelry and coins</c:v>
                </c:pt>
                <c:pt idx="8">
                  <c:v>Musical instruments</c:v>
                </c:pt>
                <c:pt idx="9">
                  <c:v>Sports equipment</c:v>
                </c:pt>
                <c:pt idx="10">
                  <c:v>Toys and games</c:v>
                </c:pt>
                <c:pt idx="11">
                  <c:v>Spectacles / contact lenses</c:v>
                </c:pt>
                <c:pt idx="12">
                  <c:v>Medical equipment</c:v>
                </c:pt>
                <c:pt idx="13">
                  <c:v>Writing/drawing utensils</c:v>
                </c:pt>
                <c:pt idx="14">
                  <c:v>Other</c:v>
                </c:pt>
              </c:strCache>
            </c:strRef>
          </c:cat>
          <c:val>
            <c:numRef>
              <c:f>'1.'!$S$73:$S$87</c:f>
              <c:numCache>
                <c:formatCode>0.00E+00</c:formatCode>
                <c:ptCount val="15"/>
              </c:numCache>
            </c:numRef>
          </c:val>
          <c:extLst>
            <c:ext xmlns:c16="http://schemas.microsoft.com/office/drawing/2014/chart" uri="{C3380CC4-5D6E-409C-BE32-E72D297353CC}">
              <c16:uniqueId val="{0000001C-1E1C-439F-B317-006AEF6DB8B7}"/>
            </c:ext>
          </c:extLst>
        </c:ser>
        <c:ser>
          <c:idx val="12"/>
          <c:order val="6"/>
          <c:tx>
            <c:strRef>
              <c:f>'1.'!$T$2</c:f>
              <c:strCache>
                <c:ptCount val="1"/>
                <c:pt idx="0">
                  <c:v>Other metals (non critical)</c:v>
                </c:pt>
              </c:strCache>
            </c:strRef>
          </c:tx>
          <c:spPr>
            <a:solidFill>
              <a:srgbClr val="9F70C2"/>
            </a:solidFill>
            <a:ln>
              <a:noFill/>
            </a:ln>
            <a:effectLst/>
          </c:spPr>
          <c:invertIfNegative val="0"/>
          <c:cat>
            <c:strRef>
              <c:f>'1.'!$B$73:$B$87</c:f>
              <c:strCache>
                <c:ptCount val="15"/>
                <c:pt idx="0">
                  <c:v>Cookery equipment</c:v>
                </c:pt>
                <c:pt idx="1">
                  <c:v>Chairs and couches</c:v>
                </c:pt>
                <c:pt idx="2">
                  <c:v>Office furniture</c:v>
                </c:pt>
                <c:pt idx="3">
                  <c:v>Kitchen furniture</c:v>
                </c:pt>
                <c:pt idx="4">
                  <c:v>Matrasses</c:v>
                </c:pt>
                <c:pt idx="5">
                  <c:v>Bedroom furniture</c:v>
                </c:pt>
                <c:pt idx="6">
                  <c:v>Other furniture</c:v>
                </c:pt>
                <c:pt idx="7">
                  <c:v>Jewelry and coins</c:v>
                </c:pt>
                <c:pt idx="8">
                  <c:v>Musical instruments</c:v>
                </c:pt>
                <c:pt idx="9">
                  <c:v>Sports equipment</c:v>
                </c:pt>
                <c:pt idx="10">
                  <c:v>Toys and games</c:v>
                </c:pt>
                <c:pt idx="11">
                  <c:v>Spectacles / contact lenses</c:v>
                </c:pt>
                <c:pt idx="12">
                  <c:v>Medical equipment</c:v>
                </c:pt>
                <c:pt idx="13">
                  <c:v>Writing/drawing utensils</c:v>
                </c:pt>
                <c:pt idx="14">
                  <c:v>Other</c:v>
                </c:pt>
              </c:strCache>
            </c:strRef>
          </c:cat>
          <c:val>
            <c:numRef>
              <c:f>'1.'!$T$73:$T$87</c:f>
              <c:numCache>
                <c:formatCode>0.00E+00</c:formatCode>
                <c:ptCount val="15"/>
                <c:pt idx="0">
                  <c:v>53524.436714013602</c:v>
                </c:pt>
                <c:pt idx="1">
                  <c:v>31835.336936523701</c:v>
                </c:pt>
                <c:pt idx="2">
                  <c:v>1564.19288820877</c:v>
                </c:pt>
                <c:pt idx="3">
                  <c:v>15493.6796243151</c:v>
                </c:pt>
                <c:pt idx="4">
                  <c:v>149.059396210611</c:v>
                </c:pt>
                <c:pt idx="8">
                  <c:v>4931.4869953077196</c:v>
                </c:pt>
                <c:pt idx="9">
                  <c:v>118431.609822817</c:v>
                </c:pt>
                <c:pt idx="10">
                  <c:v>318.384201988543</c:v>
                </c:pt>
              </c:numCache>
            </c:numRef>
          </c:val>
          <c:extLst>
            <c:ext xmlns:c16="http://schemas.microsoft.com/office/drawing/2014/chart" uri="{C3380CC4-5D6E-409C-BE32-E72D297353CC}">
              <c16:uniqueId val="{0000001E-1E1C-439F-B317-006AEF6DB8B7}"/>
            </c:ext>
          </c:extLst>
        </c:ser>
        <c:ser>
          <c:idx val="13"/>
          <c:order val="7"/>
          <c:tx>
            <c:strRef>
              <c:f>'1.'!$U$2</c:f>
              <c:strCache>
                <c:ptCount val="1"/>
                <c:pt idx="0">
                  <c:v>Wood</c:v>
                </c:pt>
              </c:strCache>
            </c:strRef>
          </c:tx>
          <c:spPr>
            <a:solidFill>
              <a:srgbClr val="866840"/>
            </a:solidFill>
            <a:ln>
              <a:noFill/>
            </a:ln>
            <a:effectLst/>
          </c:spPr>
          <c:invertIfNegative val="0"/>
          <c:cat>
            <c:strRef>
              <c:f>'1.'!$B$73:$B$87</c:f>
              <c:strCache>
                <c:ptCount val="15"/>
                <c:pt idx="0">
                  <c:v>Cookery equipment</c:v>
                </c:pt>
                <c:pt idx="1">
                  <c:v>Chairs and couches</c:v>
                </c:pt>
                <c:pt idx="2">
                  <c:v>Office furniture</c:v>
                </c:pt>
                <c:pt idx="3">
                  <c:v>Kitchen furniture</c:v>
                </c:pt>
                <c:pt idx="4">
                  <c:v>Matrasses</c:v>
                </c:pt>
                <c:pt idx="5">
                  <c:v>Bedroom furniture</c:v>
                </c:pt>
                <c:pt idx="6">
                  <c:v>Other furniture</c:v>
                </c:pt>
                <c:pt idx="7">
                  <c:v>Jewelry and coins</c:v>
                </c:pt>
                <c:pt idx="8">
                  <c:v>Musical instruments</c:v>
                </c:pt>
                <c:pt idx="9">
                  <c:v>Sports equipment</c:v>
                </c:pt>
                <c:pt idx="10">
                  <c:v>Toys and games</c:v>
                </c:pt>
                <c:pt idx="11">
                  <c:v>Spectacles / contact lenses</c:v>
                </c:pt>
                <c:pt idx="12">
                  <c:v>Medical equipment</c:v>
                </c:pt>
                <c:pt idx="13">
                  <c:v>Writing/drawing utensils</c:v>
                </c:pt>
                <c:pt idx="14">
                  <c:v>Other</c:v>
                </c:pt>
              </c:strCache>
            </c:strRef>
          </c:cat>
          <c:val>
            <c:numRef>
              <c:f>'1.'!$U$73:$U$87</c:f>
              <c:numCache>
                <c:formatCode>0.00E+00</c:formatCode>
                <c:ptCount val="15"/>
                <c:pt idx="1">
                  <c:v>529924.11728696094</c:v>
                </c:pt>
                <c:pt idx="2">
                  <c:v>230255.68080638899</c:v>
                </c:pt>
                <c:pt idx="3">
                  <c:v>1082233.17854237</c:v>
                </c:pt>
                <c:pt idx="4">
                  <c:v>34283.661128440603</c:v>
                </c:pt>
                <c:pt idx="9">
                  <c:v>4.38436834364431E-5</c:v>
                </c:pt>
                <c:pt idx="10">
                  <c:v>18177.277767981101</c:v>
                </c:pt>
              </c:numCache>
            </c:numRef>
          </c:val>
          <c:extLst>
            <c:ext xmlns:c16="http://schemas.microsoft.com/office/drawing/2014/chart" uri="{C3380CC4-5D6E-409C-BE32-E72D297353CC}">
              <c16:uniqueId val="{00000020-1E1C-439F-B317-006AEF6DB8B7}"/>
            </c:ext>
          </c:extLst>
        </c:ser>
        <c:ser>
          <c:idx val="14"/>
          <c:order val="8"/>
          <c:tx>
            <c:strRef>
              <c:f>'1.'!$V$2</c:f>
              <c:strCache>
                <c:ptCount val="1"/>
                <c:pt idx="0">
                  <c:v>Other biobased materials</c:v>
                </c:pt>
              </c:strCache>
            </c:strRef>
          </c:tx>
          <c:spPr>
            <a:solidFill>
              <a:schemeClr val="accent6"/>
            </a:solidFill>
            <a:ln>
              <a:noFill/>
            </a:ln>
            <a:effectLst/>
          </c:spPr>
          <c:invertIfNegative val="0"/>
          <c:cat>
            <c:strRef>
              <c:f>'1.'!$B$73:$B$87</c:f>
              <c:strCache>
                <c:ptCount val="15"/>
                <c:pt idx="0">
                  <c:v>Cookery equipment</c:v>
                </c:pt>
                <c:pt idx="1">
                  <c:v>Chairs and couches</c:v>
                </c:pt>
                <c:pt idx="2">
                  <c:v>Office furniture</c:v>
                </c:pt>
                <c:pt idx="3">
                  <c:v>Kitchen furniture</c:v>
                </c:pt>
                <c:pt idx="4">
                  <c:v>Matrasses</c:v>
                </c:pt>
                <c:pt idx="5">
                  <c:v>Bedroom furniture</c:v>
                </c:pt>
                <c:pt idx="6">
                  <c:v>Other furniture</c:v>
                </c:pt>
                <c:pt idx="7">
                  <c:v>Jewelry and coins</c:v>
                </c:pt>
                <c:pt idx="8">
                  <c:v>Musical instruments</c:v>
                </c:pt>
                <c:pt idx="9">
                  <c:v>Sports equipment</c:v>
                </c:pt>
                <c:pt idx="10">
                  <c:v>Toys and games</c:v>
                </c:pt>
                <c:pt idx="11">
                  <c:v>Spectacles / contact lenses</c:v>
                </c:pt>
                <c:pt idx="12">
                  <c:v>Medical equipment</c:v>
                </c:pt>
                <c:pt idx="13">
                  <c:v>Writing/drawing utensils</c:v>
                </c:pt>
                <c:pt idx="14">
                  <c:v>Other</c:v>
                </c:pt>
              </c:strCache>
            </c:strRef>
          </c:cat>
          <c:val>
            <c:numRef>
              <c:f>'1.'!$V$73:$V$87</c:f>
              <c:numCache>
                <c:formatCode>0.00E+00</c:formatCode>
                <c:ptCount val="15"/>
                <c:pt idx="1">
                  <c:v>99843.194248807791</c:v>
                </c:pt>
                <c:pt idx="2">
                  <c:v>230465.0296411145</c:v>
                </c:pt>
                <c:pt idx="3">
                  <c:v>138288.29369742839</c:v>
                </c:pt>
                <c:pt idx="4">
                  <c:v>7136.2185935830203</c:v>
                </c:pt>
                <c:pt idx="6">
                  <c:v>2898828.1571738184</c:v>
                </c:pt>
                <c:pt idx="9">
                  <c:v>177647.414602604</c:v>
                </c:pt>
                <c:pt idx="13">
                  <c:v>5137.9447572257004</c:v>
                </c:pt>
              </c:numCache>
            </c:numRef>
          </c:val>
          <c:extLst xmlns:c15="http://schemas.microsoft.com/office/drawing/2012/chart">
            <c:ext xmlns:c16="http://schemas.microsoft.com/office/drawing/2014/chart" uri="{C3380CC4-5D6E-409C-BE32-E72D297353CC}">
              <c16:uniqueId val="{00000022-1E1C-439F-B317-006AEF6DB8B7}"/>
            </c:ext>
          </c:extLst>
        </c:ser>
        <c:ser>
          <c:idx val="15"/>
          <c:order val="9"/>
          <c:tx>
            <c:strRef>
              <c:f>'1.'!$W$2</c:f>
              <c:strCache>
                <c:ptCount val="1"/>
                <c:pt idx="0">
                  <c:v>Textile, biobased</c:v>
                </c:pt>
              </c:strCache>
            </c:strRef>
          </c:tx>
          <c:spPr>
            <a:solidFill>
              <a:schemeClr val="accent6">
                <a:lumMod val="40000"/>
                <a:lumOff val="60000"/>
              </a:schemeClr>
            </a:solidFill>
          </c:spPr>
          <c:invertIfNegative val="0"/>
          <c:cat>
            <c:strRef>
              <c:f>'1.'!$B$73:$B$87</c:f>
              <c:strCache>
                <c:ptCount val="15"/>
                <c:pt idx="0">
                  <c:v>Cookery equipment</c:v>
                </c:pt>
                <c:pt idx="1">
                  <c:v>Chairs and couches</c:v>
                </c:pt>
                <c:pt idx="2">
                  <c:v>Office furniture</c:v>
                </c:pt>
                <c:pt idx="3">
                  <c:v>Kitchen furniture</c:v>
                </c:pt>
                <c:pt idx="4">
                  <c:v>Matrasses</c:v>
                </c:pt>
                <c:pt idx="5">
                  <c:v>Bedroom furniture</c:v>
                </c:pt>
                <c:pt idx="6">
                  <c:v>Other furniture</c:v>
                </c:pt>
                <c:pt idx="7">
                  <c:v>Jewelry and coins</c:v>
                </c:pt>
                <c:pt idx="8">
                  <c:v>Musical instruments</c:v>
                </c:pt>
                <c:pt idx="9">
                  <c:v>Sports equipment</c:v>
                </c:pt>
                <c:pt idx="10">
                  <c:v>Toys and games</c:v>
                </c:pt>
                <c:pt idx="11">
                  <c:v>Spectacles / contact lenses</c:v>
                </c:pt>
                <c:pt idx="12">
                  <c:v>Medical equipment</c:v>
                </c:pt>
                <c:pt idx="13">
                  <c:v>Writing/drawing utensils</c:v>
                </c:pt>
                <c:pt idx="14">
                  <c:v>Other</c:v>
                </c:pt>
              </c:strCache>
            </c:strRef>
          </c:cat>
          <c:val>
            <c:numRef>
              <c:f>'1.'!$W$73:$W$87</c:f>
              <c:numCache>
                <c:formatCode>0.00E+00</c:formatCode>
                <c:ptCount val="15"/>
              </c:numCache>
            </c:numRef>
          </c:val>
          <c:extLst>
            <c:ext xmlns:c16="http://schemas.microsoft.com/office/drawing/2014/chart" uri="{C3380CC4-5D6E-409C-BE32-E72D297353CC}">
              <c16:uniqueId val="{00000024-1E1C-439F-B317-006AEF6DB8B7}"/>
            </c:ext>
          </c:extLst>
        </c:ser>
        <c:ser>
          <c:idx val="1"/>
          <c:order val="10"/>
          <c:tx>
            <c:strRef>
              <c:f>'1.'!$X$2</c:f>
              <c:strCache>
                <c:ptCount val="1"/>
                <c:pt idx="0">
                  <c:v>Plastics</c:v>
                </c:pt>
              </c:strCache>
            </c:strRef>
          </c:tx>
          <c:spPr>
            <a:solidFill>
              <a:srgbClr val="FFA7AB"/>
            </a:solidFill>
            <a:ln>
              <a:noFill/>
            </a:ln>
            <a:effectLst/>
          </c:spPr>
          <c:invertIfNegative val="0"/>
          <c:cat>
            <c:strRef>
              <c:f>'1.'!$B$73:$B$87</c:f>
              <c:strCache>
                <c:ptCount val="15"/>
                <c:pt idx="0">
                  <c:v>Cookery equipment</c:v>
                </c:pt>
                <c:pt idx="1">
                  <c:v>Chairs and couches</c:v>
                </c:pt>
                <c:pt idx="2">
                  <c:v>Office furniture</c:v>
                </c:pt>
                <c:pt idx="3">
                  <c:v>Kitchen furniture</c:v>
                </c:pt>
                <c:pt idx="4">
                  <c:v>Matrasses</c:v>
                </c:pt>
                <c:pt idx="5">
                  <c:v>Bedroom furniture</c:v>
                </c:pt>
                <c:pt idx="6">
                  <c:v>Other furniture</c:v>
                </c:pt>
                <c:pt idx="7">
                  <c:v>Jewelry and coins</c:v>
                </c:pt>
                <c:pt idx="8">
                  <c:v>Musical instruments</c:v>
                </c:pt>
                <c:pt idx="9">
                  <c:v>Sports equipment</c:v>
                </c:pt>
                <c:pt idx="10">
                  <c:v>Toys and games</c:v>
                </c:pt>
                <c:pt idx="11">
                  <c:v>Spectacles / contact lenses</c:v>
                </c:pt>
                <c:pt idx="12">
                  <c:v>Medical equipment</c:v>
                </c:pt>
                <c:pt idx="13">
                  <c:v>Writing/drawing utensils</c:v>
                </c:pt>
                <c:pt idx="14">
                  <c:v>Other</c:v>
                </c:pt>
              </c:strCache>
            </c:strRef>
          </c:cat>
          <c:val>
            <c:numRef>
              <c:f>'1.'!$X$73:$X$87</c:f>
              <c:numCache>
                <c:formatCode>0.00E+00</c:formatCode>
                <c:ptCount val="15"/>
                <c:pt idx="1">
                  <c:v>343823.82051114598</c:v>
                </c:pt>
                <c:pt idx="2">
                  <c:v>32318.350764806801</c:v>
                </c:pt>
                <c:pt idx="3">
                  <c:v>3926.09923963344</c:v>
                </c:pt>
                <c:pt idx="4">
                  <c:v>170065.591621592</c:v>
                </c:pt>
                <c:pt idx="6">
                  <c:v>87137.329228937597</c:v>
                </c:pt>
                <c:pt idx="7">
                  <c:v>46.924823665139598</c:v>
                </c:pt>
                <c:pt idx="8">
                  <c:v>59785.835491059399</c:v>
                </c:pt>
                <c:pt idx="9">
                  <c:v>296090.69079206901</c:v>
                </c:pt>
                <c:pt idx="10">
                  <c:v>52192.426719801202</c:v>
                </c:pt>
                <c:pt idx="13">
                  <c:v>2935.9684327004002</c:v>
                </c:pt>
                <c:pt idx="14">
                  <c:v>7084.7389706045096</c:v>
                </c:pt>
              </c:numCache>
            </c:numRef>
          </c:val>
          <c:extLst>
            <c:ext xmlns:c16="http://schemas.microsoft.com/office/drawing/2014/chart" uri="{C3380CC4-5D6E-409C-BE32-E72D297353CC}">
              <c16:uniqueId val="{00000026-1E1C-439F-B317-006AEF6DB8B7}"/>
            </c:ext>
          </c:extLst>
        </c:ser>
        <c:ser>
          <c:idx val="2"/>
          <c:order val="11"/>
          <c:tx>
            <c:strRef>
              <c:f>'1.'!$Y$2</c:f>
              <c:strCache>
                <c:ptCount val="1"/>
                <c:pt idx="0">
                  <c:v>Insulation materials</c:v>
                </c:pt>
              </c:strCache>
            </c:strRef>
          </c:tx>
          <c:spPr>
            <a:solidFill>
              <a:schemeClr val="accent4">
                <a:lumMod val="75000"/>
              </a:schemeClr>
            </a:solidFill>
            <a:ln>
              <a:noFill/>
            </a:ln>
            <a:effectLst/>
          </c:spPr>
          <c:invertIfNegative val="0"/>
          <c:cat>
            <c:strRef>
              <c:f>'1.'!$B$73:$B$87</c:f>
              <c:strCache>
                <c:ptCount val="15"/>
                <c:pt idx="0">
                  <c:v>Cookery equipment</c:v>
                </c:pt>
                <c:pt idx="1">
                  <c:v>Chairs and couches</c:v>
                </c:pt>
                <c:pt idx="2">
                  <c:v>Office furniture</c:v>
                </c:pt>
                <c:pt idx="3">
                  <c:v>Kitchen furniture</c:v>
                </c:pt>
                <c:pt idx="4">
                  <c:v>Matrasses</c:v>
                </c:pt>
                <c:pt idx="5">
                  <c:v>Bedroom furniture</c:v>
                </c:pt>
                <c:pt idx="6">
                  <c:v>Other furniture</c:v>
                </c:pt>
                <c:pt idx="7">
                  <c:v>Jewelry and coins</c:v>
                </c:pt>
                <c:pt idx="8">
                  <c:v>Musical instruments</c:v>
                </c:pt>
                <c:pt idx="9">
                  <c:v>Sports equipment</c:v>
                </c:pt>
                <c:pt idx="10">
                  <c:v>Toys and games</c:v>
                </c:pt>
                <c:pt idx="11">
                  <c:v>Spectacles / contact lenses</c:v>
                </c:pt>
                <c:pt idx="12">
                  <c:v>Medical equipment</c:v>
                </c:pt>
                <c:pt idx="13">
                  <c:v>Writing/drawing utensils</c:v>
                </c:pt>
                <c:pt idx="14">
                  <c:v>Other</c:v>
                </c:pt>
              </c:strCache>
            </c:strRef>
          </c:cat>
          <c:val>
            <c:numRef>
              <c:f>'1.'!$Y$73:$Y$87</c:f>
              <c:numCache>
                <c:formatCode>0.00E+00</c:formatCode>
                <c:ptCount val="15"/>
              </c:numCache>
            </c:numRef>
          </c:val>
          <c:extLst>
            <c:ext xmlns:c16="http://schemas.microsoft.com/office/drawing/2014/chart" uri="{C3380CC4-5D6E-409C-BE32-E72D297353CC}">
              <c16:uniqueId val="{00000028-1E1C-439F-B317-006AEF6DB8B7}"/>
            </c:ext>
          </c:extLst>
        </c:ser>
        <c:ser>
          <c:idx val="3"/>
          <c:order val="12"/>
          <c:tx>
            <c:strRef>
              <c:f>'1.'!$Z$2</c:f>
              <c:strCache>
                <c:ptCount val="1"/>
                <c:pt idx="0">
                  <c:v>Other materials</c:v>
                </c:pt>
              </c:strCache>
            </c:strRef>
          </c:tx>
          <c:spPr>
            <a:solidFill>
              <a:srgbClr val="5D95C7"/>
            </a:solidFill>
            <a:ln>
              <a:noFill/>
            </a:ln>
            <a:effectLst/>
          </c:spPr>
          <c:invertIfNegative val="0"/>
          <c:cat>
            <c:strRef>
              <c:f>'1.'!$B$73:$B$87</c:f>
              <c:strCache>
                <c:ptCount val="15"/>
                <c:pt idx="0">
                  <c:v>Cookery equipment</c:v>
                </c:pt>
                <c:pt idx="1">
                  <c:v>Chairs and couches</c:v>
                </c:pt>
                <c:pt idx="2">
                  <c:v>Office furniture</c:v>
                </c:pt>
                <c:pt idx="3">
                  <c:v>Kitchen furniture</c:v>
                </c:pt>
                <c:pt idx="4">
                  <c:v>Matrasses</c:v>
                </c:pt>
                <c:pt idx="5">
                  <c:v>Bedroom furniture</c:v>
                </c:pt>
                <c:pt idx="6">
                  <c:v>Other furniture</c:v>
                </c:pt>
                <c:pt idx="7">
                  <c:v>Jewelry and coins</c:v>
                </c:pt>
                <c:pt idx="8">
                  <c:v>Musical instruments</c:v>
                </c:pt>
                <c:pt idx="9">
                  <c:v>Sports equipment</c:v>
                </c:pt>
                <c:pt idx="10">
                  <c:v>Toys and games</c:v>
                </c:pt>
                <c:pt idx="11">
                  <c:v>Spectacles / contact lenses</c:v>
                </c:pt>
                <c:pt idx="12">
                  <c:v>Medical equipment</c:v>
                </c:pt>
                <c:pt idx="13">
                  <c:v>Writing/drawing utensils</c:v>
                </c:pt>
                <c:pt idx="14">
                  <c:v>Other</c:v>
                </c:pt>
              </c:strCache>
            </c:strRef>
          </c:cat>
          <c:val>
            <c:numRef>
              <c:f>'1.'!$Z$73:$Z$87</c:f>
              <c:numCache>
                <c:formatCode>0.00E+00</c:formatCode>
                <c:ptCount val="15"/>
                <c:pt idx="1">
                  <c:v>16949.441539731</c:v>
                </c:pt>
                <c:pt idx="2">
                  <c:v>52758.7275616439</c:v>
                </c:pt>
                <c:pt idx="3">
                  <c:v>30444.440655009541</c:v>
                </c:pt>
                <c:pt idx="4">
                  <c:v>170065.591621592</c:v>
                </c:pt>
                <c:pt idx="5">
                  <c:v>2385321.0499999998</c:v>
                </c:pt>
                <c:pt idx="6">
                  <c:v>87137.329228937597</c:v>
                </c:pt>
                <c:pt idx="7">
                  <c:v>46.924823665139598</c:v>
                </c:pt>
                <c:pt idx="8">
                  <c:v>59785.835491059399</c:v>
                </c:pt>
                <c:pt idx="9">
                  <c:v>473743.02539467299</c:v>
                </c:pt>
                <c:pt idx="10">
                  <c:v>343242.70671980124</c:v>
                </c:pt>
                <c:pt idx="11">
                  <c:v>800.66</c:v>
                </c:pt>
                <c:pt idx="12">
                  <c:v>46841.84</c:v>
                </c:pt>
                <c:pt idx="13">
                  <c:v>6607.1084327004</c:v>
                </c:pt>
                <c:pt idx="14">
                  <c:v>12881.343582917289</c:v>
                </c:pt>
              </c:numCache>
            </c:numRef>
          </c:val>
          <c:extLst>
            <c:ext xmlns:c16="http://schemas.microsoft.com/office/drawing/2014/chart" uri="{C3380CC4-5D6E-409C-BE32-E72D297353CC}">
              <c16:uniqueId val="{0000002A-1E1C-439F-B317-006AEF6DB8B7}"/>
            </c:ext>
          </c:extLst>
        </c:ser>
        <c:ser>
          <c:idx val="5"/>
          <c:order val="13"/>
          <c:tx>
            <c:strRef>
              <c:f>'1.'!$AA$2</c:f>
              <c:strCache>
                <c:ptCount val="1"/>
                <c:pt idx="0">
                  <c:v>Glass</c:v>
                </c:pt>
              </c:strCache>
            </c:strRef>
          </c:tx>
          <c:spPr>
            <a:solidFill>
              <a:schemeClr val="tx1"/>
            </a:solidFill>
            <a:ln>
              <a:noFill/>
            </a:ln>
            <a:effectLst/>
          </c:spPr>
          <c:invertIfNegative val="0"/>
          <c:cat>
            <c:strRef>
              <c:f>'1.'!$B$73:$B$87</c:f>
              <c:strCache>
                <c:ptCount val="15"/>
                <c:pt idx="0">
                  <c:v>Cookery equipment</c:v>
                </c:pt>
                <c:pt idx="1">
                  <c:v>Chairs and couches</c:v>
                </c:pt>
                <c:pt idx="2">
                  <c:v>Office furniture</c:v>
                </c:pt>
                <c:pt idx="3">
                  <c:v>Kitchen furniture</c:v>
                </c:pt>
                <c:pt idx="4">
                  <c:v>Matrasses</c:v>
                </c:pt>
                <c:pt idx="5">
                  <c:v>Bedroom furniture</c:v>
                </c:pt>
                <c:pt idx="6">
                  <c:v>Other furniture</c:v>
                </c:pt>
                <c:pt idx="7">
                  <c:v>Jewelry and coins</c:v>
                </c:pt>
                <c:pt idx="8">
                  <c:v>Musical instruments</c:v>
                </c:pt>
                <c:pt idx="9">
                  <c:v>Sports equipment</c:v>
                </c:pt>
                <c:pt idx="10">
                  <c:v>Toys and games</c:v>
                </c:pt>
                <c:pt idx="11">
                  <c:v>Spectacles / contact lenses</c:v>
                </c:pt>
                <c:pt idx="12">
                  <c:v>Medical equipment</c:v>
                </c:pt>
                <c:pt idx="13">
                  <c:v>Writing/drawing utensils</c:v>
                </c:pt>
                <c:pt idx="14">
                  <c:v>Other</c:v>
                </c:pt>
              </c:strCache>
            </c:strRef>
          </c:cat>
          <c:val>
            <c:numRef>
              <c:f>'1.'!$AA$73:$AA$87</c:f>
              <c:numCache>
                <c:formatCode>0.00E+00</c:formatCode>
                <c:ptCount val="15"/>
                <c:pt idx="0">
                  <c:v>13438.0500686247</c:v>
                </c:pt>
                <c:pt idx="1">
                  <c:v>20861.982477281399</c:v>
                </c:pt>
                <c:pt idx="3">
                  <c:v>255556.89487830299</c:v>
                </c:pt>
              </c:numCache>
            </c:numRef>
          </c:val>
          <c:extLst>
            <c:ext xmlns:c16="http://schemas.microsoft.com/office/drawing/2014/chart" uri="{C3380CC4-5D6E-409C-BE32-E72D297353CC}">
              <c16:uniqueId val="{0000002C-1E1C-439F-B317-006AEF6DB8B7}"/>
            </c:ext>
          </c:extLst>
        </c:ser>
        <c:ser>
          <c:idx val="10"/>
          <c:order val="14"/>
          <c:tx>
            <c:strRef>
              <c:f>'1.'!$AB$2</c:f>
              <c:strCache>
                <c:ptCount val="1"/>
                <c:pt idx="0">
                  <c:v>Ceramics</c:v>
                </c:pt>
              </c:strCache>
            </c:strRef>
          </c:tx>
          <c:spPr>
            <a:solidFill>
              <a:srgbClr val="CC3300"/>
            </a:solidFill>
          </c:spPr>
          <c:invertIfNegative val="0"/>
          <c:cat>
            <c:strRef>
              <c:f>'1.'!$B$73:$B$87</c:f>
              <c:strCache>
                <c:ptCount val="15"/>
                <c:pt idx="0">
                  <c:v>Cookery equipment</c:v>
                </c:pt>
                <c:pt idx="1">
                  <c:v>Chairs and couches</c:v>
                </c:pt>
                <c:pt idx="2">
                  <c:v>Office furniture</c:v>
                </c:pt>
                <c:pt idx="3">
                  <c:v>Kitchen furniture</c:v>
                </c:pt>
                <c:pt idx="4">
                  <c:v>Matrasses</c:v>
                </c:pt>
                <c:pt idx="5">
                  <c:v>Bedroom furniture</c:v>
                </c:pt>
                <c:pt idx="6">
                  <c:v>Other furniture</c:v>
                </c:pt>
                <c:pt idx="7">
                  <c:v>Jewelry and coins</c:v>
                </c:pt>
                <c:pt idx="8">
                  <c:v>Musical instruments</c:v>
                </c:pt>
                <c:pt idx="9">
                  <c:v>Sports equipment</c:v>
                </c:pt>
                <c:pt idx="10">
                  <c:v>Toys and games</c:v>
                </c:pt>
                <c:pt idx="11">
                  <c:v>Spectacles / contact lenses</c:v>
                </c:pt>
                <c:pt idx="12">
                  <c:v>Medical equipment</c:v>
                </c:pt>
                <c:pt idx="13">
                  <c:v>Writing/drawing utensils</c:v>
                </c:pt>
                <c:pt idx="14">
                  <c:v>Other</c:v>
                </c:pt>
              </c:strCache>
            </c:strRef>
          </c:cat>
          <c:val>
            <c:numRef>
              <c:f>'1.'!$AB$73:$AB$87</c:f>
              <c:numCache>
                <c:formatCode>0.00E+00</c:formatCode>
                <c:ptCount val="15"/>
              </c:numCache>
            </c:numRef>
          </c:val>
          <c:extLst>
            <c:ext xmlns:c16="http://schemas.microsoft.com/office/drawing/2014/chart" uri="{C3380CC4-5D6E-409C-BE32-E72D297353CC}">
              <c16:uniqueId val="{0000002D-1E1C-439F-B317-006AEF6DB8B7}"/>
            </c:ext>
          </c:extLst>
        </c:ser>
        <c:ser>
          <c:idx val="11"/>
          <c:order val="15"/>
          <c:tx>
            <c:strRef>
              <c:f>'1.'!$AC$2</c:f>
              <c:strCache>
                <c:ptCount val="1"/>
                <c:pt idx="0">
                  <c:v>Textile, unspec.</c:v>
                </c:pt>
              </c:strCache>
            </c:strRef>
          </c:tx>
          <c:spPr>
            <a:solidFill>
              <a:srgbClr val="E6549D"/>
            </a:solidFill>
          </c:spPr>
          <c:invertIfNegative val="0"/>
          <c:cat>
            <c:strRef>
              <c:f>'1.'!$B$73:$B$87</c:f>
              <c:strCache>
                <c:ptCount val="15"/>
                <c:pt idx="0">
                  <c:v>Cookery equipment</c:v>
                </c:pt>
                <c:pt idx="1">
                  <c:v>Chairs and couches</c:v>
                </c:pt>
                <c:pt idx="2">
                  <c:v>Office furniture</c:v>
                </c:pt>
                <c:pt idx="3">
                  <c:v>Kitchen furniture</c:v>
                </c:pt>
                <c:pt idx="4">
                  <c:v>Matrasses</c:v>
                </c:pt>
                <c:pt idx="5">
                  <c:v>Bedroom furniture</c:v>
                </c:pt>
                <c:pt idx="6">
                  <c:v>Other furniture</c:v>
                </c:pt>
                <c:pt idx="7">
                  <c:v>Jewelry and coins</c:v>
                </c:pt>
                <c:pt idx="8">
                  <c:v>Musical instruments</c:v>
                </c:pt>
                <c:pt idx="9">
                  <c:v>Sports equipment</c:v>
                </c:pt>
                <c:pt idx="10">
                  <c:v>Toys and games</c:v>
                </c:pt>
                <c:pt idx="11">
                  <c:v>Spectacles / contact lenses</c:v>
                </c:pt>
                <c:pt idx="12">
                  <c:v>Medical equipment</c:v>
                </c:pt>
                <c:pt idx="13">
                  <c:v>Writing/drawing utensils</c:v>
                </c:pt>
                <c:pt idx="14">
                  <c:v>Other</c:v>
                </c:pt>
              </c:strCache>
            </c:strRef>
          </c:cat>
          <c:val>
            <c:numRef>
              <c:f>'1.'!$AC$73:$AC$87</c:f>
              <c:numCache>
                <c:formatCode>0.00E+00</c:formatCode>
                <c:ptCount val="15"/>
                <c:pt idx="1">
                  <c:v>61412.014429486997</c:v>
                </c:pt>
                <c:pt idx="3">
                  <c:v>640.627269383672</c:v>
                </c:pt>
                <c:pt idx="4">
                  <c:v>78235.687343591897</c:v>
                </c:pt>
                <c:pt idx="6">
                  <c:v>20444.266575249701</c:v>
                </c:pt>
              </c:numCache>
            </c:numRef>
          </c:val>
          <c:extLst>
            <c:ext xmlns:c16="http://schemas.microsoft.com/office/drawing/2014/chart" uri="{C3380CC4-5D6E-409C-BE32-E72D297353CC}">
              <c16:uniqueId val="{0000002E-1E1C-439F-B317-006AEF6DB8B7}"/>
            </c:ext>
          </c:extLst>
        </c:ser>
        <c:ser>
          <c:idx val="16"/>
          <c:order val="16"/>
          <c:tx>
            <c:strRef>
              <c:f>'1.'!$BE$2</c:f>
              <c:strCache>
                <c:ptCount val="1"/>
                <c:pt idx="0">
                  <c:v>Total CRM</c:v>
                </c:pt>
              </c:strCache>
            </c:strRef>
          </c:tx>
          <c:spPr>
            <a:solidFill>
              <a:srgbClr val="8C386A"/>
            </a:solidFill>
          </c:spPr>
          <c:invertIfNegative val="0"/>
          <c:cat>
            <c:strRef>
              <c:f>'1.'!$B$73:$B$87</c:f>
              <c:strCache>
                <c:ptCount val="15"/>
                <c:pt idx="0">
                  <c:v>Cookery equipment</c:v>
                </c:pt>
                <c:pt idx="1">
                  <c:v>Chairs and couches</c:v>
                </c:pt>
                <c:pt idx="2">
                  <c:v>Office furniture</c:v>
                </c:pt>
                <c:pt idx="3">
                  <c:v>Kitchen furniture</c:v>
                </c:pt>
                <c:pt idx="4">
                  <c:v>Matrasses</c:v>
                </c:pt>
                <c:pt idx="5">
                  <c:v>Bedroom furniture</c:v>
                </c:pt>
                <c:pt idx="6">
                  <c:v>Other furniture</c:v>
                </c:pt>
                <c:pt idx="7">
                  <c:v>Jewelry and coins</c:v>
                </c:pt>
                <c:pt idx="8">
                  <c:v>Musical instruments</c:v>
                </c:pt>
                <c:pt idx="9">
                  <c:v>Sports equipment</c:v>
                </c:pt>
                <c:pt idx="10">
                  <c:v>Toys and games</c:v>
                </c:pt>
                <c:pt idx="11">
                  <c:v>Spectacles / contact lenses</c:v>
                </c:pt>
                <c:pt idx="12">
                  <c:v>Medical equipment</c:v>
                </c:pt>
                <c:pt idx="13">
                  <c:v>Writing/drawing utensils</c:v>
                </c:pt>
                <c:pt idx="14">
                  <c:v>Other</c:v>
                </c:pt>
              </c:strCache>
            </c:strRef>
          </c:cat>
          <c:val>
            <c:numRef>
              <c:f>'1.'!$BE$73:$BE$87</c:f>
              <c:numCache>
                <c:formatCode>0.00E+00</c:formatCode>
                <c:ptCount val="15"/>
                <c:pt idx="7">
                  <c:v>18486.425323078998</c:v>
                </c:pt>
                <c:pt idx="11">
                  <c:v>1.55036141089344</c:v>
                </c:pt>
                <c:pt idx="12">
                  <c:v>3197.8842719122235</c:v>
                </c:pt>
              </c:numCache>
            </c:numRef>
          </c:val>
          <c:extLst>
            <c:ext xmlns:c16="http://schemas.microsoft.com/office/drawing/2014/chart" uri="{C3380CC4-5D6E-409C-BE32-E72D297353CC}">
              <c16:uniqueId val="{0000002F-1E1C-439F-B317-006AEF6DB8B7}"/>
            </c:ext>
          </c:extLst>
        </c:ser>
        <c:dLbls>
          <c:showLegendKey val="0"/>
          <c:showVal val="0"/>
          <c:showCatName val="0"/>
          <c:showSerName val="0"/>
          <c:showPercent val="0"/>
          <c:showBubbleSize val="0"/>
        </c:dLbls>
        <c:gapWidth val="60"/>
        <c:overlap val="100"/>
        <c:axId val="2049683967"/>
        <c:axId val="2049684383"/>
        <c:extLst/>
      </c:barChart>
      <c:catAx>
        <c:axId val="2049683967"/>
        <c:scaling>
          <c:orientation val="minMax"/>
        </c:scaling>
        <c:delete val="0"/>
        <c:axPos val="b"/>
        <c:numFmt formatCode="General" sourceLinked="1"/>
        <c:majorTickMark val="none"/>
        <c:minorTickMark val="none"/>
        <c:tickLblPos val="nextTo"/>
        <c:spPr>
          <a:noFill/>
          <a:ln w="9525" cap="flat" cmpd="sng" algn="ctr">
            <a:solidFill>
              <a:schemeClr val="tx1"/>
            </a:solidFill>
            <a:round/>
          </a:ln>
          <a:effectLst/>
        </c:spPr>
        <c:txPr>
          <a:bodyPr rot="-60000000" vert="horz"/>
          <a:lstStyle/>
          <a:p>
            <a:pPr>
              <a:defRPr/>
            </a:pPr>
            <a:endParaRPr lang="nl-NL"/>
          </a:p>
        </c:txPr>
        <c:crossAx val="2049684383"/>
        <c:crosses val="autoZero"/>
        <c:auto val="1"/>
        <c:lblAlgn val="ctr"/>
        <c:lblOffset val="100"/>
        <c:noMultiLvlLbl val="0"/>
      </c:catAx>
      <c:valAx>
        <c:axId val="2049684383"/>
        <c:scaling>
          <c:orientation val="minMax"/>
        </c:scaling>
        <c:delete val="0"/>
        <c:axPos val="l"/>
        <c:title>
          <c:tx>
            <c:rich>
              <a:bodyPr rot="-5400000" vert="horz"/>
              <a:lstStyle/>
              <a:p>
                <a:pPr>
                  <a:defRPr b="1"/>
                </a:pPr>
                <a:r>
                  <a:rPr lang="en-US" b="1"/>
                  <a:t>ton</a:t>
                </a:r>
              </a:p>
            </c:rich>
          </c:tx>
          <c:overlay val="0"/>
          <c:spPr>
            <a:noFill/>
            <a:ln>
              <a:noFill/>
            </a:ln>
            <a:effectLst/>
          </c:spPr>
        </c:title>
        <c:numFmt formatCode="0.E+00" sourceLinked="0"/>
        <c:majorTickMark val="none"/>
        <c:minorTickMark val="none"/>
        <c:tickLblPos val="nextTo"/>
        <c:spPr>
          <a:noFill/>
          <a:ln>
            <a:solidFill>
              <a:schemeClr val="tx1"/>
            </a:solidFill>
          </a:ln>
          <a:effectLst/>
        </c:spPr>
        <c:txPr>
          <a:bodyPr rot="-60000000" vert="horz"/>
          <a:lstStyle/>
          <a:p>
            <a:pPr>
              <a:defRPr/>
            </a:pPr>
            <a:endParaRPr lang="nl-NL"/>
          </a:p>
        </c:txPr>
        <c:crossAx val="2049683967"/>
        <c:crosses val="autoZero"/>
        <c:crossBetween val="between"/>
      </c:valAx>
    </c:plotArea>
    <c:legend>
      <c:legendPos val="tr"/>
      <c:layout>
        <c:manualLayout>
          <c:xMode val="edge"/>
          <c:yMode val="edge"/>
          <c:x val="0.67698171770890225"/>
          <c:y val="6.0592154867371198E-2"/>
          <c:w val="0.29130612461540545"/>
          <c:h val="0.93542261413189065"/>
        </c:manualLayout>
      </c:layout>
      <c:overlay val="0"/>
      <c:spPr>
        <a:noFill/>
        <a:ln>
          <a:solidFill>
            <a:schemeClr val="tx1"/>
          </a:solidFill>
        </a:ln>
        <a:effectLst/>
      </c:spPr>
      <c:txPr>
        <a:bodyPr rot="0" vert="horz"/>
        <a:lstStyle/>
        <a:p>
          <a:pPr>
            <a:defRPr/>
          </a:pPr>
          <a:endParaRPr lang="nl-NL"/>
        </a:p>
      </c:txPr>
    </c:legend>
    <c:plotVisOnly val="1"/>
    <c:dispBlanksAs val="gap"/>
    <c:showDLblsOverMax val="0"/>
    <c:extLst/>
  </c:chart>
  <c:spPr>
    <a:solidFill>
      <a:schemeClr val="bg1"/>
    </a:solidFill>
    <a:ln w="9525" cap="flat" cmpd="sng" algn="ctr">
      <a:noFill/>
      <a:round/>
    </a:ln>
    <a:effectLst/>
  </c:spPr>
  <c:txPr>
    <a:bodyPr/>
    <a:lstStyle/>
    <a:p>
      <a:pPr>
        <a:defRPr sz="800" b="0">
          <a:solidFill>
            <a:sysClr val="windowText" lastClr="000000"/>
          </a:solidFill>
          <a:latin typeface="Avenir Next LT Pro" panose="020B0504020202020204" pitchFamily="34" charset="0"/>
        </a:defRPr>
      </a:pPr>
      <a:endParaRPr lang="nl-NL"/>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13" Type="http://schemas.openxmlformats.org/officeDocument/2006/relationships/chart" Target="../charts/chart13.xml"/><Relationship Id="rId18" Type="http://schemas.openxmlformats.org/officeDocument/2006/relationships/chart" Target="../charts/chart18.xml"/><Relationship Id="rId3" Type="http://schemas.openxmlformats.org/officeDocument/2006/relationships/chart" Target="../charts/chart3.xml"/><Relationship Id="rId21" Type="http://schemas.openxmlformats.org/officeDocument/2006/relationships/chart" Target="../charts/chart21.xml"/><Relationship Id="rId7" Type="http://schemas.openxmlformats.org/officeDocument/2006/relationships/chart" Target="../charts/chart7.xml"/><Relationship Id="rId12" Type="http://schemas.openxmlformats.org/officeDocument/2006/relationships/chart" Target="../charts/chart12.xml"/><Relationship Id="rId17" Type="http://schemas.openxmlformats.org/officeDocument/2006/relationships/chart" Target="../charts/chart17.xml"/><Relationship Id="rId2" Type="http://schemas.openxmlformats.org/officeDocument/2006/relationships/chart" Target="../charts/chart2.xml"/><Relationship Id="rId16" Type="http://schemas.openxmlformats.org/officeDocument/2006/relationships/chart" Target="../charts/chart16.xml"/><Relationship Id="rId20" Type="http://schemas.openxmlformats.org/officeDocument/2006/relationships/chart" Target="../charts/chart20.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5" Type="http://schemas.openxmlformats.org/officeDocument/2006/relationships/chart" Target="../charts/chart15.xml"/><Relationship Id="rId23" Type="http://schemas.openxmlformats.org/officeDocument/2006/relationships/chart" Target="../charts/chart23.xml"/><Relationship Id="rId10" Type="http://schemas.openxmlformats.org/officeDocument/2006/relationships/chart" Target="../charts/chart10.xml"/><Relationship Id="rId19" Type="http://schemas.openxmlformats.org/officeDocument/2006/relationships/chart" Target="../charts/chart19.xml"/><Relationship Id="rId4" Type="http://schemas.openxmlformats.org/officeDocument/2006/relationships/chart" Target="../charts/chart4.xml"/><Relationship Id="rId9" Type="http://schemas.openxmlformats.org/officeDocument/2006/relationships/chart" Target="../charts/chart9.xml"/><Relationship Id="rId14" Type="http://schemas.openxmlformats.org/officeDocument/2006/relationships/chart" Target="../charts/chart14.xml"/><Relationship Id="rId22" Type="http://schemas.openxmlformats.org/officeDocument/2006/relationships/chart" Target="../charts/chart22.xml"/></Relationships>
</file>

<file path=xl/drawings/drawing1.xml><?xml version="1.0" encoding="utf-8"?>
<xdr:wsDr xmlns:xdr="http://schemas.openxmlformats.org/drawingml/2006/spreadsheetDrawing" xmlns:a="http://schemas.openxmlformats.org/drawingml/2006/main">
  <xdr:twoCellAnchor>
    <xdr:from>
      <xdr:col>1</xdr:col>
      <xdr:colOff>572793</xdr:colOff>
      <xdr:row>223</xdr:row>
      <xdr:rowOff>103857</xdr:rowOff>
    </xdr:from>
    <xdr:to>
      <xdr:col>12</xdr:col>
      <xdr:colOff>400050</xdr:colOff>
      <xdr:row>246</xdr:row>
      <xdr:rowOff>84485</xdr:rowOff>
    </xdr:to>
    <xdr:graphicFrame macro="">
      <xdr:nvGraphicFramePr>
        <xdr:cNvPr id="21" name="Chart 20">
          <a:extLst>
            <a:ext uri="{FF2B5EF4-FFF2-40B4-BE49-F238E27FC236}">
              <a16:creationId xmlns:a16="http://schemas.microsoft.com/office/drawing/2014/main" id="{D503B56A-736A-CCE0-098E-445EAC5A183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928631</xdr:colOff>
      <xdr:row>223</xdr:row>
      <xdr:rowOff>178164</xdr:rowOff>
    </xdr:from>
    <xdr:to>
      <xdr:col>10</xdr:col>
      <xdr:colOff>537210</xdr:colOff>
      <xdr:row>246</xdr:row>
      <xdr:rowOff>14623</xdr:rowOff>
    </xdr:to>
    <xdr:graphicFrame macro="">
      <xdr:nvGraphicFramePr>
        <xdr:cNvPr id="36" name="Chart 35">
          <a:extLst>
            <a:ext uri="{FF2B5EF4-FFF2-40B4-BE49-F238E27FC236}">
              <a16:creationId xmlns:a16="http://schemas.microsoft.com/office/drawing/2014/main" id="{90D43577-4DC9-4621-98B5-90F16D1C148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509229</xdr:colOff>
      <xdr:row>103</xdr:row>
      <xdr:rowOff>187976</xdr:rowOff>
    </xdr:from>
    <xdr:to>
      <xdr:col>3</xdr:col>
      <xdr:colOff>234863</xdr:colOff>
      <xdr:row>126</xdr:row>
      <xdr:rowOff>64695</xdr:rowOff>
    </xdr:to>
    <xdr:graphicFrame macro="">
      <xdr:nvGraphicFramePr>
        <xdr:cNvPr id="4" name="Chart 3">
          <a:extLst>
            <a:ext uri="{FF2B5EF4-FFF2-40B4-BE49-F238E27FC236}">
              <a16:creationId xmlns:a16="http://schemas.microsoft.com/office/drawing/2014/main" id="{61ABD2F1-1D3A-8754-6628-91F512B7D60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3</xdr:col>
      <xdr:colOff>484910</xdr:colOff>
      <xdr:row>103</xdr:row>
      <xdr:rowOff>225136</xdr:rowOff>
    </xdr:from>
    <xdr:to>
      <xdr:col>9</xdr:col>
      <xdr:colOff>496364</xdr:colOff>
      <xdr:row>126</xdr:row>
      <xdr:rowOff>98045</xdr:rowOff>
    </xdr:to>
    <xdr:graphicFrame macro="">
      <xdr:nvGraphicFramePr>
        <xdr:cNvPr id="30" name="Chart 29">
          <a:extLst>
            <a:ext uri="{FF2B5EF4-FFF2-40B4-BE49-F238E27FC236}">
              <a16:creationId xmlns:a16="http://schemas.microsoft.com/office/drawing/2014/main" id="{9051DD5D-FD73-45B4-AE3D-C0B79BD7508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10</xdr:col>
      <xdr:colOff>19183</xdr:colOff>
      <xdr:row>104</xdr:row>
      <xdr:rowOff>27901</xdr:rowOff>
    </xdr:from>
    <xdr:to>
      <xdr:col>15</xdr:col>
      <xdr:colOff>619125</xdr:colOff>
      <xdr:row>126</xdr:row>
      <xdr:rowOff>171450</xdr:rowOff>
    </xdr:to>
    <xdr:graphicFrame macro="">
      <xdr:nvGraphicFramePr>
        <xdr:cNvPr id="34" name="Chart 33">
          <a:extLst>
            <a:ext uri="{FF2B5EF4-FFF2-40B4-BE49-F238E27FC236}">
              <a16:creationId xmlns:a16="http://schemas.microsoft.com/office/drawing/2014/main" id="{339A4223-D4EC-46F7-AAF0-64A45731FFF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xdr:col>
      <xdr:colOff>590214</xdr:colOff>
      <xdr:row>127</xdr:row>
      <xdr:rowOff>98882</xdr:rowOff>
    </xdr:from>
    <xdr:to>
      <xdr:col>3</xdr:col>
      <xdr:colOff>246547</xdr:colOff>
      <xdr:row>149</xdr:row>
      <xdr:rowOff>167240</xdr:rowOff>
    </xdr:to>
    <xdr:graphicFrame macro="">
      <xdr:nvGraphicFramePr>
        <xdr:cNvPr id="11" name="Chart 10">
          <a:extLst>
            <a:ext uri="{FF2B5EF4-FFF2-40B4-BE49-F238E27FC236}">
              <a16:creationId xmlns:a16="http://schemas.microsoft.com/office/drawing/2014/main" id="{1B647436-7444-FFE7-4146-DCA9EFF0EC8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3</xdr:col>
      <xdr:colOff>423892</xdr:colOff>
      <xdr:row>127</xdr:row>
      <xdr:rowOff>134054</xdr:rowOff>
    </xdr:from>
    <xdr:to>
      <xdr:col>9</xdr:col>
      <xdr:colOff>407778</xdr:colOff>
      <xdr:row>150</xdr:row>
      <xdr:rowOff>27424</xdr:rowOff>
    </xdr:to>
    <xdr:graphicFrame macro="">
      <xdr:nvGraphicFramePr>
        <xdr:cNvPr id="35" name="Chart 34">
          <a:extLst>
            <a:ext uri="{FF2B5EF4-FFF2-40B4-BE49-F238E27FC236}">
              <a16:creationId xmlns:a16="http://schemas.microsoft.com/office/drawing/2014/main" id="{B2FD5216-7212-4EFD-9B0F-61335AEA1E2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xdr:col>
      <xdr:colOff>106680</xdr:colOff>
      <xdr:row>152</xdr:row>
      <xdr:rowOff>39190</xdr:rowOff>
    </xdr:from>
    <xdr:to>
      <xdr:col>3</xdr:col>
      <xdr:colOff>115165</xdr:colOff>
      <xdr:row>174</xdr:row>
      <xdr:rowOff>19645</xdr:rowOff>
    </xdr:to>
    <xdr:graphicFrame macro="">
      <xdr:nvGraphicFramePr>
        <xdr:cNvPr id="13" name="Chart 12">
          <a:extLst>
            <a:ext uri="{FF2B5EF4-FFF2-40B4-BE49-F238E27FC236}">
              <a16:creationId xmlns:a16="http://schemas.microsoft.com/office/drawing/2014/main" id="{FD29B0F2-4D2B-75E5-4510-245A603AEF4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xdr:col>
      <xdr:colOff>643717</xdr:colOff>
      <xdr:row>175</xdr:row>
      <xdr:rowOff>125382</xdr:rowOff>
    </xdr:from>
    <xdr:to>
      <xdr:col>3</xdr:col>
      <xdr:colOff>310713</xdr:colOff>
      <xdr:row>198</xdr:row>
      <xdr:rowOff>106010</xdr:rowOff>
    </xdr:to>
    <xdr:graphicFrame macro="">
      <xdr:nvGraphicFramePr>
        <xdr:cNvPr id="18" name="Chart 17">
          <a:extLst>
            <a:ext uri="{FF2B5EF4-FFF2-40B4-BE49-F238E27FC236}">
              <a16:creationId xmlns:a16="http://schemas.microsoft.com/office/drawing/2014/main" id="{B222DF5B-41B7-E6F7-6011-99C4CBF52AF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xdr:col>
      <xdr:colOff>916996</xdr:colOff>
      <xdr:row>199</xdr:row>
      <xdr:rowOff>167814</xdr:rowOff>
    </xdr:from>
    <xdr:to>
      <xdr:col>3</xdr:col>
      <xdr:colOff>583992</xdr:colOff>
      <xdr:row>222</xdr:row>
      <xdr:rowOff>148442</xdr:rowOff>
    </xdr:to>
    <xdr:graphicFrame macro="">
      <xdr:nvGraphicFramePr>
        <xdr:cNvPr id="20" name="Chart 19">
          <a:extLst>
            <a:ext uri="{FF2B5EF4-FFF2-40B4-BE49-F238E27FC236}">
              <a16:creationId xmlns:a16="http://schemas.microsoft.com/office/drawing/2014/main" id="{9F13A034-CB77-5D78-5B80-B0DFE7A6E68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10</xdr:col>
      <xdr:colOff>171449</xdr:colOff>
      <xdr:row>127</xdr:row>
      <xdr:rowOff>64770</xdr:rowOff>
    </xdr:from>
    <xdr:to>
      <xdr:col>16</xdr:col>
      <xdr:colOff>390525</xdr:colOff>
      <xdr:row>149</xdr:row>
      <xdr:rowOff>142653</xdr:rowOff>
    </xdr:to>
    <xdr:graphicFrame macro="">
      <xdr:nvGraphicFramePr>
        <xdr:cNvPr id="28" name="Chart 27">
          <a:extLst>
            <a:ext uri="{FF2B5EF4-FFF2-40B4-BE49-F238E27FC236}">
              <a16:creationId xmlns:a16="http://schemas.microsoft.com/office/drawing/2014/main" id="{EC8067DF-4345-4A9E-BD66-B0ECCBFC5E3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10</xdr:col>
      <xdr:colOff>152400</xdr:colOff>
      <xdr:row>152</xdr:row>
      <xdr:rowOff>67235</xdr:rowOff>
    </xdr:from>
    <xdr:to>
      <xdr:col>15</xdr:col>
      <xdr:colOff>472440</xdr:colOff>
      <xdr:row>174</xdr:row>
      <xdr:rowOff>49595</xdr:rowOff>
    </xdr:to>
    <xdr:graphicFrame macro="">
      <xdr:nvGraphicFramePr>
        <xdr:cNvPr id="33" name="Chart 32">
          <a:extLst>
            <a:ext uri="{FF2B5EF4-FFF2-40B4-BE49-F238E27FC236}">
              <a16:creationId xmlns:a16="http://schemas.microsoft.com/office/drawing/2014/main" id="{F0365858-777A-429E-9684-A34E0E6E061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16</xdr:col>
      <xdr:colOff>64770</xdr:colOff>
      <xdr:row>102</xdr:row>
      <xdr:rowOff>228600</xdr:rowOff>
    </xdr:from>
    <xdr:to>
      <xdr:col>22</xdr:col>
      <xdr:colOff>47625</xdr:colOff>
      <xdr:row>126</xdr:row>
      <xdr:rowOff>133350</xdr:rowOff>
    </xdr:to>
    <xdr:graphicFrame macro="">
      <xdr:nvGraphicFramePr>
        <xdr:cNvPr id="43" name="Chart 42">
          <a:extLst>
            <a:ext uri="{FF2B5EF4-FFF2-40B4-BE49-F238E27FC236}">
              <a16:creationId xmlns:a16="http://schemas.microsoft.com/office/drawing/2014/main" id="{5DA10DB2-0E29-4A90-8325-D972B2692E5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2</xdr:col>
      <xdr:colOff>579120</xdr:colOff>
      <xdr:row>152</xdr:row>
      <xdr:rowOff>31376</xdr:rowOff>
    </xdr:from>
    <xdr:to>
      <xdr:col>9</xdr:col>
      <xdr:colOff>75368</xdr:colOff>
      <xdr:row>174</xdr:row>
      <xdr:rowOff>11831</xdr:rowOff>
    </xdr:to>
    <xdr:graphicFrame macro="">
      <xdr:nvGraphicFramePr>
        <xdr:cNvPr id="5" name="Chart 12">
          <a:extLst>
            <a:ext uri="{FF2B5EF4-FFF2-40B4-BE49-F238E27FC236}">
              <a16:creationId xmlns:a16="http://schemas.microsoft.com/office/drawing/2014/main" id="{A83FC404-A57C-4F1F-BFFB-2FD32DE0B35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xdr:col>
      <xdr:colOff>655320</xdr:colOff>
      <xdr:row>299</xdr:row>
      <xdr:rowOff>173082</xdr:rowOff>
    </xdr:from>
    <xdr:to>
      <xdr:col>4</xdr:col>
      <xdr:colOff>259080</xdr:colOff>
      <xdr:row>322</xdr:row>
      <xdr:rowOff>112668</xdr:rowOff>
    </xdr:to>
    <xdr:graphicFrame macro="">
      <xdr:nvGraphicFramePr>
        <xdr:cNvPr id="9" name="Chart 37">
          <a:extLst>
            <a:ext uri="{FF2B5EF4-FFF2-40B4-BE49-F238E27FC236}">
              <a16:creationId xmlns:a16="http://schemas.microsoft.com/office/drawing/2014/main" id="{87D3E927-EC74-4AC5-80B1-0B13846DD67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1</xdr:col>
      <xdr:colOff>493668</xdr:colOff>
      <xdr:row>323</xdr:row>
      <xdr:rowOff>153488</xdr:rowOff>
    </xdr:from>
    <xdr:to>
      <xdr:col>3</xdr:col>
      <xdr:colOff>541020</xdr:colOff>
      <xdr:row>346</xdr:row>
      <xdr:rowOff>77831</xdr:rowOff>
    </xdr:to>
    <xdr:graphicFrame macro="">
      <xdr:nvGraphicFramePr>
        <xdr:cNvPr id="10" name="Chart 38">
          <a:extLst>
            <a:ext uri="{FF2B5EF4-FFF2-40B4-BE49-F238E27FC236}">
              <a16:creationId xmlns:a16="http://schemas.microsoft.com/office/drawing/2014/main" id="{E537B0C8-B4D9-4B13-99D1-A5A655F79DC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xdr:col>
      <xdr:colOff>503463</xdr:colOff>
      <xdr:row>396</xdr:row>
      <xdr:rowOff>73751</xdr:rowOff>
    </xdr:from>
    <xdr:to>
      <xdr:col>3</xdr:col>
      <xdr:colOff>542924</xdr:colOff>
      <xdr:row>418</xdr:row>
      <xdr:rowOff>120287</xdr:rowOff>
    </xdr:to>
    <xdr:graphicFrame macro="">
      <xdr:nvGraphicFramePr>
        <xdr:cNvPr id="15" name="Chart 46">
          <a:extLst>
            <a:ext uri="{FF2B5EF4-FFF2-40B4-BE49-F238E27FC236}">
              <a16:creationId xmlns:a16="http://schemas.microsoft.com/office/drawing/2014/main" id="{D6F5D572-99E8-4E83-BF4C-C55B10F9E71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1</xdr:col>
      <xdr:colOff>192060</xdr:colOff>
      <xdr:row>419</xdr:row>
      <xdr:rowOff>56978</xdr:rowOff>
    </xdr:from>
    <xdr:to>
      <xdr:col>6</xdr:col>
      <xdr:colOff>684167</xdr:colOff>
      <xdr:row>442</xdr:row>
      <xdr:rowOff>154878</xdr:rowOff>
    </xdr:to>
    <xdr:graphicFrame macro="">
      <xdr:nvGraphicFramePr>
        <xdr:cNvPr id="16" name="Chart 48">
          <a:extLst>
            <a:ext uri="{FF2B5EF4-FFF2-40B4-BE49-F238E27FC236}">
              <a16:creationId xmlns:a16="http://schemas.microsoft.com/office/drawing/2014/main" id="{A6755D7B-627E-4287-A8E2-DA54551B952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xdr:from>
      <xdr:col>1</xdr:col>
      <xdr:colOff>497381</xdr:colOff>
      <xdr:row>451</xdr:row>
      <xdr:rowOff>70509</xdr:rowOff>
    </xdr:from>
    <xdr:to>
      <xdr:col>4</xdr:col>
      <xdr:colOff>1005840</xdr:colOff>
      <xdr:row>474</xdr:row>
      <xdr:rowOff>123514</xdr:rowOff>
    </xdr:to>
    <xdr:graphicFrame macro="">
      <xdr:nvGraphicFramePr>
        <xdr:cNvPr id="17" name="Chart 50">
          <a:extLst>
            <a:ext uri="{FF2B5EF4-FFF2-40B4-BE49-F238E27FC236}">
              <a16:creationId xmlns:a16="http://schemas.microsoft.com/office/drawing/2014/main" id="{34B01F56-4944-4A49-BBC5-1C3DBD2683B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xdr:from>
      <xdr:col>1</xdr:col>
      <xdr:colOff>486227</xdr:colOff>
      <xdr:row>252</xdr:row>
      <xdr:rowOff>113009</xdr:rowOff>
    </xdr:from>
    <xdr:to>
      <xdr:col>6</xdr:col>
      <xdr:colOff>519391</xdr:colOff>
      <xdr:row>273</xdr:row>
      <xdr:rowOff>161441</xdr:rowOff>
    </xdr:to>
    <xdr:graphicFrame macro="">
      <xdr:nvGraphicFramePr>
        <xdr:cNvPr id="29" name="Grafiek 28">
          <a:extLst>
            <a:ext uri="{FF2B5EF4-FFF2-40B4-BE49-F238E27FC236}">
              <a16:creationId xmlns:a16="http://schemas.microsoft.com/office/drawing/2014/main" id="{46172F20-5B1F-43E6-A445-57BE807C678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xdr:from>
      <xdr:col>1</xdr:col>
      <xdr:colOff>403860</xdr:colOff>
      <xdr:row>276</xdr:row>
      <xdr:rowOff>137159</xdr:rowOff>
    </xdr:from>
    <xdr:to>
      <xdr:col>4</xdr:col>
      <xdr:colOff>30480</xdr:colOff>
      <xdr:row>297</xdr:row>
      <xdr:rowOff>129540</xdr:rowOff>
    </xdr:to>
    <xdr:graphicFrame macro="">
      <xdr:nvGraphicFramePr>
        <xdr:cNvPr id="37" name="Grafiek 36">
          <a:extLst>
            <a:ext uri="{FF2B5EF4-FFF2-40B4-BE49-F238E27FC236}">
              <a16:creationId xmlns:a16="http://schemas.microsoft.com/office/drawing/2014/main" id="{AF0A9B21-6BBD-447E-80D6-9FEE42DF116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xdr:from>
      <xdr:col>1</xdr:col>
      <xdr:colOff>399140</xdr:colOff>
      <xdr:row>347</xdr:row>
      <xdr:rowOff>104605</xdr:rowOff>
    </xdr:from>
    <xdr:to>
      <xdr:col>4</xdr:col>
      <xdr:colOff>449579</xdr:colOff>
      <xdr:row>370</xdr:row>
      <xdr:rowOff>69695</xdr:rowOff>
    </xdr:to>
    <xdr:graphicFrame macro="">
      <xdr:nvGraphicFramePr>
        <xdr:cNvPr id="47" name="Grafiek 46">
          <a:extLst>
            <a:ext uri="{FF2B5EF4-FFF2-40B4-BE49-F238E27FC236}">
              <a16:creationId xmlns:a16="http://schemas.microsoft.com/office/drawing/2014/main" id="{03BB60EC-2DD2-445C-954C-AFAA7F6448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xdr:from>
      <xdr:col>1</xdr:col>
      <xdr:colOff>443543</xdr:colOff>
      <xdr:row>371</xdr:row>
      <xdr:rowOff>137161</xdr:rowOff>
    </xdr:from>
    <xdr:to>
      <xdr:col>5</xdr:col>
      <xdr:colOff>654298</xdr:colOff>
      <xdr:row>393</xdr:row>
      <xdr:rowOff>66667</xdr:rowOff>
    </xdr:to>
    <xdr:graphicFrame macro="">
      <xdr:nvGraphicFramePr>
        <xdr:cNvPr id="55" name="Grafiek 54">
          <a:extLst>
            <a:ext uri="{FF2B5EF4-FFF2-40B4-BE49-F238E27FC236}">
              <a16:creationId xmlns:a16="http://schemas.microsoft.com/office/drawing/2014/main" id="{7C93AE4F-1168-477B-A25A-0F115CF23B9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voetevander\surfdrive\PROJEKTE\PBL%20Circular%20Economy\stocks%20project%202022\Copy%20of%20Appendix_2_totaaloverzicht_stedelijke_mijn_v2.xlsx" TargetMode="External"/><Relationship Id="rId1" Type="http://schemas.openxmlformats.org/officeDocument/2006/relationships/externalLinkPath" Target="/Users/voetevander/surfdrive/PROJEKTE/PBL%20Circular%20Economy/stocks%20project%202022/Copy%20of%20Appendix_2_totaaloverzicht_stedelijke_mijn_v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Voorblad"/>
      <sheetName val="1."/>
      <sheetName val="2.1."/>
      <sheetName val="2.2.a"/>
      <sheetName val="2.2.b"/>
      <sheetName val="2.3."/>
      <sheetName val="2.4."/>
      <sheetName val="2.5."/>
      <sheetName val="2.6."/>
      <sheetName val="2.7."/>
      <sheetName val="2.8."/>
      <sheetName val="3."/>
      <sheetName val="4."/>
      <sheetName val="5."/>
    </sheetNames>
    <sheetDataSet>
      <sheetData sheetId="0"/>
      <sheetData sheetId="1">
        <row r="32">
          <cell r="F32">
            <v>537597</v>
          </cell>
          <cell r="M32">
            <v>276610</v>
          </cell>
          <cell r="N32">
            <v>308604</v>
          </cell>
          <cell r="X32">
            <v>177381</v>
          </cell>
        </row>
        <row r="33">
          <cell r="F33">
            <v>10918635</v>
          </cell>
          <cell r="M33">
            <v>75845</v>
          </cell>
          <cell r="N33">
            <v>113880</v>
          </cell>
          <cell r="X33">
            <v>5656429</v>
          </cell>
        </row>
      </sheetData>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persons/person.xml><?xml version="1.0" encoding="utf-8"?>
<personList xmlns="http://schemas.microsoft.com/office/spreadsheetml/2018/threadedcomments" xmlns:x="http://schemas.openxmlformats.org/spreadsheetml/2006/main">
  <person displayName="Janneke van Oorschot" id="{2D23D26B-EE3B-4BD4-9FD3-DD5573029121}" userId="Janneke van Oorschot" providerId="None"/>
</personList>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materialenInProducten_voorraad_wide" connectionId="1" xr16:uid="{63DD6863-5EDC-4CF4-A3F8-99A99F5B4682}"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M3" dT="2022-06-02T11:34:59.57" personId="{2D23D26B-EE3B-4BD4-9FD3-DD5573029121}" id="{FB552322-C8BC-493B-A868-2760EED44E1A}">
    <text>Bitumen</text>
  </threadedComment>
  <threadedComment ref="Q3" dT="2022-09-14T09:02:07.62" personId="{2D23D26B-EE3B-4BD4-9FD3-DD5573029121}" id="{63E1713B-DF43-4A6A-856E-96A2DF1F782A}">
    <text>Classified under “Other metals (non critical)”</text>
  </threadedComment>
  <threadedComment ref="R3" dT="2022-09-14T09:02:14.10" personId="{2D23D26B-EE3B-4BD4-9FD3-DD5573029121}" id="{FE45C4F6-2986-4ED4-8A3E-1499327817E1}">
    <text>Classified under “Other metals (non critical)</text>
  </threadedComment>
  <threadedComment ref="J11" dT="2023-01-12T15:56:03.67" personId="{2D23D26B-EE3B-4BD4-9FD3-DD5573029121}" id="{A228F2A5-D34D-48DD-8928-F2F6C20761BA}">
    <text>Includes bitumen, gypsum, chalk stone, stone and sand, see columns Q to U. Has been redistributed over other categories in rows 3-9, with the exception of bitumen.</text>
  </threadedComment>
</ThreadedComments>
</file>

<file path=xl/threadedComments/threadedComment2.xml><?xml version="1.0" encoding="utf-8"?>
<ThreadedComments xmlns="http://schemas.microsoft.com/office/spreadsheetml/2018/threadedcomments" xmlns:x="http://schemas.openxmlformats.org/spreadsheetml/2006/main">
  <threadedComment ref="I3" dT="2022-06-02T11:35:54.50" personId="{2D23D26B-EE3B-4BD4-9FD3-DD5573029121}" id="{0D4CE306-19AA-41BF-B45C-8C6AF8195580}">
    <text>Gravel, fill sand, clay, soil, industrial sand</text>
  </threadedComment>
  <threadedComment ref="M3" dT="2022-06-02T11:39:14.94" personId="{2D23D26B-EE3B-4BD4-9FD3-DD5573029121}" id="{26B61AAF-DB45-42FA-BD7E-BCC41C3F557B}">
    <text>excipient</text>
  </threadedComment>
  <threadedComment ref="T3" dT="2022-05-20T14:08:55.66" personId="{2D23D26B-EE3B-4BD4-9FD3-DD5573029121}" id="{08685155-7697-491D-AE6C-8AD5FDFC0B81}">
    <text>Overige metalen</text>
  </threadedComment>
</ThreadedComments>
</file>

<file path=xl/threadedComments/threadedComment3.xml><?xml version="1.0" encoding="utf-8"?>
<ThreadedComments xmlns="http://schemas.microsoft.com/office/spreadsheetml/2018/threadedcomments" xmlns:x="http://schemas.openxmlformats.org/spreadsheetml/2006/main">
  <threadedComment ref="I3" dT="2022-07-12T06:59:50.72" personId="{2D23D26B-EE3B-4BD4-9FD3-DD5573029121}" id="{AFC21A69-F8D3-4789-B717-B0C34F73EFEE}">
    <text>Aggregates, sand</text>
  </threadedComment>
  <threadedComment ref="T3" dT="2022-07-19T04:40:44.76" personId="{2D23D26B-EE3B-4BD4-9FD3-DD5573029121}" id="{4AE5CA6C-2488-4BD4-995C-7BF33E4DA378}">
    <text>brons</text>
  </threadedComment>
</ThreadedComments>
</file>

<file path=xl/threadedComments/threadedComment4.xml><?xml version="1.0" encoding="utf-8"?>
<ThreadedComments xmlns="http://schemas.microsoft.com/office/spreadsheetml/2018/threadedcomments" xmlns:x="http://schemas.openxmlformats.org/spreadsheetml/2006/main">
  <threadedComment ref="Z3" dT="2022-05-13T15:12:55.37" personId="{2D23D26B-EE3B-4BD4-9FD3-DD5573029121}" id="{B76BCA64-3E46-4489-BB86-D08ECC024AA8}">
    <text>Rubber, tapes, met bitumen geimpregneerd jute en met olie geimpregneerd papier</text>
  </threadedComment>
  <threadedComment ref="S6" dT="2022-07-19T05:40:31.18" personId="{2D23D26B-EE3B-4BD4-9FD3-DD5573029121}" id="{E2EA324C-6740-4597-A2E6-437747B0D7C8}">
    <text>Mn, Cr, Mo, Ni</text>
  </threadedComment>
  <threadedComment ref="S7" dT="2022-07-19T06:15:30.48" personId="{2D23D26B-EE3B-4BD4-9FD3-DD5573029121}" id="{09AD9C59-8331-4D94-8362-068FDFEF01E1}">
    <text>Cd, Sn, Te</text>
  </threadedComment>
  <threadedComment ref="S8" dT="2022-07-19T05:41:23.23" personId="{2D23D26B-EE3B-4BD4-9FD3-DD5573029121}" id="{5E8F15D7-6600-4FBD-A86D-C72E03C66C7F}">
    <text>Ni, Cr</text>
  </threadedComment>
  <threadedComment ref="S9" dT="2022-07-19T05:42:00.06" personId="{2D23D26B-EE3B-4BD4-9FD3-DD5573029121}" id="{5B2D54FD-1325-462F-94F8-DF8D90B6242E}">
    <text>Ni, Mn, Cr, Mo</text>
  </threadedComment>
  <threadedComment ref="S10" dT="2022-07-19T06:16:35.29" personId="{2D23D26B-EE3B-4BD4-9FD3-DD5573029121}" id="{637418C6-CBCB-4A21-BBE9-C66B97ECF897}">
    <text>Ni, Cr, Cd, Mo, Sn</text>
  </threadedComment>
  <threadedComment ref="S11" dT="2022-07-19T05:42:31.30" personId="{2D23D26B-EE3B-4BD4-9FD3-DD5573029121}" id="{1AFC6957-D780-4174-9673-6CC35D442D69}">
    <text>Ni, Mn, Cr, Mo</text>
  </threadedComment>
</ThreadedComments>
</file>

<file path=xl/threadedComments/threadedComment5.xml><?xml version="1.0" encoding="utf-8"?>
<ThreadedComments xmlns="http://schemas.microsoft.com/office/spreadsheetml/2018/threadedcomments" xmlns:x="http://schemas.openxmlformats.org/spreadsheetml/2006/main">
  <threadedComment ref="S3" dT="2022-08-05T12:10:37.23" personId="{2D23D26B-EE3B-4BD4-9FD3-DD5573029121}" id="{5ECC46F4-2B9B-4DF2-A1BB-2FFB67D2A20E}">
    <text>Cr, Mo, Ni, Sn</text>
  </threadedComment>
  <threadedComment ref="T3" dT="2022-07-19T05:38:12.48" personId="{2D23D26B-EE3B-4BD4-9FD3-DD5573029121}" id="{DB78AF8B-133D-45F1-A415-095C45B25FE0}">
    <text>bronze, brass, “metal”</text>
  </threadedComment>
</ThreadedComments>
</file>

<file path=xl/threadedComments/threadedComment6.xml><?xml version="1.0" encoding="utf-8"?>
<ThreadedComments xmlns="http://schemas.microsoft.com/office/spreadsheetml/2018/threadedcomments" xmlns:x="http://schemas.openxmlformats.org/spreadsheetml/2006/main">
  <threadedComment ref="S3" dT="2022-07-19T04:41:56.75" personId="{2D23D26B-EE3B-4BD4-9FD3-DD5573029121}" id="{AADF5569-33C7-4AD3-B198-D645A9B19A1D}">
    <text>Mn, Mo, Cr, Sn, Ni, Cd</text>
  </threadedComment>
</ThreadedComments>
</file>

<file path=xl/threadedComments/threadedComment7.xml><?xml version="1.0" encoding="utf-8"?>
<ThreadedComments xmlns="http://schemas.microsoft.com/office/spreadsheetml/2018/threadedcomments" xmlns:x="http://schemas.openxmlformats.org/spreadsheetml/2006/main">
  <threadedComment ref="T3" dT="2022-05-12T09:44:01.58" personId="{2D23D26B-EE3B-4BD4-9FD3-DD5573029121}" id="{20241676-83A6-4D1F-9EC5-9E121CEEA2B0}">
    <text>bronze, brass, metals excl. steel &amp; aluminium</text>
  </threadedComment>
  <threadedComment ref="Z3" dT="2022-05-30T13:23:31.68" personId="{2D23D26B-EE3B-4BD4-9FD3-DD5573029121}" id="{BDF11EDA-BF55-4733-9F31-BA5D33F756F0}">
    <text>rubber, silicone, coatings, chemicals, cable, electronics, for control units, epoxy resin, printed wiring board, unspecified</text>
  </threadedComment>
  <threadedComment ref="P24" dT="2022-10-19T15:34:49.86" personId="{2D23D26B-EE3B-4BD4-9FD3-DD5573029121}" id="{EE41229A-536B-4200-B7B8-F8DFC8E670DA}">
    <text>Statistical data on parachutes in category “other textiles” ignored - probably mistake. We report 0 instead of 1415048.27845213 in the MateriaalMonitor</text>
  </threadedComment>
  <threadedComment ref="T36" dT="2022-07-19T06:20:09.70" personId="{2D23D26B-EE3B-4BD4-9FD3-DD5573029121}" id="{E9FD0FD0-73CE-48B6-A2AA-D8F0365F6EB3}">
    <text>messing, overig metaal, brons</text>
  </threadedComment>
</ThreadedComments>
</file>

<file path=xl/threadedComments/threadedComment8.xml><?xml version="1.0" encoding="utf-8"?>
<ThreadedComments xmlns="http://schemas.microsoft.com/office/spreadsheetml/2018/threadedcomments" xmlns:x="http://schemas.openxmlformats.org/spreadsheetml/2006/main">
  <threadedComment ref="O4" dT="2022-08-01T08:34:21.33" personId="{2D23D26B-EE3B-4BD4-9FD3-DD5573029121}" id="{20376C23-8E9C-4F4B-839D-B7CE2098A2A6}">
    <text>98% in MS en LS kabels</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 Id="rId4" Type="http://schemas.microsoft.com/office/2017/10/relationships/threadedComment" Target="../threadedComments/threadedComment2.xml"/></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 Id="rId4" Type="http://schemas.microsoft.com/office/2017/10/relationships/threadedComment" Target="../threadedComments/threadedComment3.xml"/></Relationships>
</file>

<file path=xl/worksheets/_rels/sheet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 Id="rId4" Type="http://schemas.microsoft.com/office/2017/10/relationships/threadedComment" Target="../threadedComments/threadedComment4.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8.bin"/><Relationship Id="rId4" Type="http://schemas.microsoft.com/office/2017/10/relationships/threadedComment" Target="../threadedComments/threadedComment5.xml"/></Relationships>
</file>

<file path=xl/worksheets/_rels/sheet10.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9.bin"/><Relationship Id="rId4" Type="http://schemas.microsoft.com/office/2017/10/relationships/threadedComment" Target="../threadedComments/threadedComment6.xml"/></Relationships>
</file>

<file path=xl/worksheets/_rels/sheet11.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queryTable" Target="../queryTables/queryTable1.xml"/><Relationship Id="rId1" Type="http://schemas.openxmlformats.org/officeDocument/2006/relationships/vmlDrawing" Target="../drawings/vmlDrawing7.vml"/><Relationship Id="rId4" Type="http://schemas.microsoft.com/office/2017/10/relationships/threadedComment" Target="../threadedComments/threadedComment7.xml"/></Relationships>
</file>

<file path=xl/worksheets/_rels/sheet12.xml.rels><?xml version="1.0" encoding="UTF-8" standalone="yes"?>
<Relationships xmlns="http://schemas.openxmlformats.org/package/2006/relationships"><Relationship Id="rId3" Type="http://schemas.microsoft.com/office/2017/10/relationships/threadedComment" Target="../threadedComments/threadedComment8.xml"/><Relationship Id="rId2" Type="http://schemas.openxmlformats.org/officeDocument/2006/relationships/comments" Target="../comments8.xml"/><Relationship Id="rId1" Type="http://schemas.openxmlformats.org/officeDocument/2006/relationships/vmlDrawing" Target="../drawings/vmlDrawing8.vm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s://www.universiteitleiden.nl/nieuws/2020/01/de-stad-als-urban-min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CD2DB2-63E0-4893-BA64-28EBF9CC2A9A}">
  <sheetPr>
    <tabColor rgb="FF9BBFB7"/>
  </sheetPr>
  <dimension ref="A1:I27"/>
  <sheetViews>
    <sheetView workbookViewId="0">
      <selection activeCell="A26" sqref="A26:I27"/>
    </sheetView>
  </sheetViews>
  <sheetFormatPr defaultColWidth="8.88671875" defaultRowHeight="14.4" x14ac:dyDescent="0.3"/>
  <cols>
    <col min="1" max="1" width="82.44140625" style="5" customWidth="1"/>
    <col min="2" max="16384" width="8.88671875" style="5"/>
  </cols>
  <sheetData>
    <row r="1" spans="1:9" x14ac:dyDescent="0.3">
      <c r="A1" s="107" t="s">
        <v>567</v>
      </c>
    </row>
    <row r="2" spans="1:9" x14ac:dyDescent="0.3">
      <c r="A2" s="409" t="s">
        <v>568</v>
      </c>
    </row>
    <row r="3" spans="1:9" x14ac:dyDescent="0.3">
      <c r="A3" s="410" t="s">
        <v>569</v>
      </c>
    </row>
    <row r="4" spans="1:9" x14ac:dyDescent="0.3">
      <c r="A4" s="408" t="s">
        <v>570</v>
      </c>
    </row>
    <row r="5" spans="1:9" x14ac:dyDescent="0.3">
      <c r="A5" s="408" t="s">
        <v>648</v>
      </c>
    </row>
    <row r="6" spans="1:9" x14ac:dyDescent="0.3">
      <c r="A6" s="408" t="s">
        <v>678</v>
      </c>
    </row>
    <row r="7" spans="1:9" x14ac:dyDescent="0.3">
      <c r="A7" s="408" t="s">
        <v>679</v>
      </c>
    </row>
    <row r="8" spans="1:9" x14ac:dyDescent="0.3">
      <c r="A8" s="408" t="s">
        <v>571</v>
      </c>
    </row>
    <row r="9" spans="1:9" x14ac:dyDescent="0.3">
      <c r="A9" s="408" t="s">
        <v>649</v>
      </c>
    </row>
    <row r="10" spans="1:9" x14ac:dyDescent="0.3">
      <c r="A10" s="408" t="s">
        <v>572</v>
      </c>
    </row>
    <row r="11" spans="1:9" x14ac:dyDescent="0.3">
      <c r="A11" s="408" t="s">
        <v>680</v>
      </c>
    </row>
    <row r="12" spans="1:9" x14ac:dyDescent="0.3">
      <c r="A12" s="438" t="s">
        <v>566</v>
      </c>
    </row>
    <row r="13" spans="1:9" x14ac:dyDescent="0.3">
      <c r="A13" s="439" t="s">
        <v>574</v>
      </c>
    </row>
    <row r="14" spans="1:9" ht="15" thickBot="1" x14ac:dyDescent="0.35">
      <c r="A14" s="440"/>
    </row>
    <row r="15" spans="1:9" x14ac:dyDescent="0.3">
      <c r="A15" s="565" t="s">
        <v>573</v>
      </c>
      <c r="B15" s="566"/>
      <c r="C15" s="566"/>
      <c r="D15" s="566"/>
      <c r="E15" s="566"/>
      <c r="F15" s="566"/>
      <c r="G15" s="566"/>
      <c r="H15" s="566"/>
      <c r="I15" s="567"/>
    </row>
    <row r="16" spans="1:9" x14ac:dyDescent="0.3">
      <c r="A16" s="556" t="s">
        <v>682</v>
      </c>
      <c r="B16" s="557"/>
      <c r="C16" s="557"/>
      <c r="D16" s="557"/>
      <c r="E16" s="557"/>
      <c r="F16" s="557"/>
      <c r="G16" s="557"/>
      <c r="H16" s="557"/>
      <c r="I16" s="558"/>
    </row>
    <row r="17" spans="1:9" x14ac:dyDescent="0.3">
      <c r="A17" s="559"/>
      <c r="B17" s="560"/>
      <c r="C17" s="560"/>
      <c r="D17" s="560"/>
      <c r="E17" s="560"/>
      <c r="F17" s="560"/>
      <c r="G17" s="560"/>
      <c r="H17" s="560"/>
      <c r="I17" s="561"/>
    </row>
    <row r="18" spans="1:9" x14ac:dyDescent="0.3">
      <c r="A18" s="559"/>
      <c r="B18" s="560"/>
      <c r="C18" s="560"/>
      <c r="D18" s="560"/>
      <c r="E18" s="560"/>
      <c r="F18" s="560"/>
      <c r="G18" s="560"/>
      <c r="H18" s="560"/>
      <c r="I18" s="561"/>
    </row>
    <row r="19" spans="1:9" x14ac:dyDescent="0.3">
      <c r="A19" s="559"/>
      <c r="B19" s="560"/>
      <c r="C19" s="560"/>
      <c r="D19" s="560"/>
      <c r="E19" s="560"/>
      <c r="F19" s="560"/>
      <c r="G19" s="560"/>
      <c r="H19" s="560"/>
      <c r="I19" s="561"/>
    </row>
    <row r="20" spans="1:9" x14ac:dyDescent="0.3">
      <c r="A20" s="559"/>
      <c r="B20" s="560"/>
      <c r="C20" s="560"/>
      <c r="D20" s="560"/>
      <c r="E20" s="560"/>
      <c r="F20" s="560"/>
      <c r="G20" s="560"/>
      <c r="H20" s="560"/>
      <c r="I20" s="561"/>
    </row>
    <row r="21" spans="1:9" x14ac:dyDescent="0.3">
      <c r="A21" s="559"/>
      <c r="B21" s="560"/>
      <c r="C21" s="560"/>
      <c r="D21" s="560"/>
      <c r="E21" s="560"/>
      <c r="F21" s="560"/>
      <c r="G21" s="560"/>
      <c r="H21" s="560"/>
      <c r="I21" s="561"/>
    </row>
    <row r="22" spans="1:9" x14ac:dyDescent="0.3">
      <c r="A22" s="559"/>
      <c r="B22" s="560"/>
      <c r="C22" s="560"/>
      <c r="D22" s="560"/>
      <c r="E22" s="560"/>
      <c r="F22" s="560"/>
      <c r="G22" s="560"/>
      <c r="H22" s="560"/>
      <c r="I22" s="561"/>
    </row>
    <row r="23" spans="1:9" ht="15" thickBot="1" x14ac:dyDescent="0.35">
      <c r="A23" s="562"/>
      <c r="B23" s="563"/>
      <c r="C23" s="563"/>
      <c r="D23" s="563"/>
      <c r="E23" s="563"/>
      <c r="F23" s="563"/>
      <c r="G23" s="563"/>
      <c r="H23" s="563"/>
      <c r="I23" s="564"/>
    </row>
    <row r="25" spans="1:9" ht="14.4" customHeight="1" x14ac:dyDescent="0.3">
      <c r="A25" s="569"/>
      <c r="B25" s="569"/>
      <c r="C25" s="569"/>
      <c r="D25" s="569"/>
      <c r="E25" s="569"/>
      <c r="F25" s="569"/>
      <c r="G25" s="569"/>
      <c r="H25" s="569"/>
      <c r="I25" s="569"/>
    </row>
    <row r="26" spans="1:9" x14ac:dyDescent="0.3">
      <c r="A26" s="568"/>
      <c r="B26" s="568"/>
      <c r="C26" s="568"/>
      <c r="D26" s="568"/>
      <c r="E26" s="568"/>
      <c r="F26" s="568"/>
      <c r="G26" s="568"/>
      <c r="H26" s="568"/>
      <c r="I26" s="568"/>
    </row>
    <row r="27" spans="1:9" ht="29.4" customHeight="1" x14ac:dyDescent="0.3">
      <c r="A27" s="568"/>
      <c r="B27" s="568"/>
      <c r="C27" s="568"/>
      <c r="D27" s="568"/>
      <c r="E27" s="568"/>
      <c r="F27" s="568"/>
      <c r="G27" s="568"/>
      <c r="H27" s="568"/>
      <c r="I27" s="568"/>
    </row>
  </sheetData>
  <mergeCells count="4">
    <mergeCell ref="A16:I23"/>
    <mergeCell ref="A15:I15"/>
    <mergeCell ref="A26:I27"/>
    <mergeCell ref="A25:I25"/>
  </mergeCells>
  <pageMargins left="0.7" right="0.7" top="0.75" bottom="0.75" header="0.3" footer="0.3"/>
  <pageSetup paperSize="9"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1D69D1-1CC6-4485-B20B-C5A1447C5890}">
  <sheetPr>
    <tabColor theme="4" tint="0.39997558519241921"/>
  </sheetPr>
  <dimension ref="A1:CJ467"/>
  <sheetViews>
    <sheetView zoomScaleNormal="100" workbookViewId="0">
      <pane xSplit="2" ySplit="2" topLeftCell="C3" activePane="bottomRight" state="frozen"/>
      <selection pane="topRight" activeCell="C1" sqref="C1"/>
      <selection pane="bottomLeft" activeCell="A3" sqref="A3"/>
      <selection pane="bottomRight" activeCell="B38" sqref="B38"/>
    </sheetView>
  </sheetViews>
  <sheetFormatPr defaultColWidth="8.88671875" defaultRowHeight="14.4" x14ac:dyDescent="0.3"/>
  <cols>
    <col min="1" max="1" width="26.5546875" style="39" customWidth="1"/>
    <col min="2" max="2" width="50.88671875" style="4" customWidth="1"/>
    <col min="3" max="3" width="8.6640625" style="5" customWidth="1"/>
    <col min="4" max="4" width="8.6640625" style="6" customWidth="1"/>
    <col min="5" max="5" width="15.33203125" style="9" customWidth="1"/>
    <col min="6" max="6" width="9.5546875" style="3" bestFit="1" customWidth="1"/>
    <col min="7" max="7" width="11.6640625" style="5" bestFit="1" customWidth="1"/>
    <col min="8" max="8" width="9.5546875" style="5" bestFit="1" customWidth="1"/>
    <col min="9" max="12" width="9.33203125" style="5" customWidth="1"/>
    <col min="13" max="13" width="11.109375" style="5" bestFit="1" customWidth="1"/>
    <col min="14" max="14" width="9.5546875" style="3" bestFit="1" customWidth="1"/>
    <col min="15" max="15" width="9.5546875" style="5" bestFit="1" customWidth="1"/>
    <col min="16" max="19" width="9.5546875" style="5" customWidth="1"/>
    <col min="20" max="20" width="9.6640625" style="4" customWidth="1"/>
    <col min="21" max="21" width="10.44140625" style="5" bestFit="1" customWidth="1"/>
    <col min="22" max="22" width="11.109375" style="5" bestFit="1" customWidth="1"/>
    <col min="23" max="23" width="11.109375" style="5" customWidth="1"/>
    <col min="24" max="24" width="10.109375" style="3" bestFit="1" customWidth="1"/>
    <col min="25" max="25" width="9.33203125" style="5" customWidth="1"/>
    <col min="26" max="26" width="10.33203125" style="5" bestFit="1" customWidth="1"/>
    <col min="27" max="27" width="9.33203125" style="5" customWidth="1"/>
    <col min="28" max="28" width="10.33203125" style="5" bestFit="1" customWidth="1"/>
    <col min="29" max="29" width="9.44140625" style="4" customWidth="1"/>
    <col min="30" max="30" width="10.33203125" style="5" bestFit="1" customWidth="1"/>
    <col min="31" max="32" width="10" style="5" bestFit="1" customWidth="1"/>
    <col min="33" max="33" width="9.6640625" style="5" bestFit="1" customWidth="1"/>
    <col min="34" max="34" width="10.33203125" style="5" bestFit="1" customWidth="1"/>
    <col min="35" max="36" width="9.6640625" style="5" bestFit="1" customWidth="1"/>
    <col min="37" max="37" width="10" style="5" bestFit="1" customWidth="1"/>
    <col min="38" max="38" width="9.88671875" style="5" bestFit="1" customWidth="1"/>
    <col min="39" max="39" width="10.33203125" style="5" bestFit="1" customWidth="1"/>
    <col min="40" max="40" width="10" style="55" bestFit="1" customWidth="1"/>
    <col min="41" max="42" width="10.33203125" style="5" bestFit="1" customWidth="1"/>
    <col min="43" max="43" width="10" style="55" bestFit="1" customWidth="1"/>
    <col min="44" max="44" width="10.33203125" style="5" bestFit="1" customWidth="1"/>
    <col min="45" max="55" width="8.88671875" style="55" customWidth="1"/>
    <col min="56" max="56" width="9.5546875" style="55" bestFit="1" customWidth="1"/>
    <col min="57" max="57" width="11.88671875" style="74" bestFit="1" customWidth="1"/>
    <col min="58" max="59" width="9.44140625" style="19" customWidth="1"/>
    <col min="60" max="60" width="9.6640625" style="19" bestFit="1" customWidth="1"/>
    <col min="61" max="61" width="9.33203125" style="19" bestFit="1" customWidth="1"/>
    <col min="62" max="64" width="9.6640625" style="19" bestFit="1" customWidth="1"/>
    <col min="65" max="65" width="10.77734375" style="19" bestFit="1" customWidth="1"/>
    <col min="66" max="66" width="12.21875" style="19" customWidth="1"/>
    <col min="67" max="68" width="9.33203125" style="19" bestFit="1" customWidth="1"/>
    <col min="69" max="69" width="19.33203125" style="19" customWidth="1"/>
    <col min="70" max="73" width="10" style="19" bestFit="1" customWidth="1"/>
    <col min="74" max="75" width="8.88671875" style="19"/>
    <col min="76" max="76" width="15.109375" style="19" customWidth="1"/>
    <col min="77" max="80" width="10" style="19" bestFit="1" customWidth="1"/>
    <col min="81" max="88" width="8.88671875" style="19"/>
    <col min="89" max="106" width="8.88671875" style="5"/>
    <col min="107" max="107" width="9.5546875" style="5" bestFit="1" customWidth="1"/>
    <col min="108" max="16384" width="8.88671875" style="5"/>
  </cols>
  <sheetData>
    <row r="1" spans="1:59" s="12" customFormat="1" ht="14.7" customHeight="1" thickBot="1" x14ac:dyDescent="0.35">
      <c r="A1" s="37"/>
      <c r="B1" s="11"/>
      <c r="D1" s="10"/>
      <c r="E1" s="13"/>
      <c r="F1" s="619" t="s">
        <v>557</v>
      </c>
      <c r="G1" s="620"/>
      <c r="H1" s="620"/>
      <c r="I1" s="620"/>
      <c r="J1" s="620"/>
      <c r="K1" s="620"/>
      <c r="L1" s="620"/>
      <c r="M1" s="621"/>
      <c r="N1" s="619" t="s">
        <v>457</v>
      </c>
      <c r="O1" s="620"/>
      <c r="P1" s="620"/>
      <c r="Q1" s="620"/>
      <c r="R1" s="620"/>
      <c r="S1" s="620"/>
      <c r="T1" s="621"/>
      <c r="U1" s="619" t="s">
        <v>458</v>
      </c>
      <c r="V1" s="620"/>
      <c r="W1" s="621"/>
      <c r="X1" s="619" t="s">
        <v>452</v>
      </c>
      <c r="Y1" s="620"/>
      <c r="Z1" s="620"/>
      <c r="AA1" s="620"/>
      <c r="AB1" s="620"/>
      <c r="AC1" s="621"/>
      <c r="AD1" s="619" t="s">
        <v>455</v>
      </c>
      <c r="AE1" s="620"/>
      <c r="AF1" s="620"/>
      <c r="AG1" s="620"/>
      <c r="AH1" s="620"/>
      <c r="AI1" s="620"/>
      <c r="AJ1" s="620"/>
      <c r="AK1" s="620"/>
      <c r="AL1" s="620"/>
      <c r="AM1" s="620"/>
      <c r="AN1" s="620"/>
      <c r="AO1" s="620"/>
      <c r="AP1" s="620"/>
      <c r="AQ1" s="620"/>
      <c r="AR1" s="620"/>
      <c r="AS1" s="620"/>
      <c r="AT1" s="620"/>
      <c r="AU1" s="620"/>
      <c r="AV1" s="620"/>
      <c r="AW1" s="620"/>
      <c r="AX1" s="620"/>
      <c r="AY1" s="620"/>
      <c r="AZ1" s="620"/>
      <c r="BA1" s="620"/>
      <c r="BB1" s="620"/>
      <c r="BC1" s="620"/>
      <c r="BD1" s="621"/>
      <c r="BE1" s="10"/>
    </row>
    <row r="2" spans="1:59" s="131" customFormat="1" ht="48.6" thickBot="1" x14ac:dyDescent="0.35">
      <c r="A2" s="132" t="s">
        <v>538</v>
      </c>
      <c r="B2" s="133" t="s">
        <v>5</v>
      </c>
      <c r="C2" s="134" t="s">
        <v>101</v>
      </c>
      <c r="D2" s="135" t="s">
        <v>437</v>
      </c>
      <c r="E2" s="136" t="s">
        <v>438</v>
      </c>
      <c r="F2" s="137" t="s">
        <v>82</v>
      </c>
      <c r="G2" s="138" t="s">
        <v>439</v>
      </c>
      <c r="H2" s="138" t="s">
        <v>136</v>
      </c>
      <c r="I2" s="138" t="s">
        <v>440</v>
      </c>
      <c r="J2" s="138" t="s">
        <v>315</v>
      </c>
      <c r="K2" s="138" t="s">
        <v>441</v>
      </c>
      <c r="L2" s="138" t="s">
        <v>684</v>
      </c>
      <c r="M2" s="138" t="s">
        <v>443</v>
      </c>
      <c r="N2" s="137" t="s">
        <v>444</v>
      </c>
      <c r="O2" s="138" t="s">
        <v>81</v>
      </c>
      <c r="P2" s="138" t="s">
        <v>7</v>
      </c>
      <c r="Q2" s="138" t="s">
        <v>127</v>
      </c>
      <c r="R2" s="138" t="s">
        <v>445</v>
      </c>
      <c r="S2" s="138" t="s">
        <v>446</v>
      </c>
      <c r="T2" s="139" t="s">
        <v>447</v>
      </c>
      <c r="U2" s="138" t="s">
        <v>448</v>
      </c>
      <c r="V2" s="138" t="s">
        <v>449</v>
      </c>
      <c r="W2" s="138" t="s">
        <v>450</v>
      </c>
      <c r="X2" s="137" t="s">
        <v>84</v>
      </c>
      <c r="Y2" s="138" t="s">
        <v>451</v>
      </c>
      <c r="Z2" s="138" t="s">
        <v>452</v>
      </c>
      <c r="AA2" s="138" t="s">
        <v>83</v>
      </c>
      <c r="AB2" s="138" t="s">
        <v>453</v>
      </c>
      <c r="AC2" s="139" t="s">
        <v>454</v>
      </c>
      <c r="AD2" s="137" t="s">
        <v>9</v>
      </c>
      <c r="AE2" s="138" t="s">
        <v>10</v>
      </c>
      <c r="AF2" s="138" t="s">
        <v>11</v>
      </c>
      <c r="AG2" s="138" t="s">
        <v>12</v>
      </c>
      <c r="AH2" s="138" t="s">
        <v>13</v>
      </c>
      <c r="AI2" s="138" t="s">
        <v>14</v>
      </c>
      <c r="AJ2" s="138" t="s">
        <v>15</v>
      </c>
      <c r="AK2" s="138" t="s">
        <v>16</v>
      </c>
      <c r="AL2" s="138" t="s">
        <v>17</v>
      </c>
      <c r="AM2" s="140" t="s">
        <v>18</v>
      </c>
      <c r="AN2" s="140" t="s">
        <v>19</v>
      </c>
      <c r="AO2" s="140" t="s">
        <v>20</v>
      </c>
      <c r="AP2" s="140" t="s">
        <v>21</v>
      </c>
      <c r="AQ2" s="140" t="s">
        <v>22</v>
      </c>
      <c r="AR2" s="140" t="s">
        <v>23</v>
      </c>
      <c r="AS2" s="140" t="s">
        <v>24</v>
      </c>
      <c r="AT2" s="140" t="s">
        <v>25</v>
      </c>
      <c r="AU2" s="140" t="s">
        <v>26</v>
      </c>
      <c r="AV2" s="140" t="s">
        <v>27</v>
      </c>
      <c r="AW2" s="140" t="s">
        <v>28</v>
      </c>
      <c r="AX2" s="140" t="s">
        <v>29</v>
      </c>
      <c r="AY2" s="140" t="s">
        <v>30</v>
      </c>
      <c r="AZ2" s="140" t="s">
        <v>31</v>
      </c>
      <c r="BA2" s="140" t="s">
        <v>32</v>
      </c>
      <c r="BB2" s="140" t="s">
        <v>33</v>
      </c>
      <c r="BC2" s="140" t="s">
        <v>34</v>
      </c>
      <c r="BD2" s="140" t="s">
        <v>35</v>
      </c>
      <c r="BE2" s="141" t="s">
        <v>459</v>
      </c>
      <c r="BF2" s="142"/>
      <c r="BG2" s="143" t="s">
        <v>79</v>
      </c>
    </row>
    <row r="3" spans="1:59" s="1" customFormat="1" ht="18.45" customHeight="1" x14ac:dyDescent="0.3">
      <c r="A3" s="598" t="s">
        <v>433</v>
      </c>
      <c r="B3" s="78" t="s">
        <v>467</v>
      </c>
      <c r="C3" s="570" t="s">
        <v>38</v>
      </c>
      <c r="D3" s="570">
        <v>2018</v>
      </c>
      <c r="E3" s="573" t="s">
        <v>659</v>
      </c>
      <c r="F3" s="86">
        <f>SUM('2.1.'!H13:'2.1.'!H16)</f>
        <v>465062700.74337149</v>
      </c>
      <c r="G3" s="47">
        <f>SUM('2.1.'!I13:'2.1.'!I16)</f>
        <v>68617915.064274743</v>
      </c>
      <c r="H3" s="47"/>
      <c r="I3" s="47">
        <f>SUM('2.1.'!U13:'2.1.'!U16)</f>
        <v>7422149.9603948072</v>
      </c>
      <c r="J3" s="47">
        <f>SUM('2.1.'!R13:'2.1.'!R16)</f>
        <v>9986057.1757012215</v>
      </c>
      <c r="K3" s="47">
        <f>SUM('2.1.'!S13:'2.1.'!S16)+SUM('2.1.'!T13:'2.1.'!T16)</f>
        <v>170318697.34972876</v>
      </c>
      <c r="L3" s="47"/>
      <c r="M3" s="144">
        <f>SUM('2.1.'!Q13:'2.1.'!Q16)</f>
        <v>19554.886707705038</v>
      </c>
      <c r="N3" s="86">
        <f>SUM('2.1.'!C13:'2.1.'!C16)</f>
        <v>18827824.666656882</v>
      </c>
      <c r="O3" s="47">
        <f>SUM('2.1.'!D13:'2.1.'!D16)</f>
        <v>287560.19036628335</v>
      </c>
      <c r="P3" s="47">
        <f>SUM('2.1.'!E13:'2.1.'!E16)</f>
        <v>67464.890072585986</v>
      </c>
      <c r="Q3" s="47"/>
      <c r="R3" s="47"/>
      <c r="S3" s="47"/>
      <c r="T3" s="87">
        <f>SUM('2.1.'!F13:'2.1.'!F16)</f>
        <v>863667.06906529889</v>
      </c>
      <c r="U3" s="47">
        <f>SUM('2.1.'!G13:'2.1.'!G16)</f>
        <v>22477988.620683081</v>
      </c>
      <c r="V3" s="47"/>
      <c r="W3" s="47"/>
      <c r="X3" s="86">
        <f>SUM('2.1.'!M13:'2.1.'!M16)</f>
        <v>522534.44094726455</v>
      </c>
      <c r="Y3" s="47">
        <f>SUM('2.1.'!N13:'2.1.'!N16)</f>
        <v>4810289.5960450554</v>
      </c>
      <c r="Z3" s="47">
        <f>SUM('2.1.'!O13:'2.1.'!O16)</f>
        <v>599167.95711258927</v>
      </c>
      <c r="AA3" s="47">
        <f>SUM('2.1.'!K13:'2.1.'!K16)</f>
        <v>1141750.5187259023</v>
      </c>
      <c r="AB3" s="47">
        <f>SUM('2.1.'!L13:'2.1.'!L16)</f>
        <v>3380716.4289671611</v>
      </c>
      <c r="AC3" s="87"/>
      <c r="AD3" s="47"/>
      <c r="AE3" s="47"/>
      <c r="AF3" s="47"/>
      <c r="AG3" s="47"/>
      <c r="AH3" s="47"/>
      <c r="AI3" s="47"/>
      <c r="AJ3" s="47"/>
      <c r="AK3" s="47"/>
      <c r="AL3" s="47"/>
      <c r="AM3" s="47"/>
      <c r="AN3" s="145"/>
      <c r="AO3" s="47"/>
      <c r="AP3" s="47"/>
      <c r="AQ3" s="145"/>
      <c r="AR3" s="47"/>
      <c r="AS3" s="145"/>
      <c r="AT3" s="145"/>
      <c r="AU3" s="145"/>
      <c r="AV3" s="145"/>
      <c r="AW3" s="145"/>
      <c r="AX3" s="145"/>
      <c r="AY3" s="145"/>
      <c r="AZ3" s="145"/>
      <c r="BA3" s="145"/>
      <c r="BB3" s="145"/>
      <c r="BC3" s="145"/>
      <c r="BD3" s="145"/>
      <c r="BE3" s="146"/>
      <c r="BF3" s="46"/>
      <c r="BG3" s="147">
        <f>SUM(F3:BD3)</f>
        <v>774406039.55882072</v>
      </c>
    </row>
    <row r="4" spans="1:59" ht="14.4" customHeight="1" x14ac:dyDescent="0.3">
      <c r="A4" s="599"/>
      <c r="B4" s="16" t="s">
        <v>468</v>
      </c>
      <c r="C4" s="571"/>
      <c r="D4" s="571"/>
      <c r="E4" s="574"/>
      <c r="F4" s="88">
        <f>SUM('2.1.'!H17:'2.1.'!H20)</f>
        <v>525258737.42092699</v>
      </c>
      <c r="G4" s="48">
        <f>SUM('2.1.'!I17:'2.1.'!I20)</f>
        <v>40989326.034355968</v>
      </c>
      <c r="H4" s="48"/>
      <c r="I4" s="48">
        <f>SUM('2.1.'!U17:'2.1.'!U20)</f>
        <v>10658814.561482435</v>
      </c>
      <c r="J4" s="48">
        <f>SUM('2.1.'!R17:'2.1.'!R20)</f>
        <v>6380294.5875967089</v>
      </c>
      <c r="K4" s="48">
        <f>SUM('2.1.'!S17:'2.1.'!S20)+SUM('2.1.'!T17:'2.1.'!T20)</f>
        <v>154411481.26799783</v>
      </c>
      <c r="L4" s="48"/>
      <c r="M4" s="53">
        <f>SUM('2.1.'!Q17:'2.1.'!Q20)</f>
        <v>0</v>
      </c>
      <c r="N4" s="88">
        <f>SUM('2.1.'!C17:'2.1.'!C20)</f>
        <v>22405048.830196902</v>
      </c>
      <c r="O4" s="48">
        <f>SUM('2.1.'!D17:'2.1.'!D20)</f>
        <v>145927.29602800414</v>
      </c>
      <c r="P4" s="48">
        <f>SUM('2.1.'!E17:'2.1.'!E20)</f>
        <v>164821.13633921932</v>
      </c>
      <c r="Q4" s="48"/>
      <c r="R4" s="48"/>
      <c r="S4" s="48"/>
      <c r="T4" s="89">
        <f>SUM('2.1.'!F17:'2.1.'!F20)</f>
        <v>628019.1645948824</v>
      </c>
      <c r="U4" s="48">
        <f>SUM('2.1.'!G17:'2.1.'!G20)</f>
        <v>13655596.129935745</v>
      </c>
      <c r="V4" s="48"/>
      <c r="W4" s="48"/>
      <c r="X4" s="88">
        <f>SUM('2.1.'!M17:'2.1.'!M20)</f>
        <v>652972.99582482793</v>
      </c>
      <c r="Y4" s="48">
        <f>SUM('2.1.'!N17:'2.1.'!N20)</f>
        <v>5721386.9230552819</v>
      </c>
      <c r="Z4" s="48">
        <f>SUM('2.1.'!O17:'2.1.'!O20)</f>
        <v>782673.31582331075</v>
      </c>
      <c r="AA4" s="48">
        <f>SUM('2.1.'!K17:'2.1.'!K20)</f>
        <v>1398513.6194293427</v>
      </c>
      <c r="AB4" s="48">
        <f>SUM('2.1.'!L17:'2.1.'!L20)</f>
        <v>1146910.897485232</v>
      </c>
      <c r="AC4" s="89"/>
      <c r="AD4" s="48"/>
      <c r="AE4" s="48"/>
      <c r="AF4" s="48"/>
      <c r="AG4" s="48"/>
      <c r="AH4" s="48"/>
      <c r="AI4" s="48"/>
      <c r="AJ4" s="48"/>
      <c r="AK4" s="48"/>
      <c r="AL4" s="48"/>
      <c r="AM4" s="48"/>
      <c r="AN4" s="148"/>
      <c r="AO4" s="48"/>
      <c r="AP4" s="48"/>
      <c r="AQ4" s="148"/>
      <c r="AR4" s="48"/>
      <c r="AS4" s="148"/>
      <c r="AT4" s="148"/>
      <c r="AU4" s="148"/>
      <c r="AV4" s="148"/>
      <c r="AW4" s="148"/>
      <c r="AX4" s="148"/>
      <c r="AY4" s="148"/>
      <c r="AZ4" s="148"/>
      <c r="BA4" s="148"/>
      <c r="BB4" s="148"/>
      <c r="BC4" s="148"/>
      <c r="BD4" s="148"/>
      <c r="BE4" s="149"/>
      <c r="BF4" s="14"/>
      <c r="BG4" s="150">
        <f t="shared" ref="BG4:BG18" si="0">SUM(F4:BD4)</f>
        <v>784400524.18107259</v>
      </c>
    </row>
    <row r="5" spans="1:59" ht="14.4" customHeight="1" x14ac:dyDescent="0.3">
      <c r="A5" s="599"/>
      <c r="B5" s="16" t="s">
        <v>469</v>
      </c>
      <c r="C5" s="571"/>
      <c r="D5" s="571"/>
      <c r="E5" s="574"/>
      <c r="F5" s="88">
        <f>SUM('2.1.'!H21:'2.1.'!H24)</f>
        <v>431232146.55382872</v>
      </c>
      <c r="G5" s="48">
        <f>SUM('2.1.'!I21:'2.1.'!I24)</f>
        <v>18705742.915475689</v>
      </c>
      <c r="H5" s="48"/>
      <c r="I5" s="48">
        <f>SUM('2.1.'!U21:'2.1.'!U24)</f>
        <v>6185325.346155135</v>
      </c>
      <c r="J5" s="48">
        <f>SUM('2.1.'!R21:'2.1.'!R24)</f>
        <v>6618220.8101110449</v>
      </c>
      <c r="K5" s="48">
        <f>SUM('2.1.'!S21:'2.1.'!S24)+SUM('2.1.'!T21:'2.1.'!T24)</f>
        <v>47366712.488887757</v>
      </c>
      <c r="L5" s="48"/>
      <c r="M5" s="53">
        <f>SUM('2.1.'!Q21:'2.1.'!Q24)</f>
        <v>232554.44246189061</v>
      </c>
      <c r="N5" s="88">
        <f>SUM('2.1.'!C21:'2.1.'!C24)</f>
        <v>21496677.215662822</v>
      </c>
      <c r="O5" s="48">
        <f>SUM('2.1.'!D21:'2.1.'!D24)</f>
        <v>86596.512561025578</v>
      </c>
      <c r="P5" s="48">
        <f>SUM('2.1.'!E21:'2.1.'!E24)</f>
        <v>1229438.5858557322</v>
      </c>
      <c r="Q5" s="48"/>
      <c r="R5" s="48"/>
      <c r="S5" s="48"/>
      <c r="T5" s="89">
        <f>SUM('2.1.'!F21:'2.1.'!F24)</f>
        <v>203498.27374652508</v>
      </c>
      <c r="U5" s="48">
        <f>SUM('2.1.'!G21:'2.1.'!G24)</f>
        <v>6384651.1672545476</v>
      </c>
      <c r="V5" s="48"/>
      <c r="W5" s="48"/>
      <c r="X5" s="88">
        <f>SUM('2.1.'!M21:'2.1.'!M24)</f>
        <v>505028.07600490714</v>
      </c>
      <c r="Y5" s="48">
        <f>SUM('2.1.'!N21:'2.1.'!N24)</f>
        <v>4464022.595903229</v>
      </c>
      <c r="Z5" s="48">
        <f>SUM('2.1.'!O21:'2.1.'!O24)</f>
        <v>1230872.3960112343</v>
      </c>
      <c r="AA5" s="48">
        <f>SUM('2.1.'!K21:'2.1.'!K24)</f>
        <v>1583096.9656177019</v>
      </c>
      <c r="AB5" s="48">
        <f>SUM('2.1.'!L21:'2.1.'!L24)</f>
        <v>1677408.120496681</v>
      </c>
      <c r="AC5" s="89"/>
      <c r="AD5" s="48"/>
      <c r="AE5" s="48"/>
      <c r="AF5" s="48"/>
      <c r="AG5" s="48"/>
      <c r="AH5" s="48"/>
      <c r="AI5" s="48"/>
      <c r="AJ5" s="48"/>
      <c r="AK5" s="48"/>
      <c r="AL5" s="48"/>
      <c r="AM5" s="48"/>
      <c r="AN5" s="148"/>
      <c r="AO5" s="48"/>
      <c r="AP5" s="48"/>
      <c r="AQ5" s="148"/>
      <c r="AR5" s="48"/>
      <c r="AS5" s="148"/>
      <c r="AT5" s="148"/>
      <c r="AU5" s="148"/>
      <c r="AV5" s="148"/>
      <c r="AW5" s="148"/>
      <c r="AX5" s="148"/>
      <c r="AY5" s="148"/>
      <c r="AZ5" s="148"/>
      <c r="BA5" s="148"/>
      <c r="BB5" s="148"/>
      <c r="BC5" s="148"/>
      <c r="BD5" s="148"/>
      <c r="BE5" s="149"/>
      <c r="BF5" s="14"/>
      <c r="BG5" s="150">
        <f t="shared" si="0"/>
        <v>549201992.46603453</v>
      </c>
    </row>
    <row r="6" spans="1:59" ht="14.4" customHeight="1" x14ac:dyDescent="0.3">
      <c r="A6" s="599"/>
      <c r="B6" s="16" t="s">
        <v>470</v>
      </c>
      <c r="C6" s="571"/>
      <c r="D6" s="571"/>
      <c r="E6" s="574"/>
      <c r="F6" s="88">
        <f>SUM('2.1.'!H37:'2.1.'!H40)</f>
        <v>28631044.1372112</v>
      </c>
      <c r="G6" s="48">
        <f>SUM('2.1.'!I37:'2.1.'!I40)</f>
        <v>2077706.6589063772</v>
      </c>
      <c r="H6" s="48"/>
      <c r="I6" s="48">
        <f>SUM('2.1.'!U37:'2.1.'!U40)</f>
        <v>322981.85326095339</v>
      </c>
      <c r="J6" s="48">
        <f>SUM('2.1.'!R37:'2.1.'!R40)</f>
        <v>248711.83990787354</v>
      </c>
      <c r="K6" s="48">
        <f>SUM('2.1.'!S37:'2.1.'!S40)+SUM('2.1.'!T37:'2.1.'!T40)</f>
        <v>7742740.6346318154</v>
      </c>
      <c r="L6" s="48"/>
      <c r="M6" s="53">
        <f>SUM('2.1.'!Q37:'2.1.'!Q40)</f>
        <v>288.40355076923095</v>
      </c>
      <c r="N6" s="88">
        <f>SUM('2.1.'!C37:'2.1.'!C40)</f>
        <v>1142849.4405160449</v>
      </c>
      <c r="O6" s="48">
        <f>SUM('2.1.'!D37:'2.1.'!D40)</f>
        <v>4962.3562899091066</v>
      </c>
      <c r="P6" s="48">
        <f>SUM('2.1.'!E37:'2.1.'!E40)</f>
        <v>29467.789029936779</v>
      </c>
      <c r="Q6" s="48"/>
      <c r="R6" s="48"/>
      <c r="S6" s="48"/>
      <c r="T6" s="89">
        <f>SUM('2.1.'!F37:'2.1.'!F40)</f>
        <v>11787.60283696566</v>
      </c>
      <c r="U6" s="48">
        <f>SUM('2.1.'!G37:'2.1.'!G40)</f>
        <v>353041.70776471199</v>
      </c>
      <c r="V6" s="48"/>
      <c r="W6" s="48"/>
      <c r="X6" s="88">
        <f>SUM('2.1.'!M37:'2.1.'!M40)</f>
        <v>42736.300109966309</v>
      </c>
      <c r="Y6" s="48">
        <f>SUM('2.1.'!N37:'2.1.'!N40)</f>
        <v>283063.13669830962</v>
      </c>
      <c r="Z6" s="48">
        <f>SUM('2.1.'!O37:'2.1.'!O40)</f>
        <v>73143.343054178142</v>
      </c>
      <c r="AA6" s="48">
        <f>SUM('2.1.'!K37:'2.1.'!K40)</f>
        <v>395508.46710385929</v>
      </c>
      <c r="AB6" s="48">
        <f>SUM('2.1.'!L37:'2.1.'!L40)</f>
        <v>175429.54514603806</v>
      </c>
      <c r="AC6" s="89"/>
      <c r="AD6" s="48"/>
      <c r="AE6" s="48"/>
      <c r="AF6" s="48"/>
      <c r="AG6" s="48"/>
      <c r="AH6" s="48"/>
      <c r="AI6" s="48"/>
      <c r="AJ6" s="48"/>
      <c r="AK6" s="48"/>
      <c r="AL6" s="48"/>
      <c r="AM6" s="48"/>
      <c r="AN6" s="148"/>
      <c r="AO6" s="48"/>
      <c r="AP6" s="48"/>
      <c r="AQ6" s="148"/>
      <c r="AR6" s="48"/>
      <c r="AS6" s="148"/>
      <c r="AT6" s="148"/>
      <c r="AU6" s="148"/>
      <c r="AV6" s="148"/>
      <c r="AW6" s="148"/>
      <c r="AX6" s="148"/>
      <c r="AY6" s="148"/>
      <c r="AZ6" s="148"/>
      <c r="BA6" s="148"/>
      <c r="BB6" s="148"/>
      <c r="BC6" s="148"/>
      <c r="BD6" s="148"/>
      <c r="BE6" s="149"/>
      <c r="BF6" s="14"/>
      <c r="BG6" s="150">
        <f t="shared" si="0"/>
        <v>41535463.216018915</v>
      </c>
    </row>
    <row r="7" spans="1:59" ht="14.4" customHeight="1" x14ac:dyDescent="0.3">
      <c r="A7" s="599"/>
      <c r="B7" s="16" t="s">
        <v>471</v>
      </c>
      <c r="C7" s="571"/>
      <c r="D7" s="571"/>
      <c r="E7" s="574"/>
      <c r="F7" s="88">
        <f>SUM('2.1.'!H25:'2.1.'!H28)</f>
        <v>193746255.89968795</v>
      </c>
      <c r="G7" s="48">
        <f>SUM('2.1.'!I25:'2.1.'!I28)</f>
        <v>1164408.7994585689</v>
      </c>
      <c r="H7" s="48"/>
      <c r="I7" s="48">
        <f>SUM('2.1.'!U25:'2.1.'!U28)</f>
        <v>5101605.1565031381</v>
      </c>
      <c r="J7" s="48">
        <f>SUM('2.1.'!R25:'2.1.'!R28)</f>
        <v>190481.24612410361</v>
      </c>
      <c r="K7" s="48">
        <f>SUM('2.1.'!S25:'2.1.'!S28)++SUM('2.1.'!T25:'2.1.'!T28)</f>
        <v>6126589.6601880714</v>
      </c>
      <c r="L7" s="48"/>
      <c r="M7" s="53">
        <f>SUM('2.1.'!Q25:'2.1.'!Q28)</f>
        <v>228242.42870939866</v>
      </c>
      <c r="N7" s="88">
        <f>SUM('2.1.'!C25:'2.1.'!C28)</f>
        <v>19219233.25265136</v>
      </c>
      <c r="O7" s="48">
        <f>SUM('2.1.'!D25:'2.1.'!D28)</f>
        <v>57793.134151348946</v>
      </c>
      <c r="P7" s="48">
        <f>SUM('2.1.'!E25:'2.1.'!E28)</f>
        <v>94855.417807363352</v>
      </c>
      <c r="Q7" s="48"/>
      <c r="R7" s="48"/>
      <c r="S7" s="48"/>
      <c r="T7" s="89">
        <f>SUM('2.1.'!F25:'2.1.'!F28)</f>
        <v>43135.225583194049</v>
      </c>
      <c r="U7" s="48">
        <f>SUM('2.1.'!G25:'2.1.'!G28)</f>
        <v>1829143.6348198049</v>
      </c>
      <c r="V7" s="48"/>
      <c r="W7" s="48"/>
      <c r="X7" s="88">
        <f>SUM('2.1.'!M25:'2.1.'!M28)</f>
        <v>497170.34121584555</v>
      </c>
      <c r="Y7" s="48">
        <f>SUM('2.1.'!N25:'2.1.'!N28)</f>
        <v>5530367.9234995712</v>
      </c>
      <c r="Z7" s="48">
        <f>SUM('2.1.'!O25:'2.1.'!O28)</f>
        <v>76342.816647753876</v>
      </c>
      <c r="AA7" s="48">
        <f>SUM('2.1.'!K25:'2.1.'!K28)</f>
        <v>207203.03473527677</v>
      </c>
      <c r="AB7" s="48">
        <f>SUM('2.1.'!L25:'2.1.'!L28)</f>
        <v>47306.71326107101</v>
      </c>
      <c r="AC7" s="89"/>
      <c r="AD7" s="48"/>
      <c r="AE7" s="48"/>
      <c r="AF7" s="48"/>
      <c r="AG7" s="48"/>
      <c r="AH7" s="48"/>
      <c r="AI7" s="48"/>
      <c r="AJ7" s="48"/>
      <c r="AK7" s="48"/>
      <c r="AL7" s="48"/>
      <c r="AM7" s="48"/>
      <c r="AN7" s="148"/>
      <c r="AO7" s="48"/>
      <c r="AP7" s="48"/>
      <c r="AQ7" s="148"/>
      <c r="AR7" s="48"/>
      <c r="AS7" s="148"/>
      <c r="AT7" s="148"/>
      <c r="AU7" s="148"/>
      <c r="AV7" s="148"/>
      <c r="AW7" s="148"/>
      <c r="AX7" s="148"/>
      <c r="AY7" s="148"/>
      <c r="AZ7" s="148"/>
      <c r="BA7" s="148"/>
      <c r="BB7" s="148"/>
      <c r="BC7" s="148"/>
      <c r="BD7" s="148"/>
      <c r="BE7" s="149"/>
      <c r="BF7" s="14"/>
      <c r="BG7" s="150">
        <f t="shared" si="0"/>
        <v>234160134.68504381</v>
      </c>
    </row>
    <row r="8" spans="1:59" ht="14.4" customHeight="1" x14ac:dyDescent="0.3">
      <c r="A8" s="599"/>
      <c r="B8" s="16" t="s">
        <v>472</v>
      </c>
      <c r="C8" s="571"/>
      <c r="D8" s="571"/>
      <c r="E8" s="574"/>
      <c r="F8" s="88">
        <f>SUM('2.1.'!H29:'2.1.'!H32)</f>
        <v>127744185.8675575</v>
      </c>
      <c r="G8" s="48">
        <f>SUM('2.1.'!I29:'2.1.'!I32)</f>
        <v>5156881.4349557422</v>
      </c>
      <c r="H8" s="48"/>
      <c r="I8" s="48">
        <f>SUM('2.1.'!U29:'2.1.'!U32)</f>
        <v>3430178.1969818063</v>
      </c>
      <c r="J8" s="48">
        <f>SUM('2.1.'!R29:'2.1.'!R32)</f>
        <v>3905180.4089640682</v>
      </c>
      <c r="K8" s="48">
        <f>SUM('2.1.'!S29:'2.1.'!S32)++SUM('2.1.'!T29:'2.1.'!T32)</f>
        <v>23318665.101387568</v>
      </c>
      <c r="L8" s="48"/>
      <c r="M8" s="53">
        <f>SUM('2.1.'!Q29:'2.1.'!Q32)</f>
        <v>149839.22494286043</v>
      </c>
      <c r="N8" s="88">
        <f>SUM('2.1.'!C29:'2.1.'!C32)</f>
        <v>8893274.2783295214</v>
      </c>
      <c r="O8" s="48">
        <f>SUM('2.1.'!D29:'2.1.'!D32)</f>
        <v>35336.786547288386</v>
      </c>
      <c r="P8" s="48">
        <f>SUM('2.1.'!E29:'2.1.'!E32)</f>
        <v>582441.48006328347</v>
      </c>
      <c r="Q8" s="48"/>
      <c r="R8" s="48"/>
      <c r="S8" s="48"/>
      <c r="T8" s="89">
        <f>SUM('2.1.'!F29:'2.1.'!F32)</f>
        <v>81795.031596312954</v>
      </c>
      <c r="U8" s="48">
        <f>SUM('2.1.'!G29:'2.1.'!G32)</f>
        <v>1116146.7810048123</v>
      </c>
      <c r="V8" s="48"/>
      <c r="W8" s="48"/>
      <c r="X8" s="88">
        <f>SUM('2.1.'!M29:'2.1.'!M32)</f>
        <v>179253.90077771782</v>
      </c>
      <c r="Y8" s="48">
        <f>SUM('2.1.'!N29:'2.1.'!N32)</f>
        <v>1594140.4906317447</v>
      </c>
      <c r="Z8" s="48">
        <f>SUM('2.1.'!O29:'2.1.'!O32)</f>
        <v>224232.69729373051</v>
      </c>
      <c r="AA8" s="48">
        <f>SUM('2.1.'!K29:'2.1.'!K32)</f>
        <v>797868.9483974562</v>
      </c>
      <c r="AB8" s="48">
        <f>SUM('2.1.'!L29:'2.1.'!L32)</f>
        <v>551570.59081732947</v>
      </c>
      <c r="AC8" s="89"/>
      <c r="AD8" s="48"/>
      <c r="AE8" s="48"/>
      <c r="AF8" s="48"/>
      <c r="AG8" s="48"/>
      <c r="AH8" s="48"/>
      <c r="AI8" s="48"/>
      <c r="AJ8" s="48"/>
      <c r="AK8" s="48"/>
      <c r="AL8" s="48"/>
      <c r="AM8" s="48"/>
      <c r="AN8" s="148"/>
      <c r="AO8" s="48"/>
      <c r="AP8" s="48"/>
      <c r="AQ8" s="148"/>
      <c r="AR8" s="48"/>
      <c r="AS8" s="148"/>
      <c r="AT8" s="148"/>
      <c r="AU8" s="148"/>
      <c r="AV8" s="148"/>
      <c r="AW8" s="148"/>
      <c r="AX8" s="148"/>
      <c r="AY8" s="148"/>
      <c r="AZ8" s="148"/>
      <c r="BA8" s="148"/>
      <c r="BB8" s="148"/>
      <c r="BC8" s="148"/>
      <c r="BD8" s="148"/>
      <c r="BE8" s="149"/>
      <c r="BF8" s="14"/>
      <c r="BG8" s="150">
        <f t="shared" si="0"/>
        <v>177760991.22024879</v>
      </c>
    </row>
    <row r="9" spans="1:59" s="2" customFormat="1" ht="14.7" customHeight="1" thickBot="1" x14ac:dyDescent="0.35">
      <c r="A9" s="600"/>
      <c r="B9" s="80" t="s">
        <v>473</v>
      </c>
      <c r="C9" s="572"/>
      <c r="D9" s="572"/>
      <c r="E9" s="575"/>
      <c r="F9" s="88">
        <f>SUM('2.1.'!H33:'2.1.'!H36)</f>
        <v>106308176.65852404</v>
      </c>
      <c r="G9" s="48">
        <f>SUM('2.1.'!I33:'2.1.'!I36)</f>
        <v>6111549.6582899597</v>
      </c>
      <c r="H9" s="48"/>
      <c r="I9" s="51">
        <f>SUM('2.1.'!U33:'2.1.'!U36)</f>
        <v>1070155.4880589235</v>
      </c>
      <c r="J9" s="48">
        <f>SUM('2.1.'!R33:'2.1.'!R36)</f>
        <v>1461481.9626289629</v>
      </c>
      <c r="K9" s="48">
        <f>SUM('2.1.'!S33:'2.1.'!S36)+SUM('2.1.'!T33:'2.1.'!T36)</f>
        <v>21055495.527761582</v>
      </c>
      <c r="L9" s="48"/>
      <c r="M9" s="53">
        <f>SUM('2.1.'!Q33:'2.1.'!Q36)</f>
        <v>47262.149351874243</v>
      </c>
      <c r="N9" s="88">
        <f>SUM('2.1.'!C33:'2.1.'!C36)</f>
        <v>6028994.8121035779</v>
      </c>
      <c r="O9" s="48">
        <f>SUM('2.1.'!D33:'2.1.'!D36)</f>
        <v>25234.033557506853</v>
      </c>
      <c r="P9" s="48">
        <f>SUM('2.1.'!E33:'2.1.'!E36)</f>
        <v>361102.6046689389</v>
      </c>
      <c r="Q9" s="48"/>
      <c r="R9" s="48"/>
      <c r="S9" s="48"/>
      <c r="T9" s="89">
        <f>SUM('2.1.'!F33:'2.1.'!F36)</f>
        <v>60208.997222331556</v>
      </c>
      <c r="U9" s="48">
        <f>SUM('2.1.'!G33:'2.1.'!G36)</f>
        <v>1142153.6344648995</v>
      </c>
      <c r="V9" s="48"/>
      <c r="W9" s="48"/>
      <c r="X9" s="88">
        <f>SUM('2.1.'!M33:'2.1.'!M36)</f>
        <v>122868.05151128543</v>
      </c>
      <c r="Y9" s="48">
        <f>SUM('2.1.'!N33:'2.1.'!N36)</f>
        <v>1051813.1596048749</v>
      </c>
      <c r="Z9" s="48">
        <f>SUM('2.1.'!O33:'2.1.'!O36)</f>
        <v>242855.55285672276</v>
      </c>
      <c r="AA9" s="48">
        <f>SUM('2.1.'!K33:'2.1.'!K36)</f>
        <v>288515.84787376679</v>
      </c>
      <c r="AB9" s="48">
        <f>SUM('2.1.'!L33:'2.1.'!L36)</f>
        <v>585162.465578384</v>
      </c>
      <c r="AC9" s="89"/>
      <c r="AD9" s="51"/>
      <c r="AE9" s="51"/>
      <c r="AF9" s="51"/>
      <c r="AG9" s="51"/>
      <c r="AH9" s="51"/>
      <c r="AI9" s="51"/>
      <c r="AJ9" s="51"/>
      <c r="AK9" s="51"/>
      <c r="AL9" s="51"/>
      <c r="AM9" s="51"/>
      <c r="AN9" s="152"/>
      <c r="AO9" s="51"/>
      <c r="AP9" s="51"/>
      <c r="AQ9" s="152"/>
      <c r="AR9" s="51"/>
      <c r="AS9" s="152"/>
      <c r="AT9" s="152"/>
      <c r="AU9" s="152"/>
      <c r="AV9" s="152"/>
      <c r="AW9" s="152"/>
      <c r="AX9" s="152"/>
      <c r="AY9" s="152"/>
      <c r="AZ9" s="152"/>
      <c r="BA9" s="152"/>
      <c r="BB9" s="152"/>
      <c r="BC9" s="152"/>
      <c r="BD9" s="152"/>
      <c r="BE9" s="153"/>
      <c r="BF9" s="50"/>
      <c r="BG9" s="154">
        <f t="shared" si="0"/>
        <v>145963030.60405761</v>
      </c>
    </row>
    <row r="10" spans="1:59" x14ac:dyDescent="0.3">
      <c r="A10" s="598" t="s">
        <v>539</v>
      </c>
      <c r="B10" s="16" t="s">
        <v>474</v>
      </c>
      <c r="C10" s="570" t="s">
        <v>38</v>
      </c>
      <c r="D10" s="570">
        <v>2019</v>
      </c>
      <c r="E10" s="609" t="s">
        <v>40</v>
      </c>
      <c r="F10" s="412">
        <f>'2.2.a'!F3</f>
        <v>89888279.120638013</v>
      </c>
      <c r="G10" s="413">
        <f>'2.2.a'!G3</f>
        <v>2516637.9435000001</v>
      </c>
      <c r="H10" s="413"/>
      <c r="I10" s="156"/>
      <c r="J10" s="413"/>
      <c r="K10" s="413"/>
      <c r="L10" s="413">
        <f>'2.2.a'!L3</f>
        <v>469996.82519999996</v>
      </c>
      <c r="M10" s="414">
        <f>'2.2.a'!M3</f>
        <v>18799.386479999997</v>
      </c>
      <c r="N10" s="412">
        <f>'2.2.a'!N3</f>
        <v>6548240.5110200001</v>
      </c>
      <c r="O10" s="413"/>
      <c r="P10" s="413">
        <f>'2.2.a'!P3</f>
        <v>64.8</v>
      </c>
      <c r="Q10" s="413"/>
      <c r="R10" s="413"/>
      <c r="S10" s="413"/>
      <c r="T10" s="413">
        <f>'2.2.a'!T3</f>
        <v>933.15039999999999</v>
      </c>
      <c r="U10" s="412">
        <f>'2.2.a'!U3</f>
        <v>2268.0820399999998</v>
      </c>
      <c r="V10" s="413"/>
      <c r="W10" s="414"/>
      <c r="X10" s="413"/>
      <c r="Y10" s="47"/>
      <c r="Z10" s="47"/>
      <c r="AA10" s="47"/>
      <c r="AB10" s="47"/>
      <c r="AC10" s="87"/>
      <c r="AD10" s="48"/>
      <c r="AE10" s="48"/>
      <c r="AF10" s="48"/>
      <c r="AG10" s="48"/>
      <c r="AH10" s="48"/>
      <c r="AI10" s="48"/>
      <c r="AJ10" s="48"/>
      <c r="AK10" s="48"/>
      <c r="AL10" s="48"/>
      <c r="AM10" s="48"/>
      <c r="AN10" s="148"/>
      <c r="AO10" s="48"/>
      <c r="AP10" s="48"/>
      <c r="AQ10" s="148"/>
      <c r="AR10" s="48"/>
      <c r="AS10" s="148"/>
      <c r="AT10" s="148"/>
      <c r="AU10" s="148"/>
      <c r="AV10" s="148"/>
      <c r="AW10" s="148"/>
      <c r="AX10" s="148"/>
      <c r="AY10" s="148"/>
      <c r="AZ10" s="148"/>
      <c r="BA10" s="148"/>
      <c r="BB10" s="148"/>
      <c r="BC10" s="148"/>
      <c r="BD10" s="148"/>
      <c r="BE10" s="149"/>
      <c r="BF10" s="14"/>
      <c r="BG10" s="150">
        <f t="shared" si="0"/>
        <v>99445219.819278017</v>
      </c>
    </row>
    <row r="11" spans="1:59" ht="14.4" customHeight="1" x14ac:dyDescent="0.3">
      <c r="A11" s="599"/>
      <c r="B11" s="16" t="s">
        <v>475</v>
      </c>
      <c r="C11" s="571"/>
      <c r="D11" s="571"/>
      <c r="E11" s="610"/>
      <c r="F11" s="155">
        <f>'2.2.a'!F4</f>
        <v>475248.40560599999</v>
      </c>
      <c r="G11" s="156"/>
      <c r="H11" s="156"/>
      <c r="I11" s="156"/>
      <c r="J11" s="156"/>
      <c r="K11" s="156"/>
      <c r="L11" s="156"/>
      <c r="M11" s="415">
        <f>'2.2.a'!M4</f>
        <v>1.26346</v>
      </c>
      <c r="N11" s="155">
        <f>'2.2.a'!N4</f>
        <v>231240.2507</v>
      </c>
      <c r="O11" s="156"/>
      <c r="P11" s="156">
        <f>'2.2.a'!P4</f>
        <v>0.11485999999999999</v>
      </c>
      <c r="Q11" s="156">
        <f>'2.2.a'!Q4</f>
        <v>5.7429999999999994</v>
      </c>
      <c r="R11" s="156"/>
      <c r="S11" s="156"/>
      <c r="T11" s="156"/>
      <c r="U11" s="155">
        <f>'2.2.a'!U4</f>
        <v>11847.306489999999</v>
      </c>
      <c r="V11" s="156"/>
      <c r="W11" s="415"/>
      <c r="X11" s="156">
        <f>'2.2.a'!X4</f>
        <v>0.22971999999999998</v>
      </c>
      <c r="Y11" s="48"/>
      <c r="Z11" s="48"/>
      <c r="AA11" s="48"/>
      <c r="AB11" s="48"/>
      <c r="AC11" s="89"/>
      <c r="AD11" s="48"/>
      <c r="AE11" s="48"/>
      <c r="AF11" s="48"/>
      <c r="AG11" s="48"/>
      <c r="AH11" s="48"/>
      <c r="AI11" s="48"/>
      <c r="AJ11" s="48"/>
      <c r="AK11" s="48"/>
      <c r="AL11" s="48"/>
      <c r="AM11" s="48"/>
      <c r="AN11" s="148"/>
      <c r="AO11" s="48"/>
      <c r="AP11" s="48"/>
      <c r="AQ11" s="148"/>
      <c r="AR11" s="48"/>
      <c r="AS11" s="148"/>
      <c r="AT11" s="148"/>
      <c r="AU11" s="148"/>
      <c r="AV11" s="148"/>
      <c r="AW11" s="148"/>
      <c r="AX11" s="148"/>
      <c r="AY11" s="148"/>
      <c r="AZ11" s="148"/>
      <c r="BA11" s="148"/>
      <c r="BB11" s="148"/>
      <c r="BC11" s="148"/>
      <c r="BD11" s="148"/>
      <c r="BE11" s="149"/>
      <c r="BF11" s="14"/>
      <c r="BG11" s="150">
        <f t="shared" si="0"/>
        <v>718343.31383599993</v>
      </c>
    </row>
    <row r="12" spans="1:59" ht="14.4" customHeight="1" x14ac:dyDescent="0.3">
      <c r="A12" s="599"/>
      <c r="B12" s="16" t="s">
        <v>476</v>
      </c>
      <c r="C12" s="571"/>
      <c r="D12" s="571"/>
      <c r="E12" s="610"/>
      <c r="F12" s="155">
        <f>'2.2.a'!F5</f>
        <v>63011601.207999997</v>
      </c>
      <c r="G12" s="156">
        <f>'2.2.a'!G5</f>
        <v>4865873.0370000005</v>
      </c>
      <c r="H12" s="156"/>
      <c r="I12" s="156">
        <f>'2.2.a'!I5</f>
        <v>269435380</v>
      </c>
      <c r="J12" s="156"/>
      <c r="K12" s="156"/>
      <c r="L12" s="156">
        <f>'2.2.a'!L5</f>
        <v>116375811.40000001</v>
      </c>
      <c r="M12" s="415"/>
      <c r="N12" s="155"/>
      <c r="O12" s="156"/>
      <c r="P12" s="156"/>
      <c r="Q12" s="156"/>
      <c r="R12" s="156"/>
      <c r="S12" s="156"/>
      <c r="T12" s="156"/>
      <c r="U12" s="155"/>
      <c r="V12" s="156"/>
      <c r="W12" s="415"/>
      <c r="X12" s="156"/>
      <c r="Y12" s="48"/>
      <c r="Z12" s="48"/>
      <c r="AA12" s="48"/>
      <c r="AB12" s="48"/>
      <c r="AC12" s="89"/>
      <c r="AD12" s="48"/>
      <c r="AE12" s="48"/>
      <c r="AF12" s="48"/>
      <c r="AG12" s="48"/>
      <c r="AH12" s="48"/>
      <c r="AI12" s="48"/>
      <c r="AJ12" s="48"/>
      <c r="AK12" s="48"/>
      <c r="AL12" s="48"/>
      <c r="AM12" s="48"/>
      <c r="AN12" s="148"/>
      <c r="AO12" s="48"/>
      <c r="AP12" s="48"/>
      <c r="AQ12" s="148"/>
      <c r="AR12" s="48"/>
      <c r="AS12" s="148"/>
      <c r="AT12" s="148"/>
      <c r="AU12" s="148"/>
      <c r="AV12" s="148"/>
      <c r="AW12" s="148"/>
      <c r="AX12" s="148"/>
      <c r="AY12" s="148"/>
      <c r="AZ12" s="148"/>
      <c r="BA12" s="148"/>
      <c r="BB12" s="148"/>
      <c r="BC12" s="148"/>
      <c r="BD12" s="148"/>
      <c r="BE12" s="149"/>
      <c r="BF12" s="14"/>
      <c r="BG12" s="150">
        <f t="shared" si="0"/>
        <v>453688665.64499998</v>
      </c>
    </row>
    <row r="13" spans="1:59" ht="14.4" customHeight="1" x14ac:dyDescent="0.3">
      <c r="A13" s="599"/>
      <c r="B13" s="16" t="s">
        <v>477</v>
      </c>
      <c r="C13" s="571"/>
      <c r="D13" s="571"/>
      <c r="E13" s="610"/>
      <c r="F13" s="155">
        <f>'2.2.a'!F6</f>
        <v>5771963.7664692001</v>
      </c>
      <c r="G13" s="156"/>
      <c r="H13" s="156"/>
      <c r="I13" s="156">
        <f>'2.2.a'!I6</f>
        <v>741800</v>
      </c>
      <c r="J13" s="156"/>
      <c r="K13" s="156"/>
      <c r="L13" s="156"/>
      <c r="M13" s="415"/>
      <c r="N13" s="155">
        <f>'2.2.a'!N6</f>
        <v>435083.69930000004</v>
      </c>
      <c r="O13" s="156"/>
      <c r="P13" s="156">
        <f>'2.2.a'!P6</f>
        <v>221.208</v>
      </c>
      <c r="Q13" s="156"/>
      <c r="R13" s="156"/>
      <c r="S13" s="156"/>
      <c r="T13" s="156">
        <f>'2.2.a'!T6</f>
        <v>814.98131999999998</v>
      </c>
      <c r="U13" s="155">
        <f>'2.2.a'!U6</f>
        <v>4895.8222500000002</v>
      </c>
      <c r="V13" s="156"/>
      <c r="W13" s="415"/>
      <c r="X13" s="156">
        <f>'2.2.a'!X6</f>
        <v>554.60005733000003</v>
      </c>
      <c r="Y13" s="48"/>
      <c r="Z13" s="48"/>
      <c r="AA13" s="48"/>
      <c r="AB13" s="48"/>
      <c r="AC13" s="89"/>
      <c r="AD13" s="48"/>
      <c r="AE13" s="48"/>
      <c r="AF13" s="48"/>
      <c r="AG13" s="48"/>
      <c r="AH13" s="48"/>
      <c r="AI13" s="48"/>
      <c r="AJ13" s="48"/>
      <c r="AK13" s="48"/>
      <c r="AL13" s="48"/>
      <c r="AM13" s="48"/>
      <c r="AN13" s="148"/>
      <c r="AO13" s="48"/>
      <c r="AP13" s="48"/>
      <c r="AQ13" s="148"/>
      <c r="AR13" s="48"/>
      <c r="AS13" s="148"/>
      <c r="AT13" s="148"/>
      <c r="AU13" s="148"/>
      <c r="AV13" s="148"/>
      <c r="AW13" s="148"/>
      <c r="AX13" s="148"/>
      <c r="AY13" s="148"/>
      <c r="AZ13" s="148"/>
      <c r="BA13" s="148"/>
      <c r="BB13" s="148"/>
      <c r="BC13" s="148"/>
      <c r="BD13" s="148"/>
      <c r="BE13" s="149"/>
      <c r="BF13" s="14"/>
      <c r="BG13" s="150">
        <f t="shared" si="0"/>
        <v>6955334.0773965307</v>
      </c>
    </row>
    <row r="14" spans="1:59" ht="14.4" customHeight="1" x14ac:dyDescent="0.3">
      <c r="A14" s="599"/>
      <c r="B14" s="16" t="s">
        <v>478</v>
      </c>
      <c r="C14" s="571"/>
      <c r="D14" s="571"/>
      <c r="E14" s="610"/>
      <c r="F14" s="155">
        <f>'2.2.a'!F7</f>
        <v>357564.809503</v>
      </c>
      <c r="G14" s="156"/>
      <c r="H14" s="156">
        <f>'2.2.a'!H7</f>
        <v>253105999.97389999</v>
      </c>
      <c r="I14" s="156">
        <f>'2.2.a'!I7</f>
        <v>1753864158.2755997</v>
      </c>
      <c r="J14" s="156"/>
      <c r="K14" s="156"/>
      <c r="L14" s="156">
        <f>'2.2.a'!L7</f>
        <v>455373398.10499996</v>
      </c>
      <c r="M14" s="415">
        <f>'2.2.a'!M7</f>
        <v>453.5478195</v>
      </c>
      <c r="N14" s="155">
        <f>'2.2.a'!N7</f>
        <v>261600.25531000004</v>
      </c>
      <c r="O14" s="156"/>
      <c r="P14" s="156">
        <f>'2.2.a'!P7</f>
        <v>50029.452139000001</v>
      </c>
      <c r="Q14" s="156"/>
      <c r="R14" s="156"/>
      <c r="S14" s="156"/>
      <c r="T14" s="156">
        <f>'2.2.a'!T7</f>
        <v>64845.371596000005</v>
      </c>
      <c r="U14" s="155"/>
      <c r="V14" s="156"/>
      <c r="W14" s="415"/>
      <c r="X14" s="156"/>
      <c r="Y14" s="156"/>
      <c r="Z14" s="156">
        <f>'2.2.a'!Z7</f>
        <v>73352.183731000012</v>
      </c>
      <c r="AA14" s="156">
        <f>'2.2.a'!AA7</f>
        <v>146704.36742000002</v>
      </c>
      <c r="AB14" s="48"/>
      <c r="AC14" s="89"/>
      <c r="AD14" s="48"/>
      <c r="AE14" s="48"/>
      <c r="AF14" s="48"/>
      <c r="AG14" s="48"/>
      <c r="AH14" s="48"/>
      <c r="AI14" s="48"/>
      <c r="AJ14" s="48"/>
      <c r="AK14" s="48"/>
      <c r="AL14" s="48"/>
      <c r="AM14" s="48"/>
      <c r="AN14" s="148"/>
      <c r="AO14" s="48"/>
      <c r="AP14" s="48"/>
      <c r="AQ14" s="148"/>
      <c r="AR14" s="48"/>
      <c r="AS14" s="148"/>
      <c r="AT14" s="148"/>
      <c r="AU14" s="148"/>
      <c r="AV14" s="148"/>
      <c r="AW14" s="148"/>
      <c r="AX14" s="148"/>
      <c r="AY14" s="148"/>
      <c r="AZ14" s="148"/>
      <c r="BA14" s="148"/>
      <c r="BB14" s="148"/>
      <c r="BC14" s="148"/>
      <c r="BD14" s="148"/>
      <c r="BE14" s="149"/>
      <c r="BF14" s="14"/>
      <c r="BG14" s="150">
        <f t="shared" si="0"/>
        <v>2463298106.3420181</v>
      </c>
    </row>
    <row r="15" spans="1:59" ht="14.1" customHeight="1" x14ac:dyDescent="0.3">
      <c r="A15" s="599"/>
      <c r="B15" s="16" t="s">
        <v>41</v>
      </c>
      <c r="C15" s="571"/>
      <c r="D15" s="571"/>
      <c r="E15" s="610"/>
      <c r="F15" s="155">
        <f>'2.2.a'!F8</f>
        <v>56505299.135309592</v>
      </c>
      <c r="G15" s="156"/>
      <c r="H15" s="156"/>
      <c r="I15" s="156">
        <f>'2.2.a'!I8</f>
        <v>362710700</v>
      </c>
      <c r="J15" s="156"/>
      <c r="K15" s="156"/>
      <c r="L15" s="156">
        <f>'2.2.a'!L8</f>
        <v>190204.47425</v>
      </c>
      <c r="M15" s="415">
        <f>'2.2.a'!M8</f>
        <v>7608.1789699999999</v>
      </c>
      <c r="N15" s="155">
        <f>'2.2.a'!N8</f>
        <v>11499384.125199998</v>
      </c>
      <c r="O15" s="156"/>
      <c r="P15" s="156"/>
      <c r="Q15" s="156"/>
      <c r="R15" s="156"/>
      <c r="S15" s="156"/>
      <c r="T15" s="156"/>
      <c r="U15" s="155"/>
      <c r="V15" s="156"/>
      <c r="W15" s="415"/>
      <c r="X15" s="156"/>
      <c r="Y15" s="156"/>
      <c r="Z15" s="156"/>
      <c r="AA15" s="156"/>
      <c r="AB15" s="48"/>
      <c r="AC15" s="89"/>
      <c r="AD15" s="48"/>
      <c r="AE15" s="48"/>
      <c r="AF15" s="48"/>
      <c r="AG15" s="48"/>
      <c r="AH15" s="48"/>
      <c r="AI15" s="48"/>
      <c r="AJ15" s="48"/>
      <c r="AK15" s="48"/>
      <c r="AL15" s="48"/>
      <c r="AM15" s="48"/>
      <c r="AN15" s="148"/>
      <c r="AO15" s="48"/>
      <c r="AP15" s="48"/>
      <c r="AQ15" s="148"/>
      <c r="AR15" s="48"/>
      <c r="AS15" s="148"/>
      <c r="AT15" s="148"/>
      <c r="AU15" s="148"/>
      <c r="AV15" s="148"/>
      <c r="AW15" s="148"/>
      <c r="AX15" s="148"/>
      <c r="AY15" s="148"/>
      <c r="AZ15" s="148"/>
      <c r="BA15" s="148"/>
      <c r="BB15" s="148"/>
      <c r="BC15" s="148"/>
      <c r="BD15" s="148"/>
      <c r="BE15" s="149"/>
      <c r="BF15" s="14"/>
      <c r="BG15" s="150">
        <f t="shared" si="0"/>
        <v>430913195.91372955</v>
      </c>
    </row>
    <row r="16" spans="1:59" ht="14.1" customHeight="1" x14ac:dyDescent="0.3">
      <c r="A16" s="599"/>
      <c r="B16" s="16" t="s">
        <v>479</v>
      </c>
      <c r="C16" s="571"/>
      <c r="D16" s="571"/>
      <c r="E16" s="610"/>
      <c r="F16" s="155">
        <f>'2.2.a'!F9</f>
        <v>31998599.230579998</v>
      </c>
      <c r="G16" s="156">
        <f>'2.2.a'!G9</f>
        <v>41915.439999999995</v>
      </c>
      <c r="H16" s="156"/>
      <c r="I16" s="156">
        <f>'2.2.a'!I9</f>
        <v>274480420</v>
      </c>
      <c r="J16" s="156"/>
      <c r="K16" s="156"/>
      <c r="L16" s="156">
        <f>'2.2.a'!L9</f>
        <v>111764.96713</v>
      </c>
      <c r="M16" s="415">
        <f>'2.2.a'!M9</f>
        <v>4470.5986850000008</v>
      </c>
      <c r="N16" s="155">
        <f>'2.2.a'!N9</f>
        <v>350234.73212</v>
      </c>
      <c r="O16" s="156"/>
      <c r="P16" s="156">
        <f>'2.2.a'!P9</f>
        <v>2.0928</v>
      </c>
      <c r="Q16" s="156"/>
      <c r="R16" s="156"/>
      <c r="S16" s="156"/>
      <c r="T16" s="156"/>
      <c r="U16" s="155"/>
      <c r="V16" s="156"/>
      <c r="W16" s="415"/>
      <c r="X16" s="156"/>
      <c r="Y16" s="156"/>
      <c r="Z16" s="156"/>
      <c r="AA16" s="156"/>
      <c r="AB16" s="48"/>
      <c r="AC16" s="89"/>
      <c r="AD16" s="48"/>
      <c r="AE16" s="48"/>
      <c r="AF16" s="48"/>
      <c r="AG16" s="48"/>
      <c r="AH16" s="48"/>
      <c r="AI16" s="48"/>
      <c r="AJ16" s="48"/>
      <c r="AK16" s="48"/>
      <c r="AL16" s="48"/>
      <c r="AM16" s="48"/>
      <c r="AN16" s="148"/>
      <c r="AO16" s="48"/>
      <c r="AP16" s="48"/>
      <c r="AQ16" s="148"/>
      <c r="AR16" s="48"/>
      <c r="AS16" s="148"/>
      <c r="AT16" s="148"/>
      <c r="AU16" s="148"/>
      <c r="AV16" s="148"/>
      <c r="AW16" s="148"/>
      <c r="AX16" s="148"/>
      <c r="AY16" s="148"/>
      <c r="AZ16" s="148"/>
      <c r="BA16" s="148"/>
      <c r="BB16" s="148"/>
      <c r="BC16" s="148"/>
      <c r="BD16" s="148"/>
      <c r="BE16" s="149"/>
      <c r="BF16" s="14"/>
      <c r="BG16" s="150">
        <f t="shared" si="0"/>
        <v>306987407.06131506</v>
      </c>
    </row>
    <row r="17" spans="1:59" ht="14.1" customHeight="1" x14ac:dyDescent="0.3">
      <c r="A17" s="599"/>
      <c r="B17" s="16" t="s">
        <v>480</v>
      </c>
      <c r="C17" s="571"/>
      <c r="D17" s="571"/>
      <c r="E17" s="610"/>
      <c r="F17" s="155">
        <f>'2.2.a'!F10</f>
        <v>16803326.013700001</v>
      </c>
      <c r="G17" s="156"/>
      <c r="H17" s="156"/>
      <c r="I17" s="156">
        <f>'2.2.a'!I10</f>
        <v>1155431703.1517999</v>
      </c>
      <c r="J17" s="156"/>
      <c r="K17" s="156"/>
      <c r="L17" s="156"/>
      <c r="M17" s="415"/>
      <c r="N17" s="155"/>
      <c r="O17" s="156"/>
      <c r="P17" s="156"/>
      <c r="Q17" s="156"/>
      <c r="R17" s="156"/>
      <c r="S17" s="156"/>
      <c r="T17" s="156"/>
      <c r="U17" s="155"/>
      <c r="V17" s="156"/>
      <c r="W17" s="415"/>
      <c r="X17" s="156">
        <f>'2.2.a'!X10</f>
        <v>14389.4892</v>
      </c>
      <c r="Y17" s="156"/>
      <c r="Z17" s="156"/>
      <c r="AA17" s="156"/>
      <c r="AB17" s="48"/>
      <c r="AC17" s="89"/>
      <c r="AD17" s="48"/>
      <c r="AE17" s="48"/>
      <c r="AF17" s="48"/>
      <c r="AG17" s="48"/>
      <c r="AH17" s="48"/>
      <c r="AI17" s="48"/>
      <c r="AJ17" s="48"/>
      <c r="AK17" s="48"/>
      <c r="AL17" s="48"/>
      <c r="AM17" s="48"/>
      <c r="AN17" s="148"/>
      <c r="AO17" s="48"/>
      <c r="AP17" s="48"/>
      <c r="AQ17" s="148"/>
      <c r="AR17" s="48"/>
      <c r="AS17" s="148"/>
      <c r="AT17" s="148"/>
      <c r="AU17" s="148"/>
      <c r="AV17" s="148"/>
      <c r="AW17" s="148"/>
      <c r="AX17" s="148"/>
      <c r="AY17" s="148"/>
      <c r="AZ17" s="148"/>
      <c r="BA17" s="148"/>
      <c r="BB17" s="148"/>
      <c r="BC17" s="148"/>
      <c r="BD17" s="148"/>
      <c r="BE17" s="213"/>
      <c r="BF17" s="14"/>
      <c r="BG17" s="214">
        <f t="shared" si="0"/>
        <v>1172249418.6547</v>
      </c>
    </row>
    <row r="18" spans="1:59" s="42" customFormat="1" ht="17.399999999999999" customHeight="1" thickBot="1" x14ac:dyDescent="0.35">
      <c r="A18" s="600"/>
      <c r="B18" s="417" t="s">
        <v>481</v>
      </c>
      <c r="C18" s="159" t="s">
        <v>38</v>
      </c>
      <c r="D18" s="159">
        <v>2018</v>
      </c>
      <c r="E18" s="411" t="s">
        <v>42</v>
      </c>
      <c r="F18" s="418">
        <f>'2.2.b'!F3</f>
        <v>12150469.276951812</v>
      </c>
      <c r="G18" s="419"/>
      <c r="H18" s="419">
        <f>'2.2.b'!H3</f>
        <v>39002.327218395039</v>
      </c>
      <c r="I18" s="419">
        <f>'2.2.b'!I3</f>
        <v>27963300.579163108</v>
      </c>
      <c r="J18" s="419"/>
      <c r="K18" s="419"/>
      <c r="L18" s="419"/>
      <c r="M18" s="420"/>
      <c r="N18" s="418">
        <f>'2.2.b'!N3</f>
        <v>1757858.1946005577</v>
      </c>
      <c r="O18" s="419">
        <f>'2.2.b'!O3</f>
        <v>32634.836593877462</v>
      </c>
      <c r="P18" s="419">
        <f>'2.2.b'!P3</f>
        <v>5773.4221278774603</v>
      </c>
      <c r="Q18" s="419"/>
      <c r="R18" s="419"/>
      <c r="S18" s="419"/>
      <c r="T18" s="419">
        <f>'2.2.b'!T3</f>
        <v>780.84930814804648</v>
      </c>
      <c r="U18" s="160">
        <f>'2.2.b'!U3</f>
        <v>45222.823810877439</v>
      </c>
      <c r="V18" s="161"/>
      <c r="W18" s="424"/>
      <c r="X18" s="419">
        <f>'2.2.b'!X3</f>
        <v>18258.491539187333</v>
      </c>
      <c r="Y18" s="419">
        <f>'2.2.b'!Y3</f>
        <v>1566.1667838471578</v>
      </c>
      <c r="Z18" s="419">
        <f>'2.2.b'!Z3</f>
        <v>536.2205003920667</v>
      </c>
      <c r="AA18" s="419">
        <f>'2.2.b'!AA3</f>
        <v>470.0799999999997</v>
      </c>
      <c r="AB18" s="164"/>
      <c r="AC18" s="416"/>
      <c r="AD18" s="162"/>
      <c r="AE18" s="162"/>
      <c r="AF18" s="162"/>
      <c r="AG18" s="162"/>
      <c r="AH18" s="162"/>
      <c r="AI18" s="162"/>
      <c r="AJ18" s="162"/>
      <c r="AK18" s="162"/>
      <c r="AL18" s="162"/>
      <c r="AM18" s="162"/>
      <c r="AN18" s="466"/>
      <c r="AO18" s="162"/>
      <c r="AP18" s="162"/>
      <c r="AQ18" s="466"/>
      <c r="AR18" s="162"/>
      <c r="AS18" s="466"/>
      <c r="AT18" s="466"/>
      <c r="AU18" s="466"/>
      <c r="AV18" s="466"/>
      <c r="AW18" s="466"/>
      <c r="AX18" s="466"/>
      <c r="AY18" s="466"/>
      <c r="AZ18" s="466"/>
      <c r="BA18" s="466"/>
      <c r="BB18" s="466"/>
      <c r="BC18" s="466"/>
      <c r="BD18" s="466"/>
      <c r="BE18" s="153"/>
      <c r="BF18" s="165"/>
      <c r="BG18" s="154">
        <f t="shared" si="0"/>
        <v>42015873.26859808</v>
      </c>
    </row>
    <row r="19" spans="1:59" ht="16.2" customHeight="1" x14ac:dyDescent="0.3">
      <c r="A19" s="570" t="s">
        <v>434</v>
      </c>
      <c r="B19" s="45" t="s">
        <v>482</v>
      </c>
      <c r="C19" s="601" t="s">
        <v>38</v>
      </c>
      <c r="D19" s="601">
        <v>2018</v>
      </c>
      <c r="E19" s="573" t="s">
        <v>660</v>
      </c>
      <c r="F19" s="88"/>
      <c r="G19" s="48"/>
      <c r="H19" s="48"/>
      <c r="I19" s="48"/>
      <c r="J19" s="48"/>
      <c r="K19" s="48"/>
      <c r="L19" s="48"/>
      <c r="M19" s="48"/>
      <c r="N19" s="88">
        <f>'2.3.'!N3</f>
        <v>179837.8802388733</v>
      </c>
      <c r="O19" s="48">
        <f>'2.3.'!O3</f>
        <v>85729.738020033314</v>
      </c>
      <c r="P19" s="48">
        <f>'2.3.'!P3</f>
        <v>339882.67951004108</v>
      </c>
      <c r="Q19" s="48"/>
      <c r="R19" s="48">
        <f>'2.3.'!R3</f>
        <v>324131.40216241981</v>
      </c>
      <c r="S19" s="48"/>
      <c r="T19" s="48"/>
      <c r="U19" s="86"/>
      <c r="V19" s="47"/>
      <c r="W19" s="87"/>
      <c r="X19" s="48">
        <f>'2.3.'!X3</f>
        <v>173467.42366109215</v>
      </c>
      <c r="Y19" s="48"/>
      <c r="Z19" s="48">
        <f>'2.3.'!Z3</f>
        <v>129402.98717452597</v>
      </c>
      <c r="AA19" s="48"/>
      <c r="AB19" s="48"/>
      <c r="AC19" s="48"/>
      <c r="AD19" s="86"/>
      <c r="AE19" s="47"/>
      <c r="AF19" s="47"/>
      <c r="AG19" s="47"/>
      <c r="AH19" s="47"/>
      <c r="AI19" s="47"/>
      <c r="AJ19" s="47"/>
      <c r="AK19" s="47"/>
      <c r="AL19" s="47"/>
      <c r="AM19" s="47"/>
      <c r="AN19" s="47"/>
      <c r="AO19" s="47"/>
      <c r="AP19" s="47"/>
      <c r="AQ19" s="47"/>
      <c r="AR19" s="47"/>
      <c r="AS19" s="47"/>
      <c r="AT19" s="47"/>
      <c r="AU19" s="47"/>
      <c r="AV19" s="47"/>
      <c r="AW19" s="47"/>
      <c r="AX19" s="47"/>
      <c r="AY19" s="47"/>
      <c r="AZ19" s="47"/>
      <c r="BA19" s="47"/>
      <c r="BB19" s="47"/>
      <c r="BC19" s="47"/>
      <c r="BD19" s="87"/>
      <c r="BE19" s="86"/>
      <c r="BF19" s="338"/>
      <c r="BG19" s="87">
        <f>SUM(F19:BD19)</f>
        <v>1232452.1107669855</v>
      </c>
    </row>
    <row r="20" spans="1:59" ht="15" customHeight="1" x14ac:dyDescent="0.3">
      <c r="A20" s="571"/>
      <c r="B20" s="15" t="s">
        <v>483</v>
      </c>
      <c r="C20" s="602"/>
      <c r="D20" s="602"/>
      <c r="E20" s="574"/>
      <c r="F20" s="88">
        <f>'2.3.'!F4</f>
        <v>1403741.9164087055</v>
      </c>
      <c r="G20" s="48"/>
      <c r="H20" s="48"/>
      <c r="I20" s="48"/>
      <c r="J20" s="48"/>
      <c r="K20" s="48"/>
      <c r="L20" s="48"/>
      <c r="M20" s="48"/>
      <c r="N20" s="88">
        <f>'2.3.'!N4</f>
        <v>570263.12330039847</v>
      </c>
      <c r="O20" s="48">
        <f>'2.3.'!O4</f>
        <v>130206.65967738738</v>
      </c>
      <c r="P20" s="48">
        <f>'2.3.'!P4</f>
        <v>239703.72857240072</v>
      </c>
      <c r="Q20" s="48"/>
      <c r="R20" s="48"/>
      <c r="S20" s="48"/>
      <c r="T20" s="48"/>
      <c r="U20" s="88"/>
      <c r="V20" s="48"/>
      <c r="W20" s="89"/>
      <c r="X20" s="48"/>
      <c r="Y20" s="48"/>
      <c r="Z20" s="48"/>
      <c r="AA20" s="48"/>
      <c r="AB20" s="48"/>
      <c r="AC20" s="48"/>
      <c r="AD20" s="88"/>
      <c r="AE20" s="48"/>
      <c r="AF20" s="48"/>
      <c r="AG20" s="48"/>
      <c r="AH20" s="48"/>
      <c r="AI20" s="48"/>
      <c r="AJ20" s="48"/>
      <c r="AK20" s="48"/>
      <c r="AL20" s="48"/>
      <c r="AM20" s="48"/>
      <c r="AN20" s="48"/>
      <c r="AO20" s="48"/>
      <c r="AP20" s="48"/>
      <c r="AQ20" s="48"/>
      <c r="AR20" s="48"/>
      <c r="AS20" s="48"/>
      <c r="AT20" s="48"/>
      <c r="AU20" s="48"/>
      <c r="AV20" s="48"/>
      <c r="AW20" s="48"/>
      <c r="AX20" s="48"/>
      <c r="AY20" s="48"/>
      <c r="AZ20" s="48"/>
      <c r="BA20" s="48"/>
      <c r="BB20" s="48"/>
      <c r="BC20" s="48"/>
      <c r="BD20" s="89"/>
      <c r="BE20" s="88"/>
      <c r="BF20" s="313"/>
      <c r="BG20" s="89">
        <f t="shared" ref="BG20:BG27" si="1">SUM(F20:BD20)</f>
        <v>2343915.4279588922</v>
      </c>
    </row>
    <row r="21" spans="1:59" ht="18" customHeight="1" x14ac:dyDescent="0.3">
      <c r="A21" s="571"/>
      <c r="B21" s="15" t="s">
        <v>484</v>
      </c>
      <c r="C21" s="602"/>
      <c r="D21" s="602"/>
      <c r="E21" s="574"/>
      <c r="F21" s="88">
        <f>'2.3.'!F5</f>
        <v>206794.40600000002</v>
      </c>
      <c r="G21" s="48"/>
      <c r="H21" s="48"/>
      <c r="I21" s="48"/>
      <c r="J21" s="48"/>
      <c r="K21" s="48"/>
      <c r="L21" s="48"/>
      <c r="M21" s="48"/>
      <c r="N21" s="88">
        <f>'2.3.'!N5</f>
        <v>126051.43201360352</v>
      </c>
      <c r="O21" s="48"/>
      <c r="P21" s="48"/>
      <c r="Q21" s="48"/>
      <c r="R21" s="48"/>
      <c r="S21" s="48"/>
      <c r="T21" s="48"/>
      <c r="U21" s="88"/>
      <c r="V21" s="48"/>
      <c r="W21" s="89"/>
      <c r="X21" s="48"/>
      <c r="Y21" s="48"/>
      <c r="Z21" s="48"/>
      <c r="AA21" s="48"/>
      <c r="AB21" s="48"/>
      <c r="AC21" s="48"/>
      <c r="AD21" s="88"/>
      <c r="AE21" s="48"/>
      <c r="AF21" s="48"/>
      <c r="AG21" s="48"/>
      <c r="AH21" s="48"/>
      <c r="AI21" s="48"/>
      <c r="AJ21" s="48"/>
      <c r="AK21" s="48"/>
      <c r="AL21" s="48"/>
      <c r="AM21" s="48"/>
      <c r="AN21" s="48"/>
      <c r="AO21" s="48"/>
      <c r="AP21" s="48"/>
      <c r="AQ21" s="48"/>
      <c r="AR21" s="48"/>
      <c r="AS21" s="48"/>
      <c r="AT21" s="48"/>
      <c r="AU21" s="48"/>
      <c r="AV21" s="48"/>
      <c r="AW21" s="48"/>
      <c r="AX21" s="48"/>
      <c r="AY21" s="48"/>
      <c r="AZ21" s="48"/>
      <c r="BA21" s="48"/>
      <c r="BB21" s="48"/>
      <c r="BC21" s="48"/>
      <c r="BD21" s="89"/>
      <c r="BE21" s="88"/>
      <c r="BF21" s="313"/>
      <c r="BG21" s="89">
        <f t="shared" si="1"/>
        <v>332845.83801360353</v>
      </c>
    </row>
    <row r="22" spans="1:59" ht="15.45" customHeight="1" x14ac:dyDescent="0.3">
      <c r="A22" s="571"/>
      <c r="B22" s="15" t="s">
        <v>485</v>
      </c>
      <c r="C22" s="602"/>
      <c r="D22" s="602"/>
      <c r="E22" s="574"/>
      <c r="F22" s="88">
        <f>'2.3.'!F6</f>
        <v>2112599.4010316771</v>
      </c>
      <c r="G22" s="48"/>
      <c r="H22" s="48"/>
      <c r="I22" s="48"/>
      <c r="J22" s="48"/>
      <c r="K22" s="48"/>
      <c r="L22" s="48"/>
      <c r="M22" s="48"/>
      <c r="N22" s="88">
        <f>'2.3.'!N6</f>
        <v>990065.17552288587</v>
      </c>
      <c r="O22" s="48">
        <f>'2.3.'!O6</f>
        <v>18710.58691231587</v>
      </c>
      <c r="P22" s="48">
        <f>'2.3.'!P6</f>
        <v>1625.437346266498</v>
      </c>
      <c r="Q22" s="48"/>
      <c r="R22" s="48"/>
      <c r="S22" s="48">
        <f>'2.3.'!S6</f>
        <v>854.17548919556305</v>
      </c>
      <c r="T22" s="48"/>
      <c r="U22" s="88">
        <f>'2.3.'!U6</f>
        <v>1555.691381722083</v>
      </c>
      <c r="V22" s="48"/>
      <c r="W22" s="89"/>
      <c r="X22" s="48">
        <f>'2.3.'!X6</f>
        <v>1149.8588473597999</v>
      </c>
      <c r="Y22" s="48"/>
      <c r="Z22" s="48"/>
      <c r="AA22" s="48"/>
      <c r="AB22" s="48"/>
      <c r="AC22" s="48"/>
      <c r="AD22" s="88">
        <f>'2.3.'!AD6</f>
        <v>91.514654522221321</v>
      </c>
      <c r="AE22" s="48">
        <f>'2.3.'!AE6</f>
        <v>3.744649746629515</v>
      </c>
      <c r="AF22" s="48">
        <f>'2.3.'!AF6</f>
        <v>16.048498914126501</v>
      </c>
      <c r="AG22" s="48"/>
      <c r="AH22" s="48"/>
      <c r="AI22" s="48"/>
      <c r="AJ22" s="48"/>
      <c r="AK22" s="48"/>
      <c r="AL22" s="48">
        <f>'2.3.'!AL6</f>
        <v>0.7260035223057224</v>
      </c>
      <c r="AM22" s="48">
        <f>'2.3.'!AM6</f>
        <v>146.984794035639</v>
      </c>
      <c r="AN22" s="48"/>
      <c r="AO22" s="48"/>
      <c r="AP22" s="48"/>
      <c r="AQ22" s="48"/>
      <c r="AR22" s="48"/>
      <c r="AS22" s="48"/>
      <c r="AT22" s="48"/>
      <c r="AU22" s="48"/>
      <c r="AV22" s="48"/>
      <c r="AW22" s="48"/>
      <c r="AX22" s="48"/>
      <c r="AY22" s="48"/>
      <c r="AZ22" s="48"/>
      <c r="BA22" s="48">
        <f>'2.3.'!BA6</f>
        <v>19.295089537040099</v>
      </c>
      <c r="BB22" s="48"/>
      <c r="BC22" s="48"/>
      <c r="BD22" s="89"/>
      <c r="BE22" s="88">
        <f t="shared" ref="BE22:BE27" si="2">SUM(AD22:BD22)</f>
        <v>278.31369027796217</v>
      </c>
      <c r="BF22" s="313"/>
      <c r="BG22" s="89">
        <f t="shared" si="1"/>
        <v>3126838.6402217005</v>
      </c>
    </row>
    <row r="23" spans="1:59" ht="16.2" customHeight="1" x14ac:dyDescent="0.3">
      <c r="A23" s="571"/>
      <c r="B23" s="15" t="s">
        <v>486</v>
      </c>
      <c r="C23" s="602"/>
      <c r="D23" s="602"/>
      <c r="E23" s="574"/>
      <c r="F23" s="88">
        <f>'2.3.'!F7</f>
        <v>274471.42673439148</v>
      </c>
      <c r="G23" s="48"/>
      <c r="H23" s="48"/>
      <c r="I23" s="48"/>
      <c r="J23" s="48"/>
      <c r="K23" s="48"/>
      <c r="L23" s="48"/>
      <c r="M23" s="48"/>
      <c r="N23" s="88">
        <f>'2.3.'!N7</f>
        <v>307028.16927949229</v>
      </c>
      <c r="O23" s="48">
        <f>'2.3.'!O7</f>
        <v>20800.14107048107</v>
      </c>
      <c r="P23" s="48">
        <f>'2.3.'!P7</f>
        <v>33913.273484480007</v>
      </c>
      <c r="Q23" s="48">
        <f>'2.3.'!Q7</f>
        <v>8.9983121977383238</v>
      </c>
      <c r="R23" s="48">
        <f>'2.3.'!R7</f>
        <v>279.28953283425398</v>
      </c>
      <c r="S23" s="48">
        <f>'2.3.'!S7</f>
        <v>460.98773050307722</v>
      </c>
      <c r="T23" s="48"/>
      <c r="U23" s="88"/>
      <c r="V23" s="48"/>
      <c r="W23" s="89"/>
      <c r="X23" s="48">
        <f>'2.3.'!X7</f>
        <v>38887.220262203737</v>
      </c>
      <c r="Y23" s="48"/>
      <c r="Z23" s="48"/>
      <c r="AA23" s="48">
        <f>'2.3.'!AA7</f>
        <v>209810.118623983</v>
      </c>
      <c r="AB23" s="48"/>
      <c r="AC23" s="48"/>
      <c r="AD23" s="88"/>
      <c r="AE23" s="48"/>
      <c r="AF23" s="48"/>
      <c r="AG23" s="48">
        <f>'2.3.'!AG7</f>
        <v>7.0499683841375136</v>
      </c>
      <c r="AH23" s="48">
        <f>'2.3.'!AH7</f>
        <v>1.200175018037789</v>
      </c>
      <c r="AI23" s="48">
        <f>'2.3.'!AI7</f>
        <v>12.84843603012674</v>
      </c>
      <c r="AJ23" s="48">
        <f>'2.3.'!AJ7</f>
        <v>77.173123192664832</v>
      </c>
      <c r="AK23" s="48"/>
      <c r="AL23" s="48"/>
      <c r="AM23" s="48">
        <f>'2.3.'!AM7</f>
        <v>15474.776001127109</v>
      </c>
      <c r="AN23" s="48"/>
      <c r="AO23" s="48"/>
      <c r="AP23" s="48"/>
      <c r="AQ23" s="48"/>
      <c r="AR23" s="48"/>
      <c r="AS23" s="48"/>
      <c r="AT23" s="48"/>
      <c r="AU23" s="48"/>
      <c r="AV23" s="48"/>
      <c r="AW23" s="48"/>
      <c r="AX23" s="48"/>
      <c r="AY23" s="48"/>
      <c r="AZ23" s="48"/>
      <c r="BA23" s="48"/>
      <c r="BB23" s="48"/>
      <c r="BC23" s="48"/>
      <c r="BD23" s="89"/>
      <c r="BE23" s="88">
        <f t="shared" si="2"/>
        <v>15573.047703752076</v>
      </c>
      <c r="BF23" s="313"/>
      <c r="BG23" s="89">
        <f t="shared" si="1"/>
        <v>901232.67273431853</v>
      </c>
    </row>
    <row r="24" spans="1:59" ht="17.399999999999999" customHeight="1" x14ac:dyDescent="0.3">
      <c r="A24" s="571"/>
      <c r="B24" s="15" t="s">
        <v>487</v>
      </c>
      <c r="C24" s="602"/>
      <c r="D24" s="602"/>
      <c r="E24" s="574"/>
      <c r="F24" s="88">
        <f>'2.3.'!F8</f>
        <v>662340</v>
      </c>
      <c r="G24" s="48"/>
      <c r="H24" s="48"/>
      <c r="I24" s="48"/>
      <c r="J24" s="48"/>
      <c r="K24" s="48"/>
      <c r="L24" s="48"/>
      <c r="M24" s="48"/>
      <c r="N24" s="88">
        <f>'2.3.'!N8</f>
        <v>294500</v>
      </c>
      <c r="O24" s="48">
        <f>'2.3.'!O8</f>
        <v>17575</v>
      </c>
      <c r="P24" s="48">
        <f>'2.3.'!P8</f>
        <v>17575</v>
      </c>
      <c r="Q24" s="48"/>
      <c r="R24" s="48"/>
      <c r="S24" s="48">
        <f>'2.3.'!S8</f>
        <v>345.61</v>
      </c>
      <c r="T24" s="48"/>
      <c r="U24" s="88"/>
      <c r="V24" s="48"/>
      <c r="W24" s="89"/>
      <c r="X24" s="48"/>
      <c r="Y24" s="48"/>
      <c r="Z24" s="48"/>
      <c r="AA24" s="48"/>
      <c r="AB24" s="48"/>
      <c r="AC24" s="48"/>
      <c r="AD24" s="88"/>
      <c r="AE24" s="48"/>
      <c r="AF24" s="48"/>
      <c r="AG24" s="48"/>
      <c r="AH24" s="48"/>
      <c r="AI24" s="48"/>
      <c r="AJ24" s="48"/>
      <c r="AK24" s="48"/>
      <c r="AL24" s="48"/>
      <c r="AM24" s="48"/>
      <c r="AN24" s="48"/>
      <c r="AO24" s="48">
        <f>'2.3.'!AO8</f>
        <v>34.199999999999996</v>
      </c>
      <c r="AP24" s="48"/>
      <c r="AQ24" s="48"/>
      <c r="AR24" s="48"/>
      <c r="AS24" s="48"/>
      <c r="AT24" s="48"/>
      <c r="AU24" s="48"/>
      <c r="AV24" s="48"/>
      <c r="AW24" s="48"/>
      <c r="AX24" s="48"/>
      <c r="AY24" s="48"/>
      <c r="AZ24" s="48"/>
      <c r="BA24" s="48"/>
      <c r="BB24" s="48"/>
      <c r="BC24" s="48"/>
      <c r="BD24" s="89"/>
      <c r="BE24" s="88">
        <f t="shared" si="2"/>
        <v>34.199999999999996</v>
      </c>
      <c r="BF24" s="313"/>
      <c r="BG24" s="89">
        <f t="shared" si="1"/>
        <v>992369.80999999994</v>
      </c>
    </row>
    <row r="25" spans="1:59" s="2" customFormat="1" ht="13.5" customHeight="1" thickBot="1" x14ac:dyDescent="0.35">
      <c r="A25" s="571"/>
      <c r="B25" s="15" t="s">
        <v>488</v>
      </c>
      <c r="C25" s="602"/>
      <c r="D25" s="602"/>
      <c r="E25" s="574"/>
      <c r="F25" s="88">
        <f>'2.3.'!F9</f>
        <v>1169894</v>
      </c>
      <c r="G25" s="48"/>
      <c r="H25" s="48"/>
      <c r="I25" s="48"/>
      <c r="J25" s="48"/>
      <c r="K25" s="48"/>
      <c r="L25" s="48"/>
      <c r="M25" s="48"/>
      <c r="N25" s="88">
        <f>'2.3.'!N9</f>
        <v>347044.5</v>
      </c>
      <c r="O25" s="48">
        <f>'2.3.'!O9</f>
        <v>6765</v>
      </c>
      <c r="P25" s="48">
        <f>'2.3.'!P9</f>
        <v>4510</v>
      </c>
      <c r="Q25" s="48"/>
      <c r="R25" s="48"/>
      <c r="S25" s="48">
        <f>'2.3.'!S9</f>
        <v>1023.4091999999999</v>
      </c>
      <c r="T25" s="48"/>
      <c r="U25" s="88"/>
      <c r="V25" s="48"/>
      <c r="W25" s="89"/>
      <c r="X25" s="48"/>
      <c r="Y25" s="48"/>
      <c r="Z25" s="48"/>
      <c r="AA25" s="48"/>
      <c r="AB25" s="48"/>
      <c r="AC25" s="48"/>
      <c r="AD25" s="88"/>
      <c r="AE25" s="48"/>
      <c r="AF25" s="48"/>
      <c r="AG25" s="48"/>
      <c r="AH25" s="48"/>
      <c r="AI25" s="48"/>
      <c r="AJ25" s="48"/>
      <c r="AK25" s="48"/>
      <c r="AL25" s="48"/>
      <c r="AM25" s="48"/>
      <c r="AN25" s="48"/>
      <c r="AO25" s="48">
        <f>'2.3.'!AO9</f>
        <v>62.959600000000002</v>
      </c>
      <c r="AP25" s="48"/>
      <c r="AQ25" s="48"/>
      <c r="AR25" s="48">
        <f>'2.3.'!AR9</f>
        <v>2.3001</v>
      </c>
      <c r="AS25" s="48"/>
      <c r="AT25" s="48">
        <f>'2.3.'!AT9</f>
        <v>6.4042000000000003</v>
      </c>
      <c r="AU25" s="48"/>
      <c r="AV25" s="48"/>
      <c r="AW25" s="48">
        <f>'2.3.'!AW9</f>
        <v>84.5625</v>
      </c>
      <c r="AX25" s="48"/>
      <c r="AY25" s="48"/>
      <c r="AZ25" s="48">
        <f>'2.3.'!AZ9</f>
        <v>8.0278000000000009</v>
      </c>
      <c r="BA25" s="48">
        <f>'2.3.'!BA9</f>
        <v>11.275</v>
      </c>
      <c r="BB25" s="48"/>
      <c r="BC25" s="48"/>
      <c r="BD25" s="89"/>
      <c r="BE25" s="88">
        <f t="shared" si="2"/>
        <v>175.52920000000003</v>
      </c>
      <c r="BF25" s="313"/>
      <c r="BG25" s="89">
        <f t="shared" si="1"/>
        <v>1529412.4384000001</v>
      </c>
    </row>
    <row r="26" spans="1:59" ht="13.8" customHeight="1" x14ac:dyDescent="0.3">
      <c r="A26" s="571"/>
      <c r="B26" s="15" t="s">
        <v>489</v>
      </c>
      <c r="C26" s="602"/>
      <c r="D26" s="602"/>
      <c r="E26" s="574"/>
      <c r="F26" s="88">
        <f>'2.3.'!F10</f>
        <v>181050</v>
      </c>
      <c r="G26" s="48"/>
      <c r="H26" s="48"/>
      <c r="I26" s="48"/>
      <c r="J26" s="48"/>
      <c r="K26" s="48"/>
      <c r="L26" s="48"/>
      <c r="M26" s="48"/>
      <c r="N26" s="88">
        <f>'2.3.'!N10</f>
        <v>31212</v>
      </c>
      <c r="O26" s="48">
        <f>'2.3.'!O10</f>
        <v>749.69999999999993</v>
      </c>
      <c r="P26" s="48">
        <f>'2.3.'!P10</f>
        <v>102</v>
      </c>
      <c r="Q26" s="48">
        <f>'2.3.'!Q10</f>
        <v>2.1930000000000001</v>
      </c>
      <c r="R26" s="48"/>
      <c r="S26" s="48">
        <f>'2.3.'!S10</f>
        <v>386.63100000000003</v>
      </c>
      <c r="T26" s="48"/>
      <c r="U26" s="88"/>
      <c r="V26" s="48"/>
      <c r="W26" s="89"/>
      <c r="X26" s="48"/>
      <c r="Y26" s="48"/>
      <c r="Z26" s="48"/>
      <c r="AA26" s="48"/>
      <c r="AB26" s="48"/>
      <c r="AC26" s="48"/>
      <c r="AD26" s="88"/>
      <c r="AE26" s="48"/>
      <c r="AF26" s="48"/>
      <c r="AG26" s="48">
        <f>'2.3.'!AG10</f>
        <v>0.81600000000000006</v>
      </c>
      <c r="AH26" s="48"/>
      <c r="AI26" s="48"/>
      <c r="AJ26" s="48">
        <f>'2.3.'!AJ10</f>
        <v>4.2329999999999997</v>
      </c>
      <c r="AK26" s="48"/>
      <c r="AL26" s="48"/>
      <c r="AM26" s="48"/>
      <c r="AN26" s="48"/>
      <c r="AO26" s="48"/>
      <c r="AP26" s="48"/>
      <c r="AQ26" s="48"/>
      <c r="AR26" s="48"/>
      <c r="AS26" s="48"/>
      <c r="AT26" s="48">
        <f>'2.3.'!AT10</f>
        <v>0.76500000000000001</v>
      </c>
      <c r="AU26" s="48"/>
      <c r="AV26" s="48"/>
      <c r="AW26" s="48">
        <f>'2.3.'!AW10</f>
        <v>2.5500000000000003</v>
      </c>
      <c r="AX26" s="48">
        <f>'2.3.'!AX10</f>
        <v>0.255</v>
      </c>
      <c r="AY26" s="48"/>
      <c r="AZ26" s="48">
        <f>'2.3.'!AZ10</f>
        <v>1.02</v>
      </c>
      <c r="BA26" s="48">
        <f>'2.3.'!BA10</f>
        <v>0.30599999999999999</v>
      </c>
      <c r="BB26" s="48"/>
      <c r="BC26" s="48"/>
      <c r="BD26" s="89"/>
      <c r="BE26" s="88">
        <f t="shared" si="2"/>
        <v>9.9449999999999985</v>
      </c>
      <c r="BF26" s="313"/>
      <c r="BG26" s="89">
        <f t="shared" si="1"/>
        <v>213512.46900000001</v>
      </c>
    </row>
    <row r="27" spans="1:59" ht="14.4" customHeight="1" thickBot="1" x14ac:dyDescent="0.35">
      <c r="A27" s="571"/>
      <c r="B27" s="15" t="s">
        <v>490</v>
      </c>
      <c r="C27" s="602"/>
      <c r="D27" s="602"/>
      <c r="E27" s="574"/>
      <c r="F27" s="88">
        <f>'2.3.'!F11</f>
        <v>185747.08000000002</v>
      </c>
      <c r="G27" s="48"/>
      <c r="H27" s="48"/>
      <c r="I27" s="48"/>
      <c r="J27" s="48"/>
      <c r="K27" s="48"/>
      <c r="L27" s="48"/>
      <c r="M27" s="48"/>
      <c r="N27" s="88">
        <f>'2.3.'!N11</f>
        <v>31174.66</v>
      </c>
      <c r="O27" s="48">
        <f>'2.3.'!O11</f>
        <v>46.460000000000008</v>
      </c>
      <c r="P27" s="48">
        <f>'2.3.'!P11</f>
        <v>236.94600000000003</v>
      </c>
      <c r="Q27" s="48"/>
      <c r="R27" s="48"/>
      <c r="S27" s="48">
        <f>'2.3.'!S11</f>
        <v>210.85406399999999</v>
      </c>
      <c r="T27" s="48"/>
      <c r="U27" s="90"/>
      <c r="V27" s="51"/>
      <c r="W27" s="91"/>
      <c r="X27" s="48"/>
      <c r="Y27" s="48"/>
      <c r="Z27" s="48"/>
      <c r="AA27" s="48"/>
      <c r="AB27" s="48"/>
      <c r="AC27" s="48"/>
      <c r="AD27" s="90"/>
      <c r="AE27" s="51"/>
      <c r="AF27" s="51"/>
      <c r="AG27" s="51"/>
      <c r="AH27" s="51"/>
      <c r="AI27" s="51"/>
      <c r="AJ27" s="51"/>
      <c r="AK27" s="51"/>
      <c r="AL27" s="51"/>
      <c r="AM27" s="51"/>
      <c r="AN27" s="51"/>
      <c r="AO27" s="51">
        <f>'2.3.'!AO11</f>
        <v>12.971632000000001</v>
      </c>
      <c r="AP27" s="51"/>
      <c r="AQ27" s="51"/>
      <c r="AR27" s="51">
        <f>'2.3.'!AR11</f>
        <v>0.47389200000000004</v>
      </c>
      <c r="AS27" s="51"/>
      <c r="AT27" s="51">
        <f>'2.3.'!AT11</f>
        <v>1.3194640000000002</v>
      </c>
      <c r="AU27" s="51"/>
      <c r="AV27" s="51"/>
      <c r="AW27" s="51">
        <f>'2.3.'!AW11</f>
        <v>17.422499999999999</v>
      </c>
      <c r="AX27" s="51"/>
      <c r="AY27" s="51"/>
      <c r="AZ27" s="51">
        <f>'2.3.'!AZ11</f>
        <v>1.6539760000000001</v>
      </c>
      <c r="BA27" s="51">
        <f>'2.3.'!BA11</f>
        <v>2.323</v>
      </c>
      <c r="BB27" s="51"/>
      <c r="BC27" s="51"/>
      <c r="BD27" s="91"/>
      <c r="BE27" s="88">
        <f t="shared" si="2"/>
        <v>36.164464000000002</v>
      </c>
      <c r="BF27" s="339"/>
      <c r="BG27" s="89">
        <f t="shared" si="1"/>
        <v>217452.16452800002</v>
      </c>
    </row>
    <row r="28" spans="1:59" s="46" customFormat="1" ht="14.4" customHeight="1" x14ac:dyDescent="0.25">
      <c r="A28" s="571"/>
      <c r="B28" s="421" t="s">
        <v>491</v>
      </c>
      <c r="C28" s="612" t="s">
        <v>38</v>
      </c>
      <c r="D28" s="612">
        <v>2022</v>
      </c>
      <c r="E28" s="613" t="s">
        <v>431</v>
      </c>
      <c r="F28" s="422"/>
      <c r="G28" s="242"/>
      <c r="H28" s="242"/>
      <c r="I28" s="242"/>
      <c r="J28" s="242"/>
      <c r="K28" s="242"/>
      <c r="L28" s="242"/>
      <c r="M28" s="162">
        <f>'2.4.'!M3</f>
        <v>1400</v>
      </c>
      <c r="N28" s="422">
        <f>'2.4.'!N3</f>
        <v>450300</v>
      </c>
      <c r="O28" s="162"/>
      <c r="P28" s="242"/>
      <c r="Q28" s="242"/>
      <c r="R28" s="242"/>
      <c r="S28" s="242"/>
      <c r="T28" s="163"/>
      <c r="U28" s="15"/>
      <c r="V28" s="14"/>
      <c r="W28" s="16"/>
      <c r="X28" s="422">
        <f>'2.4.'!X3</f>
        <v>300700</v>
      </c>
      <c r="Y28" s="242"/>
      <c r="Z28" s="242"/>
      <c r="AA28" s="242"/>
      <c r="AB28" s="242"/>
      <c r="AC28" s="423"/>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338"/>
      <c r="BG28" s="147">
        <f>SUM(F28:BD28)</f>
        <v>752400</v>
      </c>
    </row>
    <row r="29" spans="1:59" s="14" customFormat="1" ht="14.4" customHeight="1" x14ac:dyDescent="0.25">
      <c r="A29" s="571"/>
      <c r="B29" s="313" t="s">
        <v>594</v>
      </c>
      <c r="C29" s="571"/>
      <c r="D29" s="571"/>
      <c r="E29" s="610"/>
      <c r="F29" s="88"/>
      <c r="N29" s="88">
        <f>'2.4.'!N4</f>
        <v>179299.99999999997</v>
      </c>
      <c r="O29" s="48">
        <f>'2.4.'!O4</f>
        <v>54800</v>
      </c>
      <c r="T29" s="89">
        <f>'2.4.'!T4</f>
        <v>14200</v>
      </c>
      <c r="U29" s="15"/>
      <c r="W29" s="16"/>
      <c r="X29" s="88">
        <f>'2.4.'!X4</f>
        <v>42800</v>
      </c>
      <c r="AC29" s="16"/>
      <c r="BE29" s="313"/>
      <c r="BG29" s="150">
        <f t="shared" ref="BG29:BG30" si="3">SUM(F29:BD29)</f>
        <v>291100</v>
      </c>
    </row>
    <row r="30" spans="1:59" s="50" customFormat="1" ht="14.7" customHeight="1" thickBot="1" x14ac:dyDescent="0.3">
      <c r="A30" s="572"/>
      <c r="B30" s="339" t="s">
        <v>603</v>
      </c>
      <c r="C30" s="572"/>
      <c r="D30" s="572"/>
      <c r="E30" s="611"/>
      <c r="F30" s="88">
        <f>'2.4.'!F5</f>
        <v>10300</v>
      </c>
      <c r="G30" s="14"/>
      <c r="H30" s="14"/>
      <c r="I30" s="14"/>
      <c r="J30" s="14"/>
      <c r="K30" s="14"/>
      <c r="L30" s="14"/>
      <c r="M30" s="14"/>
      <c r="N30" s="90">
        <f>'2.4.'!N5</f>
        <v>26600</v>
      </c>
      <c r="O30" s="51"/>
      <c r="T30" s="91"/>
      <c r="U30" s="49"/>
      <c r="W30" s="80"/>
      <c r="X30" s="88"/>
      <c r="Y30" s="14"/>
      <c r="Z30" s="14"/>
      <c r="AA30" s="14"/>
      <c r="AB30" s="14"/>
      <c r="AC30" s="16"/>
      <c r="BE30" s="339"/>
      <c r="BG30" s="154">
        <f t="shared" si="3"/>
        <v>36900</v>
      </c>
    </row>
    <row r="31" spans="1:59" s="46" customFormat="1" ht="12" x14ac:dyDescent="0.25">
      <c r="A31" s="614" t="s">
        <v>543</v>
      </c>
      <c r="B31" s="338" t="s">
        <v>600</v>
      </c>
      <c r="C31" s="570" t="s">
        <v>38</v>
      </c>
      <c r="D31" s="570">
        <v>2020</v>
      </c>
      <c r="E31" s="609" t="s">
        <v>43</v>
      </c>
      <c r="F31" s="86">
        <f>'2.5.'!F3</f>
        <v>4884225</v>
      </c>
      <c r="G31" s="47"/>
      <c r="H31" s="47"/>
      <c r="I31" s="47"/>
      <c r="J31" s="47"/>
      <c r="K31" s="47"/>
      <c r="L31" s="47"/>
      <c r="M31" s="87"/>
      <c r="N31" s="48">
        <f>'2.5.'!N3</f>
        <v>22706</v>
      </c>
      <c r="O31" s="48"/>
      <c r="P31" s="48"/>
      <c r="Q31" s="48"/>
      <c r="R31" s="48"/>
      <c r="S31" s="48"/>
      <c r="T31" s="48"/>
      <c r="U31" s="86"/>
      <c r="X31" s="86">
        <f>'2.5.'!X3</f>
        <v>465</v>
      </c>
      <c r="AC31" s="78"/>
      <c r="BE31" s="313"/>
      <c r="BG31" s="150">
        <f>SUM(F31:BD31)</f>
        <v>4907396</v>
      </c>
    </row>
    <row r="32" spans="1:59" s="14" customFormat="1" ht="14.4" customHeight="1" x14ac:dyDescent="0.25">
      <c r="A32" s="615"/>
      <c r="B32" s="313" t="s">
        <v>601</v>
      </c>
      <c r="C32" s="571"/>
      <c r="D32" s="571"/>
      <c r="E32" s="610"/>
      <c r="F32" s="88">
        <f>'2.5.'!F4</f>
        <v>537597</v>
      </c>
      <c r="G32" s="48"/>
      <c r="H32" s="48"/>
      <c r="I32" s="48"/>
      <c r="J32" s="48"/>
      <c r="K32" s="48"/>
      <c r="L32" s="48"/>
      <c r="M32" s="89">
        <f>'2.5.'!M4</f>
        <v>276610</v>
      </c>
      <c r="N32" s="48">
        <f>'2.5.'!N4</f>
        <v>308604</v>
      </c>
      <c r="O32" s="48"/>
      <c r="P32" s="48"/>
      <c r="Q32" s="48"/>
      <c r="R32" s="48"/>
      <c r="S32" s="48"/>
      <c r="T32" s="48"/>
      <c r="U32" s="88"/>
      <c r="X32" s="88">
        <f>'2.5.'!X4</f>
        <v>177381</v>
      </c>
      <c r="AC32" s="16"/>
      <c r="BE32" s="313"/>
      <c r="BG32" s="150">
        <f t="shared" ref="BG32:BG44" si="4">SUM(F32:BD32)</f>
        <v>1300192</v>
      </c>
    </row>
    <row r="33" spans="1:59" s="52" customFormat="1" ht="14.4" customHeight="1" x14ac:dyDescent="0.25">
      <c r="A33" s="615"/>
      <c r="B33" s="406" t="s">
        <v>555</v>
      </c>
      <c r="C33" s="571"/>
      <c r="D33" s="571"/>
      <c r="E33" s="610"/>
      <c r="F33" s="88">
        <f>'2.5.'!F5</f>
        <v>10918635</v>
      </c>
      <c r="G33" s="53"/>
      <c r="H33" s="53"/>
      <c r="I33" s="53"/>
      <c r="J33" s="53"/>
      <c r="K33" s="53"/>
      <c r="L33" s="48"/>
      <c r="M33" s="89">
        <f>'2.5.'!M5</f>
        <v>75845</v>
      </c>
      <c r="N33" s="48">
        <f>'2.5.'!N5</f>
        <v>113880</v>
      </c>
      <c r="O33" s="53"/>
      <c r="P33" s="53"/>
      <c r="Q33" s="53"/>
      <c r="R33" s="53"/>
      <c r="S33" s="53"/>
      <c r="T33" s="53"/>
      <c r="U33" s="88"/>
      <c r="X33" s="88">
        <f>'2.5.'!X5</f>
        <v>5656429</v>
      </c>
      <c r="AC33" s="407"/>
      <c r="BE33" s="406"/>
      <c r="BG33" s="150">
        <f t="shared" si="4"/>
        <v>16764789</v>
      </c>
    </row>
    <row r="34" spans="1:59" s="14" customFormat="1" ht="14.4" customHeight="1" x14ac:dyDescent="0.25">
      <c r="A34" s="615"/>
      <c r="B34" s="313" t="s">
        <v>575</v>
      </c>
      <c r="C34" s="571"/>
      <c r="D34" s="571"/>
      <c r="E34" s="610"/>
      <c r="F34" s="88">
        <f>'2.5.'!F6</f>
        <v>4200000</v>
      </c>
      <c r="G34" s="48"/>
      <c r="H34" s="48"/>
      <c r="I34" s="48"/>
      <c r="J34" s="48"/>
      <c r="K34" s="48"/>
      <c r="L34" s="48"/>
      <c r="M34" s="89"/>
      <c r="N34" s="48">
        <f>'2.5.'!N6</f>
        <v>750000</v>
      </c>
      <c r="O34" s="48"/>
      <c r="P34" s="48"/>
      <c r="Q34" s="48"/>
      <c r="R34" s="48"/>
      <c r="S34" s="48"/>
      <c r="T34" s="48"/>
      <c r="U34" s="88"/>
      <c r="X34" s="88">
        <f>'2.5.'!X6</f>
        <v>50000</v>
      </c>
      <c r="AC34" s="16"/>
      <c r="BE34" s="313"/>
      <c r="BG34" s="150">
        <f t="shared" si="4"/>
        <v>5000000</v>
      </c>
    </row>
    <row r="35" spans="1:59" s="14" customFormat="1" ht="14.4" customHeight="1" x14ac:dyDescent="0.25">
      <c r="A35" s="615"/>
      <c r="B35" s="313" t="s">
        <v>686</v>
      </c>
      <c r="C35" s="571"/>
      <c r="D35" s="571"/>
      <c r="E35" s="610"/>
      <c r="F35" s="88">
        <f>'2.5.'!F7</f>
        <v>1050000</v>
      </c>
      <c r="G35" s="48"/>
      <c r="H35" s="48"/>
      <c r="I35" s="48"/>
      <c r="J35" s="48"/>
      <c r="K35" s="48"/>
      <c r="L35" s="48"/>
      <c r="M35" s="89"/>
      <c r="N35" s="48">
        <f>'2.5.'!N7</f>
        <v>245000</v>
      </c>
      <c r="O35" s="48"/>
      <c r="P35" s="48"/>
      <c r="Q35" s="48"/>
      <c r="R35" s="48"/>
      <c r="S35" s="48"/>
      <c r="T35" s="48"/>
      <c r="U35" s="88"/>
      <c r="X35" s="88"/>
      <c r="AC35" s="16"/>
      <c r="BE35" s="313"/>
      <c r="BG35" s="150">
        <f t="shared" si="4"/>
        <v>1295000</v>
      </c>
    </row>
    <row r="36" spans="1:59" s="14" customFormat="1" ht="14.4" customHeight="1" x14ac:dyDescent="0.25">
      <c r="A36" s="615"/>
      <c r="B36" s="313" t="s">
        <v>602</v>
      </c>
      <c r="C36" s="571"/>
      <c r="D36" s="571"/>
      <c r="E36" s="610"/>
      <c r="F36" s="88">
        <f>'2.5.'!F8</f>
        <v>1200000</v>
      </c>
      <c r="G36" s="48"/>
      <c r="H36" s="48"/>
      <c r="I36" s="48"/>
      <c r="J36" s="48"/>
      <c r="K36" s="48"/>
      <c r="L36" s="48"/>
      <c r="M36" s="89"/>
      <c r="N36" s="48">
        <f>'2.5.'!N8</f>
        <v>130000</v>
      </c>
      <c r="O36" s="48"/>
      <c r="P36" s="48"/>
      <c r="Q36" s="48"/>
      <c r="R36" s="48"/>
      <c r="S36" s="48"/>
      <c r="T36" s="48"/>
      <c r="U36" s="88"/>
      <c r="X36" s="88"/>
      <c r="AC36" s="16"/>
      <c r="BE36" s="313"/>
      <c r="BG36" s="150">
        <f t="shared" si="4"/>
        <v>1330000</v>
      </c>
    </row>
    <row r="37" spans="1:59" s="14" customFormat="1" ht="14.7" customHeight="1" thickBot="1" x14ac:dyDescent="0.3">
      <c r="A37" s="616"/>
      <c r="B37" s="313" t="s">
        <v>685</v>
      </c>
      <c r="C37" s="572"/>
      <c r="D37" s="572"/>
      <c r="E37" s="611"/>
      <c r="F37" s="88">
        <f>'2.5.'!F9</f>
        <v>479000</v>
      </c>
      <c r="G37" s="48"/>
      <c r="H37" s="48"/>
      <c r="I37" s="48"/>
      <c r="J37" s="48"/>
      <c r="K37" s="48"/>
      <c r="L37" s="48"/>
      <c r="M37" s="89"/>
      <c r="N37" s="48">
        <f>'2.5.'!N9</f>
        <v>240000</v>
      </c>
      <c r="O37" s="48"/>
      <c r="P37" s="48"/>
      <c r="Q37" s="48"/>
      <c r="R37" s="48"/>
      <c r="S37" s="48"/>
      <c r="T37" s="48"/>
      <c r="U37" s="88"/>
      <c r="X37" s="88">
        <f>'2.5.'!X9</f>
        <v>80000</v>
      </c>
      <c r="AC37" s="16"/>
      <c r="BE37" s="313"/>
      <c r="BG37" s="150">
        <f t="shared" si="4"/>
        <v>799000</v>
      </c>
    </row>
    <row r="38" spans="1:59" s="57" customFormat="1" ht="12.45" customHeight="1" x14ac:dyDescent="0.25">
      <c r="A38" s="598" t="s">
        <v>466</v>
      </c>
      <c r="B38" s="46" t="s">
        <v>604</v>
      </c>
      <c r="C38" s="570" t="s">
        <v>38</v>
      </c>
      <c r="D38" s="570">
        <v>2017</v>
      </c>
      <c r="E38" s="609" t="s">
        <v>661</v>
      </c>
      <c r="F38" s="166"/>
      <c r="G38" s="167"/>
      <c r="H38" s="167"/>
      <c r="I38" s="167"/>
      <c r="J38" s="167"/>
      <c r="K38" s="167"/>
      <c r="L38" s="167"/>
      <c r="M38" s="167"/>
      <c r="N38" s="166">
        <f>'2.6.'!N3</f>
        <v>2816.4769917236968</v>
      </c>
      <c r="O38" s="167">
        <f>'2.6.'!O3</f>
        <v>2.1485123595637008</v>
      </c>
      <c r="P38" s="167">
        <f>'2.6.'!P3</f>
        <v>13031.181335885811</v>
      </c>
      <c r="Q38" s="167">
        <f>'2.6.'!Q3</f>
        <v>2.1485123595637008</v>
      </c>
      <c r="R38" s="167">
        <f>'2.6.'!R3</f>
        <v>0</v>
      </c>
      <c r="S38" s="167">
        <f>'2.6.'!S3</f>
        <v>958.74440605225755</v>
      </c>
      <c r="T38" s="167">
        <f>'2.6.'!T3</f>
        <v>0</v>
      </c>
      <c r="U38" s="166"/>
      <c r="V38" s="167">
        <f>'2.6.'!V3</f>
        <v>64.590550600722352</v>
      </c>
      <c r="W38" s="167"/>
      <c r="X38" s="166">
        <f>'2.6.'!X3</f>
        <v>115.3475344586128</v>
      </c>
      <c r="Y38" s="167"/>
      <c r="Z38" s="167">
        <f>'2.6.'!Z3</f>
        <v>1984.3472245765668</v>
      </c>
      <c r="AA38" s="167">
        <f>'2.6.'!AA3</f>
        <v>0</v>
      </c>
      <c r="AB38" s="167"/>
      <c r="AC38" s="168"/>
      <c r="AD38" s="167"/>
      <c r="AE38" s="167"/>
      <c r="AF38" s="167"/>
      <c r="AG38" s="167"/>
      <c r="AH38" s="167"/>
      <c r="AI38" s="167"/>
      <c r="AJ38" s="167"/>
      <c r="AK38" s="167"/>
      <c r="AL38" s="167"/>
      <c r="AM38" s="167"/>
      <c r="AN38" s="167"/>
      <c r="AO38" s="167">
        <f>'2.6.'!AO3</f>
        <v>31.289613655707413</v>
      </c>
      <c r="AP38" s="167"/>
      <c r="AQ38" s="167"/>
      <c r="AR38" s="167"/>
      <c r="AS38" s="166">
        <f>'2.6.'!AS3</f>
        <v>341.42226003321719</v>
      </c>
      <c r="AT38" s="167">
        <f>'2.6.'!AT3</f>
        <v>1423.9373354905338</v>
      </c>
      <c r="AU38" s="167"/>
      <c r="AV38" s="167"/>
      <c r="AW38" s="167">
        <f>'2.6.'!AW3</f>
        <v>2.7786143400821262</v>
      </c>
      <c r="AX38" s="167"/>
      <c r="AY38" s="167"/>
      <c r="AZ38" s="167"/>
      <c r="BA38" s="167">
        <f>'2.6.'!BA3</f>
        <v>2.0537584252780934</v>
      </c>
      <c r="BB38" s="167"/>
      <c r="BC38" s="167">
        <f>'2.6.'!BC3</f>
        <v>0.24161863826801072</v>
      </c>
      <c r="BD38" s="167">
        <f>'2.6.'!BD3</f>
        <v>30.83361248839509</v>
      </c>
      <c r="BE38" s="147">
        <f t="shared" ref="BE38:BE39" si="5">SUM(AD38:BD38)</f>
        <v>1832.5568130714819</v>
      </c>
      <c r="BF38" s="46"/>
      <c r="BG38" s="147">
        <f t="shared" si="4"/>
        <v>20807.541881088269</v>
      </c>
    </row>
    <row r="39" spans="1:59" s="34" customFormat="1" ht="13.2" x14ac:dyDescent="0.25">
      <c r="A39" s="599"/>
      <c r="B39" s="14" t="s">
        <v>671</v>
      </c>
      <c r="C39" s="571"/>
      <c r="D39" s="571"/>
      <c r="E39" s="610"/>
      <c r="F39" s="169"/>
      <c r="G39" s="354"/>
      <c r="H39" s="354"/>
      <c r="I39" s="354"/>
      <c r="J39" s="354"/>
      <c r="K39" s="354"/>
      <c r="L39" s="354"/>
      <c r="M39" s="354"/>
      <c r="N39" s="169">
        <f>'2.6.'!N4</f>
        <v>217910.88309484272</v>
      </c>
      <c r="O39" s="354">
        <f>'2.6.'!O4</f>
        <v>1678.0645611840671</v>
      </c>
      <c r="P39" s="354">
        <f>'2.6.'!P4</f>
        <v>213338.35232697995</v>
      </c>
      <c r="Q39" s="354">
        <f>'2.6.'!Q4</f>
        <v>458.02291797514772</v>
      </c>
      <c r="R39" s="354">
        <f>'2.6.'!R4</f>
        <v>1011.1228315255595</v>
      </c>
      <c r="S39" s="354">
        <f>'2.6.'!S4</f>
        <v>296.09225339190391</v>
      </c>
      <c r="T39" s="354">
        <f>'2.6.'!T4</f>
        <v>268.50446667966207</v>
      </c>
      <c r="U39" s="169"/>
      <c r="V39" s="354"/>
      <c r="W39" s="354"/>
      <c r="X39" s="169">
        <f>'2.6.'!X4</f>
        <v>83340.602742338131</v>
      </c>
      <c r="Y39" s="354">
        <f>'2.6.'!Y4</f>
        <v>1.3363636363636361E-2</v>
      </c>
      <c r="Z39" s="354">
        <f>'2.6.'!Z4</f>
        <v>14933.887126433121</v>
      </c>
      <c r="AA39" s="354">
        <f>'2.6.'!AA4</f>
        <v>4.348533996988199E-4</v>
      </c>
      <c r="AB39" s="354"/>
      <c r="AC39" s="170"/>
      <c r="AD39" s="354">
        <f>'2.6.'!AD4</f>
        <v>0.10800384</v>
      </c>
      <c r="AE39" s="354"/>
      <c r="AF39" s="354"/>
      <c r="AG39" s="354"/>
      <c r="AH39" s="354"/>
      <c r="AI39" s="354"/>
      <c r="AJ39" s="354">
        <f>'2.6.'!AJ4</f>
        <v>6.7911214960893911E-4</v>
      </c>
      <c r="AK39" s="354">
        <f>'2.6.'!AK4</f>
        <v>35.151295044588991</v>
      </c>
      <c r="AL39" s="354"/>
      <c r="AM39" s="354">
        <f>'2.6.'!AM4</f>
        <v>2.191472303499156E-5</v>
      </c>
      <c r="AN39" s="354">
        <f>'2.6.'!AN4</f>
        <v>2.3379708715717901E-2</v>
      </c>
      <c r="AO39" s="354"/>
      <c r="AP39" s="354">
        <f>'2.6.'!AP4</f>
        <v>5.6896174248045569E-4</v>
      </c>
      <c r="AQ39" s="354">
        <f>'2.6.'!AQ4</f>
        <v>0.1243562469197269</v>
      </c>
      <c r="AR39" s="354"/>
      <c r="AS39" s="169"/>
      <c r="AT39" s="354">
        <f>'2.6.'!AT4</f>
        <v>2.4950820352375161E-3</v>
      </c>
      <c r="AU39" s="354">
        <f>'2.6.'!AU4</f>
        <v>699.49111360032975</v>
      </c>
      <c r="AV39" s="354"/>
      <c r="AW39" s="354"/>
      <c r="AX39" s="354"/>
      <c r="AY39" s="354"/>
      <c r="AZ39" s="354"/>
      <c r="BA39" s="354"/>
      <c r="BB39" s="354"/>
      <c r="BC39" s="354"/>
      <c r="BD39" s="354"/>
      <c r="BE39" s="150">
        <f t="shared" si="5"/>
        <v>734.9019135112045</v>
      </c>
      <c r="BF39" s="14"/>
      <c r="BG39" s="150">
        <f t="shared" si="4"/>
        <v>533970.4480333511</v>
      </c>
    </row>
    <row r="40" spans="1:59" s="34" customFormat="1" ht="13.2" x14ac:dyDescent="0.25">
      <c r="A40" s="599"/>
      <c r="B40" s="14" t="s">
        <v>493</v>
      </c>
      <c r="C40" s="571"/>
      <c r="D40" s="571"/>
      <c r="E40" s="610"/>
      <c r="F40" s="169"/>
      <c r="G40" s="354"/>
      <c r="H40" s="354"/>
      <c r="I40" s="354"/>
      <c r="J40" s="354"/>
      <c r="K40" s="354"/>
      <c r="L40" s="354"/>
      <c r="M40" s="354"/>
      <c r="N40" s="169">
        <f>'2.6.'!N5</f>
        <v>21506497.856162097</v>
      </c>
      <c r="O40" s="354">
        <f>'2.6.'!O5</f>
        <v>907140.11356455891</v>
      </c>
      <c r="P40" s="354">
        <f>'2.6.'!P5</f>
        <v>7916.0775081492211</v>
      </c>
      <c r="Q40" s="354"/>
      <c r="R40" s="354"/>
      <c r="S40" s="354"/>
      <c r="T40" s="354"/>
      <c r="U40" s="169"/>
      <c r="V40" s="354">
        <f>'2.6.'!V5</f>
        <v>744520.90712005971</v>
      </c>
      <c r="W40" s="354"/>
      <c r="X40" s="169">
        <f>'2.6.'!X5</f>
        <v>268984.76177859952</v>
      </c>
      <c r="Y40" s="354"/>
      <c r="Z40" s="354">
        <f>'2.6.'!Z5</f>
        <v>539400.28386653773</v>
      </c>
      <c r="AA40" s="354">
        <f>'2.6.'!AA5</f>
        <v>0</v>
      </c>
      <c r="AB40" s="354"/>
      <c r="AC40" s="170"/>
      <c r="AD40" s="354"/>
      <c r="AE40" s="354"/>
      <c r="AF40" s="354"/>
      <c r="AG40" s="354"/>
      <c r="AH40" s="354"/>
      <c r="AI40" s="354"/>
      <c r="AJ40" s="354"/>
      <c r="AK40" s="354"/>
      <c r="AL40" s="354"/>
      <c r="AM40" s="354"/>
      <c r="AN40" s="354"/>
      <c r="AO40" s="354"/>
      <c r="AP40" s="354"/>
      <c r="AQ40" s="354"/>
      <c r="AR40" s="354"/>
      <c r="AS40" s="169"/>
      <c r="AT40" s="354"/>
      <c r="AU40" s="354"/>
      <c r="AV40" s="354"/>
      <c r="AW40" s="354"/>
      <c r="AX40" s="354"/>
      <c r="AY40" s="354"/>
      <c r="AZ40" s="354"/>
      <c r="BA40" s="354"/>
      <c r="BB40" s="354"/>
      <c r="BC40" s="354"/>
      <c r="BD40" s="354"/>
      <c r="BE40" s="150"/>
      <c r="BF40" s="14"/>
      <c r="BG40" s="150">
        <f t="shared" si="4"/>
        <v>23974460</v>
      </c>
    </row>
    <row r="41" spans="1:59" s="34" customFormat="1" ht="13.2" x14ac:dyDescent="0.25">
      <c r="A41" s="599"/>
      <c r="B41" s="14" t="s">
        <v>494</v>
      </c>
      <c r="C41" s="571"/>
      <c r="D41" s="571"/>
      <c r="E41" s="610"/>
      <c r="F41" s="169"/>
      <c r="G41" s="354"/>
      <c r="H41" s="354"/>
      <c r="I41" s="354"/>
      <c r="J41" s="354"/>
      <c r="K41" s="354"/>
      <c r="L41" s="354"/>
      <c r="M41" s="354"/>
      <c r="N41" s="169">
        <f>'2.6.'!N6</f>
        <v>79822.948545680905</v>
      </c>
      <c r="O41" s="354">
        <f>'2.6.'!O6</f>
        <v>8611.0543958479466</v>
      </c>
      <c r="P41" s="354">
        <f>'2.6.'!P6</f>
        <v>21382.350717086356</v>
      </c>
      <c r="Q41" s="354"/>
      <c r="R41" s="354">
        <f>'2.6.'!R6</f>
        <v>24.582335992457459</v>
      </c>
      <c r="S41" s="354"/>
      <c r="T41" s="354"/>
      <c r="U41" s="169"/>
      <c r="V41" s="354">
        <f>'2.6.'!V6</f>
        <v>41.64042085414372</v>
      </c>
      <c r="W41" s="354"/>
      <c r="X41" s="169">
        <f>'2.6.'!X6</f>
        <v>36557.134215199156</v>
      </c>
      <c r="Y41" s="354">
        <f>'2.6.'!Y6</f>
        <v>2.991006660679234</v>
      </c>
      <c r="Z41" s="354">
        <f>'2.6.'!Z6</f>
        <v>2956.8892687987704</v>
      </c>
      <c r="AA41" s="354">
        <f>'2.6.'!AA6</f>
        <v>5817.4090938795871</v>
      </c>
      <c r="AB41" s="354"/>
      <c r="AC41" s="170"/>
      <c r="AD41" s="354"/>
      <c r="AE41" s="354"/>
      <c r="AF41" s="354"/>
      <c r="AG41" s="354"/>
      <c r="AH41" s="354"/>
      <c r="AI41" s="354"/>
      <c r="AJ41" s="354"/>
      <c r="AK41" s="354"/>
      <c r="AL41" s="354"/>
      <c r="AM41" s="354"/>
      <c r="AN41" s="354"/>
      <c r="AO41" s="354"/>
      <c r="AP41" s="354"/>
      <c r="AQ41" s="354"/>
      <c r="AR41" s="354"/>
      <c r="AS41" s="169"/>
      <c r="AT41" s="354"/>
      <c r="AU41" s="354"/>
      <c r="AV41" s="354"/>
      <c r="AW41" s="354"/>
      <c r="AX41" s="354"/>
      <c r="AY41" s="354"/>
      <c r="AZ41" s="354"/>
      <c r="BA41" s="354"/>
      <c r="BB41" s="354"/>
      <c r="BC41" s="354"/>
      <c r="BD41" s="354"/>
      <c r="BE41" s="150"/>
      <c r="BF41" s="14"/>
      <c r="BG41" s="150">
        <f t="shared" si="4"/>
        <v>155217.00000000006</v>
      </c>
    </row>
    <row r="42" spans="1:59" s="34" customFormat="1" ht="13.2" x14ac:dyDescent="0.25">
      <c r="A42" s="599"/>
      <c r="B42" s="14" t="s">
        <v>606</v>
      </c>
      <c r="C42" s="571"/>
      <c r="D42" s="571"/>
      <c r="E42" s="610"/>
      <c r="F42" s="169"/>
      <c r="G42" s="354"/>
      <c r="H42" s="354"/>
      <c r="I42" s="354"/>
      <c r="J42" s="354"/>
      <c r="K42" s="354"/>
      <c r="L42" s="354"/>
      <c r="M42" s="354"/>
      <c r="N42" s="169">
        <f>'2.6.'!N7</f>
        <v>6185477.1215588963</v>
      </c>
      <c r="O42" s="354">
        <f>'2.6.'!O7</f>
        <v>283889.44394011854</v>
      </c>
      <c r="P42" s="354">
        <f>'2.6.'!P7</f>
        <v>791314.05411040888</v>
      </c>
      <c r="Q42" s="354"/>
      <c r="R42" s="354"/>
      <c r="S42" s="354">
        <f>'2.6.'!S7</f>
        <v>90931.844971726052</v>
      </c>
      <c r="T42" s="354"/>
      <c r="U42" s="169">
        <f>'2.6.'!U7</f>
        <v>994979.16435401619</v>
      </c>
      <c r="V42" s="354">
        <f>'2.6.'!V7</f>
        <v>495.74712643678163</v>
      </c>
      <c r="W42" s="354">
        <f>'2.6.'!W7</f>
        <v>409416.14091050124</v>
      </c>
      <c r="X42" s="169">
        <f>'2.6.'!X7</f>
        <v>244224.81296107729</v>
      </c>
      <c r="Y42" s="354"/>
      <c r="Z42" s="354"/>
      <c r="AA42" s="354"/>
      <c r="AB42" s="354"/>
      <c r="AC42" s="170"/>
      <c r="AD42" s="354"/>
      <c r="AE42" s="354"/>
      <c r="AF42" s="354"/>
      <c r="AG42" s="354"/>
      <c r="AH42" s="354"/>
      <c r="AI42" s="354"/>
      <c r="AJ42" s="354"/>
      <c r="AK42" s="354">
        <f>'2.6.'!$BB$45</f>
        <v>2118.5877750652694</v>
      </c>
      <c r="AL42" s="354"/>
      <c r="AM42" s="354"/>
      <c r="AN42" s="354"/>
      <c r="AO42" s="354"/>
      <c r="AP42" s="354"/>
      <c r="AQ42" s="354">
        <f>'2.6.'!AJ45</f>
        <v>39.272587248322139</v>
      </c>
      <c r="AR42" s="354"/>
      <c r="AS42" s="169">
        <f>'2.6.'!AM45</f>
        <v>1465.9518541895072</v>
      </c>
      <c r="AT42" s="354"/>
      <c r="AU42" s="354"/>
      <c r="AV42" s="354"/>
      <c r="AW42" s="354"/>
      <c r="AX42" s="354"/>
      <c r="AY42" s="354"/>
      <c r="AZ42" s="354"/>
      <c r="BA42" s="354"/>
      <c r="BB42" s="354"/>
      <c r="BC42" s="354"/>
      <c r="BD42" s="48"/>
      <c r="BE42" s="150">
        <f t="shared" ref="BE42:BE44" si="6">SUM(AD42:BD42)</f>
        <v>3623.8122165030986</v>
      </c>
      <c r="BF42" s="89"/>
      <c r="BG42" s="150">
        <f t="shared" si="4"/>
        <v>9004352.142149685</v>
      </c>
    </row>
    <row r="43" spans="1:59" s="34" customFormat="1" ht="13.2" x14ac:dyDescent="0.25">
      <c r="A43" s="599"/>
      <c r="B43" s="14" t="s">
        <v>495</v>
      </c>
      <c r="C43" s="571"/>
      <c r="D43" s="571"/>
      <c r="E43" s="610"/>
      <c r="F43" s="169"/>
      <c r="G43" s="354"/>
      <c r="H43" s="354"/>
      <c r="I43" s="354"/>
      <c r="J43" s="354"/>
      <c r="K43" s="354"/>
      <c r="L43" s="354"/>
      <c r="M43" s="354"/>
      <c r="N43" s="169">
        <f>'2.6.'!N8</f>
        <v>1447544.0073732319</v>
      </c>
      <c r="O43" s="354">
        <f>'2.6.'!O8</f>
        <v>44497.978687090908</v>
      </c>
      <c r="P43" s="354">
        <f>'2.6.'!P8</f>
        <v>141267.49444319989</v>
      </c>
      <c r="Q43" s="354">
        <f>'2.6.'!Q8</f>
        <v>1683.2624983110368</v>
      </c>
      <c r="R43" s="354"/>
      <c r="S43" s="354">
        <f>'2.6.'!S8</f>
        <v>14248.15932153752</v>
      </c>
      <c r="T43" s="354"/>
      <c r="U43" s="169">
        <f>'2.6.'!U8</f>
        <v>178144.51403646043</v>
      </c>
      <c r="V43" s="354">
        <f>'2.6.'!V8</f>
        <v>840.18013597056836</v>
      </c>
      <c r="W43" s="354">
        <f>'2.6.'!W8</f>
        <v>94254.060083207034</v>
      </c>
      <c r="X43" s="169">
        <f>'2.6.'!X8</f>
        <v>42669.777357582716</v>
      </c>
      <c r="Y43" s="354"/>
      <c r="Z43" s="354"/>
      <c r="AA43" s="354"/>
      <c r="AB43" s="354"/>
      <c r="AC43" s="170"/>
      <c r="AD43" s="354"/>
      <c r="AE43" s="354"/>
      <c r="AF43" s="354"/>
      <c r="AG43" s="354"/>
      <c r="AH43" s="354"/>
      <c r="AI43" s="354"/>
      <c r="AJ43" s="354">
        <f>'2.6.'!AC46</f>
        <v>1.6416927961853234</v>
      </c>
      <c r="AK43" s="354"/>
      <c r="AL43" s="354"/>
      <c r="AM43" s="354">
        <f>'2.6.'!AF46</f>
        <v>5.2976880118636382E-2</v>
      </c>
      <c r="AN43" s="354">
        <f>'2.6.'!AG46</f>
        <v>4.6727628578124361E-2</v>
      </c>
      <c r="AO43" s="354"/>
      <c r="AP43" s="354">
        <f>'2.6.'!AI46</f>
        <v>1.3754140527055567</v>
      </c>
      <c r="AQ43" s="354">
        <f>'2.6.'!AJ46</f>
        <v>6.5400953859060396</v>
      </c>
      <c r="AR43" s="354"/>
      <c r="AS43" s="169">
        <f>'2.6.'!AM46</f>
        <v>233.41754575960951</v>
      </c>
      <c r="AT43" s="354">
        <f>'2.6.'!AN46</f>
        <v>6.0316373451713146</v>
      </c>
      <c r="AU43" s="354"/>
      <c r="AV43" s="354"/>
      <c r="AW43" s="354"/>
      <c r="AX43" s="354"/>
      <c r="AY43" s="354"/>
      <c r="AZ43" s="354"/>
      <c r="BA43" s="354"/>
      <c r="BB43" s="354"/>
      <c r="BC43" s="354"/>
      <c r="BD43" s="48"/>
      <c r="BE43" s="150">
        <f t="shared" si="6"/>
        <v>249.10608984827451</v>
      </c>
      <c r="BF43" s="89"/>
      <c r="BG43" s="150">
        <f t="shared" si="4"/>
        <v>1965398.5400264403</v>
      </c>
    </row>
    <row r="44" spans="1:59" s="33" customFormat="1" ht="13.8" thickBot="1" x14ac:dyDescent="0.3">
      <c r="A44" s="600"/>
      <c r="B44" s="50" t="s">
        <v>544</v>
      </c>
      <c r="C44" s="572"/>
      <c r="D44" s="572"/>
      <c r="E44" s="611"/>
      <c r="F44" s="171"/>
      <c r="G44" s="172"/>
      <c r="H44" s="172"/>
      <c r="I44" s="172"/>
      <c r="J44" s="172"/>
      <c r="K44" s="172"/>
      <c r="L44" s="172"/>
      <c r="M44" s="172"/>
      <c r="N44" s="171">
        <f>'2.6.'!N9</f>
        <v>72249.122665133647</v>
      </c>
      <c r="O44" s="172">
        <f>'2.6.'!O9</f>
        <v>1160.7054549138611</v>
      </c>
      <c r="P44" s="172">
        <f>'2.6.'!P9</f>
        <v>17783.28541014815</v>
      </c>
      <c r="Q44" s="172"/>
      <c r="R44" s="172">
        <f>'2.6.'!R9</f>
        <v>958.38065084630762</v>
      </c>
      <c r="S44" s="172"/>
      <c r="T44" s="172">
        <f>'2.6.'!T9</f>
        <v>31.946021694876919</v>
      </c>
      <c r="U44" s="171"/>
      <c r="V44" s="172"/>
      <c r="W44" s="172"/>
      <c r="X44" s="171">
        <f>'2.6.'!X9</f>
        <v>6740.6105776190288</v>
      </c>
      <c r="Y44" s="172">
        <f>'2.6.'!Y9</f>
        <v>4216.8748637237532</v>
      </c>
      <c r="Z44" s="172">
        <f>'2.6.'!Z9</f>
        <v>4632.1731457571532</v>
      </c>
      <c r="AA44" s="172">
        <f>'2.6.'!AA9</f>
        <v>5217.8502101632293</v>
      </c>
      <c r="AB44" s="172"/>
      <c r="AC44" s="173"/>
      <c r="AD44" s="354"/>
      <c r="AE44" s="354"/>
      <c r="AF44" s="354"/>
      <c r="AG44" s="354"/>
      <c r="AH44" s="354"/>
      <c r="AI44" s="354"/>
      <c r="AJ44" s="354"/>
      <c r="AK44" s="354"/>
      <c r="AL44" s="354"/>
      <c r="AM44" s="354"/>
      <c r="AN44" s="354"/>
      <c r="AO44" s="354"/>
      <c r="AP44" s="354"/>
      <c r="AQ44" s="354"/>
      <c r="AR44" s="354"/>
      <c r="AS44" s="171"/>
      <c r="AT44" s="172"/>
      <c r="AU44" s="172"/>
      <c r="AV44" s="172"/>
      <c r="AW44" s="172"/>
      <c r="AX44" s="172"/>
      <c r="AY44" s="172"/>
      <c r="AZ44" s="172"/>
      <c r="BA44" s="172"/>
      <c r="BB44" s="172"/>
      <c r="BC44" s="172"/>
      <c r="BD44" s="51"/>
      <c r="BE44" s="154">
        <f t="shared" si="6"/>
        <v>0</v>
      </c>
      <c r="BF44" s="91"/>
      <c r="BG44" s="154">
        <f t="shared" si="4"/>
        <v>112990.94900000001</v>
      </c>
    </row>
    <row r="45" spans="1:59" s="326" customFormat="1" x14ac:dyDescent="0.25">
      <c r="A45" s="598" t="s">
        <v>435</v>
      </c>
      <c r="B45" s="16" t="s">
        <v>496</v>
      </c>
      <c r="C45" s="570" t="s">
        <v>38</v>
      </c>
      <c r="D45" s="570">
        <v>2019</v>
      </c>
      <c r="E45" s="609" t="s">
        <v>662</v>
      </c>
      <c r="F45" s="176">
        <f>'2.8.'!F30</f>
        <v>1947091.54635304</v>
      </c>
      <c r="G45" s="48"/>
      <c r="H45" s="48"/>
      <c r="I45" s="48"/>
      <c r="J45" s="48"/>
      <c r="K45" s="48"/>
      <c r="L45" s="48"/>
      <c r="M45" s="48"/>
      <c r="N45" s="88">
        <f>'2.8.'!N30</f>
        <v>374598.41860267532</v>
      </c>
      <c r="O45" s="48">
        <f>'2.8.'!O30</f>
        <v>14068.6764356163</v>
      </c>
      <c r="P45" s="48">
        <f>'2.8.'!P30</f>
        <v>1724.0764801760099</v>
      </c>
      <c r="Q45" s="48"/>
      <c r="R45" s="48"/>
      <c r="S45" s="48"/>
      <c r="T45" s="89"/>
      <c r="U45" s="48"/>
      <c r="V45" s="48"/>
      <c r="W45" s="89"/>
      <c r="X45" s="48">
        <f>'2.8.'!X30</f>
        <v>22947.869393566671</v>
      </c>
      <c r="Y45" s="48"/>
      <c r="Z45" s="48">
        <f>'2.8.'!Z30</f>
        <v>17439.849845660279</v>
      </c>
      <c r="AA45" s="48"/>
      <c r="AB45" s="48"/>
      <c r="AC45" s="48"/>
      <c r="AD45" s="86"/>
      <c r="AE45" s="47"/>
      <c r="AF45" s="47"/>
      <c r="AG45" s="47"/>
      <c r="AH45" s="47"/>
      <c r="AI45" s="47"/>
      <c r="AJ45" s="47"/>
      <c r="AK45" s="47"/>
      <c r="AL45" s="47"/>
      <c r="AM45" s="47"/>
      <c r="AN45" s="144"/>
      <c r="AO45" s="144"/>
      <c r="AP45" s="144"/>
      <c r="AQ45" s="144"/>
      <c r="AR45" s="144"/>
      <c r="AS45" s="53"/>
      <c r="AT45" s="53"/>
      <c r="AU45" s="53"/>
      <c r="AV45" s="53"/>
      <c r="AW45" s="53"/>
      <c r="AX45" s="53"/>
      <c r="AY45" s="53"/>
      <c r="AZ45" s="53"/>
      <c r="BA45" s="53"/>
      <c r="BB45" s="53"/>
      <c r="BC45" s="53"/>
      <c r="BD45" s="177"/>
      <c r="BE45" s="89"/>
      <c r="BF45" s="14"/>
      <c r="BG45" s="150">
        <f t="shared" ref="BG45:BG56" si="7">SUM(F45:BD45)</f>
        <v>2377870.4371107346</v>
      </c>
    </row>
    <row r="46" spans="1:59" s="326" customFormat="1" x14ac:dyDescent="0.25">
      <c r="A46" s="599"/>
      <c r="B46" s="16" t="s">
        <v>497</v>
      </c>
      <c r="C46" s="571"/>
      <c r="D46" s="571"/>
      <c r="E46" s="610"/>
      <c r="F46" s="176"/>
      <c r="G46" s="48"/>
      <c r="H46" s="48"/>
      <c r="I46" s="48"/>
      <c r="J46" s="48"/>
      <c r="K46" s="48"/>
      <c r="L46" s="48"/>
      <c r="M46" s="48"/>
      <c r="N46" s="88">
        <f>'2.8.'!N31</f>
        <v>434964.02834512794</v>
      </c>
      <c r="O46" s="48">
        <f>'2.8.'!O31</f>
        <v>52580.220502908604</v>
      </c>
      <c r="P46" s="48">
        <f>'2.8.'!P31</f>
        <v>11198.888283583499</v>
      </c>
      <c r="Q46" s="48"/>
      <c r="R46" s="48"/>
      <c r="S46" s="48"/>
      <c r="T46" s="89"/>
      <c r="U46" s="48"/>
      <c r="V46" s="48"/>
      <c r="W46" s="89"/>
      <c r="X46" s="48">
        <f>'2.8.'!X31</f>
        <v>8358.64093013622</v>
      </c>
      <c r="Y46" s="48"/>
      <c r="Z46" s="48">
        <f>'2.8.'!Z31</f>
        <v>2252.2437793828203</v>
      </c>
      <c r="AA46" s="48"/>
      <c r="AB46" s="48"/>
      <c r="AC46" s="48"/>
      <c r="AD46" s="88"/>
      <c r="AE46" s="48"/>
      <c r="AF46" s="48"/>
      <c r="AG46" s="48"/>
      <c r="AH46" s="48"/>
      <c r="AI46" s="48"/>
      <c r="AJ46" s="48"/>
      <c r="AK46" s="48"/>
      <c r="AL46" s="48"/>
      <c r="AM46" s="48"/>
      <c r="AN46" s="53"/>
      <c r="AO46" s="53"/>
      <c r="AP46" s="53"/>
      <c r="AQ46" s="53"/>
      <c r="AR46" s="53"/>
      <c r="AS46" s="53"/>
      <c r="AT46" s="53"/>
      <c r="AU46" s="53"/>
      <c r="AV46" s="53"/>
      <c r="AW46" s="53"/>
      <c r="AX46" s="53"/>
      <c r="AY46" s="53"/>
      <c r="AZ46" s="53"/>
      <c r="BA46" s="53"/>
      <c r="BB46" s="53"/>
      <c r="BC46" s="53"/>
      <c r="BD46" s="177"/>
      <c r="BE46" s="89"/>
      <c r="BF46" s="14"/>
      <c r="BG46" s="150">
        <f t="shared" si="7"/>
        <v>509354.02184113907</v>
      </c>
    </row>
    <row r="47" spans="1:59" s="326" customFormat="1" x14ac:dyDescent="0.25">
      <c r="A47" s="599"/>
      <c r="B47" s="16" t="s">
        <v>498</v>
      </c>
      <c r="C47" s="571"/>
      <c r="D47" s="571"/>
      <c r="E47" s="610"/>
      <c r="F47" s="176"/>
      <c r="G47" s="48"/>
      <c r="H47" s="48"/>
      <c r="I47" s="48"/>
      <c r="J47" s="48"/>
      <c r="K47" s="48"/>
      <c r="L47" s="48"/>
      <c r="M47" s="48"/>
      <c r="N47" s="88">
        <f>'2.8.'!N32</f>
        <v>965741.08649706899</v>
      </c>
      <c r="O47" s="48"/>
      <c r="P47" s="48">
        <f>'2.8.'!P32</f>
        <v>18142.9782328336</v>
      </c>
      <c r="Q47" s="48"/>
      <c r="R47" s="48"/>
      <c r="S47" s="48"/>
      <c r="T47" s="89"/>
      <c r="U47" s="48"/>
      <c r="V47" s="48"/>
      <c r="W47" s="89"/>
      <c r="X47" s="48"/>
      <c r="Y47" s="48"/>
      <c r="Z47" s="48">
        <f>'2.8.'!Z32</f>
        <v>329494.95</v>
      </c>
      <c r="AA47" s="48"/>
      <c r="AB47" s="48"/>
      <c r="AC47" s="48"/>
      <c r="AD47" s="88"/>
      <c r="AE47" s="48"/>
      <c r="AF47" s="48"/>
      <c r="AG47" s="48"/>
      <c r="AH47" s="48"/>
      <c r="AI47" s="48"/>
      <c r="AJ47" s="48"/>
      <c r="AK47" s="48"/>
      <c r="AL47" s="48"/>
      <c r="AM47" s="48"/>
      <c r="AN47" s="53"/>
      <c r="AO47" s="53"/>
      <c r="AP47" s="53"/>
      <c r="AQ47" s="53"/>
      <c r="AR47" s="53"/>
      <c r="AS47" s="53"/>
      <c r="AT47" s="53"/>
      <c r="AU47" s="53"/>
      <c r="AV47" s="53"/>
      <c r="AW47" s="53"/>
      <c r="AX47" s="53"/>
      <c r="AY47" s="53"/>
      <c r="AZ47" s="53"/>
      <c r="BA47" s="53"/>
      <c r="BB47" s="53"/>
      <c r="BC47" s="53"/>
      <c r="BD47" s="177"/>
      <c r="BE47" s="89"/>
      <c r="BF47" s="14"/>
      <c r="BG47" s="150">
        <f t="shared" si="7"/>
        <v>1313379.0147299026</v>
      </c>
    </row>
    <row r="48" spans="1:59" s="326" customFormat="1" x14ac:dyDescent="0.25">
      <c r="A48" s="599"/>
      <c r="B48" s="16" t="s">
        <v>499</v>
      </c>
      <c r="C48" s="571"/>
      <c r="D48" s="571"/>
      <c r="E48" s="610"/>
      <c r="F48" s="176"/>
      <c r="G48" s="48"/>
      <c r="H48" s="48"/>
      <c r="I48" s="48"/>
      <c r="J48" s="48"/>
      <c r="K48" s="48"/>
      <c r="L48" s="48"/>
      <c r="M48" s="48"/>
      <c r="N48" s="88">
        <f>'2.8.'!N33</f>
        <v>481919.99582871899</v>
      </c>
      <c r="O48" s="48">
        <f>'2.8.'!O33</f>
        <v>28741.9326131163</v>
      </c>
      <c r="P48" s="48">
        <f>'2.8.'!P33</f>
        <v>16526.4266873128</v>
      </c>
      <c r="Q48" s="48"/>
      <c r="R48" s="48"/>
      <c r="S48" s="48"/>
      <c r="T48" s="89"/>
      <c r="U48" s="48"/>
      <c r="V48" s="48"/>
      <c r="W48" s="89"/>
      <c r="X48" s="48"/>
      <c r="Y48" s="48"/>
      <c r="Z48" s="48">
        <f>'2.8.'!Z33</f>
        <v>202089.05</v>
      </c>
      <c r="AA48" s="48"/>
      <c r="AB48" s="48"/>
      <c r="AC48" s="48"/>
      <c r="AD48" s="88">
        <f>'2.8.'!AD33</f>
        <v>7.8624216693688898E-3</v>
      </c>
      <c r="AE48" s="48">
        <f>'2.8.'!AE33</f>
        <v>10.911048786576201</v>
      </c>
      <c r="AF48" s="48"/>
      <c r="AG48" s="48">
        <f>'2.8.'!AG33</f>
        <v>0.33330902397456802</v>
      </c>
      <c r="AH48" s="48"/>
      <c r="AI48" s="48"/>
      <c r="AJ48" s="48"/>
      <c r="AK48" s="48"/>
      <c r="AL48" s="48"/>
      <c r="AM48" s="48"/>
      <c r="AN48" s="53">
        <f>'2.8.'!AN33</f>
        <v>4.6280851595363699E-3</v>
      </c>
      <c r="AO48" s="53">
        <f>'2.8.'!AO33</f>
        <v>0.11276992436156701</v>
      </c>
      <c r="AP48" s="53"/>
      <c r="AQ48" s="53">
        <f>'2.8.'!AQ33</f>
        <v>1.4623793906974399E-4</v>
      </c>
      <c r="AR48" s="53">
        <f>'2.8.'!AR33</f>
        <v>1.8817721504490501</v>
      </c>
      <c r="AS48" s="53"/>
      <c r="AT48" s="53"/>
      <c r="AU48" s="53"/>
      <c r="AV48" s="53"/>
      <c r="AW48" s="53">
        <f>'2.8.'!AW33</f>
        <v>23.947221627498699</v>
      </c>
      <c r="AX48" s="53"/>
      <c r="AY48" s="53">
        <f>'2.8.'!AY33</f>
        <v>2.9353807049943598E-3</v>
      </c>
      <c r="AZ48" s="53"/>
      <c r="BA48" s="53"/>
      <c r="BB48" s="53">
        <f>'2.8.'!BB33</f>
        <v>8.3307303088365602E-3</v>
      </c>
      <c r="BC48" s="53"/>
      <c r="BD48" s="177"/>
      <c r="BE48" s="89">
        <f>SUM(AD48:BD48)</f>
        <v>37.210024368641889</v>
      </c>
      <c r="BF48" s="14"/>
      <c r="BG48" s="150">
        <f t="shared" si="7"/>
        <v>729314.61515351664</v>
      </c>
    </row>
    <row r="49" spans="1:59" s="326" customFormat="1" x14ac:dyDescent="0.25">
      <c r="A49" s="599"/>
      <c r="B49" s="16" t="s">
        <v>507</v>
      </c>
      <c r="C49" s="571"/>
      <c r="D49" s="571"/>
      <c r="E49" s="610"/>
      <c r="F49" s="176"/>
      <c r="G49" s="48"/>
      <c r="H49" s="48"/>
      <c r="I49" s="48"/>
      <c r="J49" s="48"/>
      <c r="K49" s="48"/>
      <c r="L49" s="48"/>
      <c r="M49" s="48"/>
      <c r="N49" s="88">
        <f>'2.8.'!N34</f>
        <v>599062.370874441</v>
      </c>
      <c r="O49" s="48"/>
      <c r="P49" s="48"/>
      <c r="Q49" s="48"/>
      <c r="R49" s="48"/>
      <c r="S49" s="48"/>
      <c r="T49" s="89"/>
      <c r="U49" s="48"/>
      <c r="V49" s="48"/>
      <c r="W49" s="89"/>
      <c r="X49" s="48"/>
      <c r="Y49" s="48"/>
      <c r="Z49" s="48"/>
      <c r="AA49" s="48"/>
      <c r="AB49" s="48"/>
      <c r="AC49" s="48"/>
      <c r="AD49" s="88"/>
      <c r="AE49" s="48"/>
      <c r="AF49" s="48"/>
      <c r="AG49" s="48"/>
      <c r="AH49" s="48"/>
      <c r="AI49" s="48"/>
      <c r="AJ49" s="48"/>
      <c r="AK49" s="48"/>
      <c r="AL49" s="48"/>
      <c r="AM49" s="48"/>
      <c r="AN49" s="48"/>
      <c r="AO49" s="48"/>
      <c r="AP49" s="53"/>
      <c r="AQ49" s="53"/>
      <c r="AR49" s="53"/>
      <c r="AS49" s="53"/>
      <c r="AT49" s="53"/>
      <c r="AU49" s="53"/>
      <c r="AV49" s="53"/>
      <c r="AW49" s="53"/>
      <c r="AX49" s="53"/>
      <c r="AY49" s="53"/>
      <c r="AZ49" s="53"/>
      <c r="BA49" s="53"/>
      <c r="BB49" s="53"/>
      <c r="BC49" s="53"/>
      <c r="BD49" s="177"/>
      <c r="BE49" s="89"/>
      <c r="BF49" s="14"/>
      <c r="BG49" s="150">
        <f t="shared" si="7"/>
        <v>599062.370874441</v>
      </c>
    </row>
    <row r="50" spans="1:59" s="326" customFormat="1" x14ac:dyDescent="0.25">
      <c r="A50" s="599"/>
      <c r="B50" s="16" t="s">
        <v>500</v>
      </c>
      <c r="C50" s="571"/>
      <c r="D50" s="571"/>
      <c r="E50" s="610"/>
      <c r="F50" s="176"/>
      <c r="G50" s="48"/>
      <c r="H50" s="48"/>
      <c r="I50" s="48"/>
      <c r="J50" s="48"/>
      <c r="K50" s="48"/>
      <c r="L50" s="48"/>
      <c r="M50" s="48"/>
      <c r="N50" s="88">
        <f>'2.8.'!N35</f>
        <v>48792.304690106503</v>
      </c>
      <c r="O50" s="48"/>
      <c r="P50" s="48">
        <f>'2.8.'!P35</f>
        <v>4697.3057633769304</v>
      </c>
      <c r="Q50" s="48"/>
      <c r="R50" s="48"/>
      <c r="S50" s="48"/>
      <c r="T50" s="89"/>
      <c r="U50" s="48"/>
      <c r="V50" s="48"/>
      <c r="W50" s="89"/>
      <c r="X50" s="48"/>
      <c r="Y50" s="48"/>
      <c r="Z50" s="48">
        <f>'2.8.'!Z35</f>
        <v>60339.839999999997</v>
      </c>
      <c r="AA50" s="48"/>
      <c r="AB50" s="48"/>
      <c r="AC50" s="48"/>
      <c r="AD50" s="88">
        <f>'2.8.'!AD35</f>
        <v>0.191663181499549</v>
      </c>
      <c r="AE50" s="48">
        <f>'2.8.'!AE35</f>
        <v>0.31257689179319498</v>
      </c>
      <c r="AF50" s="48"/>
      <c r="AG50" s="48">
        <f>'2.8.'!AG35</f>
        <v>0.49981493983099401</v>
      </c>
      <c r="AH50" s="48"/>
      <c r="AI50" s="48">
        <f>'2.8.'!AI35</f>
        <v>0.15657168372778599</v>
      </c>
      <c r="AJ50" s="48"/>
      <c r="AK50" s="48"/>
      <c r="AL50" s="48"/>
      <c r="AM50" s="48"/>
      <c r="AN50" s="53">
        <f>'2.8.'!AN35</f>
        <v>3.2359561502116998</v>
      </c>
      <c r="AO50" s="53">
        <f>'2.8.'!AO35</f>
        <v>0.27478135866373998</v>
      </c>
      <c r="AP50" s="53"/>
      <c r="AQ50" s="53">
        <f>'2.8.'!AQ35</f>
        <v>8.05072911947744E-2</v>
      </c>
      <c r="AR50" s="53">
        <f>'2.8.'!AR35</f>
        <v>0.267813078348766</v>
      </c>
      <c r="AS50" s="53"/>
      <c r="AT50" s="53"/>
      <c r="AU50" s="53"/>
      <c r="AV50" s="53"/>
      <c r="AW50" s="53">
        <f>'2.8.'!AW35</f>
        <v>57.749696813197502</v>
      </c>
      <c r="AX50" s="53"/>
      <c r="AY50" s="53">
        <f>'2.8.'!AY35</f>
        <v>5.5945537492787599E-2</v>
      </c>
      <c r="AZ50" s="53">
        <f>'2.8.'!AZ35</f>
        <v>0.49494809553083402</v>
      </c>
      <c r="BA50" s="53"/>
      <c r="BB50" s="53">
        <f>'2.8.'!BB35</f>
        <v>5.6668222485457401E-2</v>
      </c>
      <c r="BC50" s="53"/>
      <c r="BD50" s="177"/>
      <c r="BE50" s="89">
        <f>SUM(AD50:BD50)</f>
        <v>63.376943243977088</v>
      </c>
      <c r="BF50" s="14"/>
      <c r="BG50" s="150">
        <f t="shared" si="7"/>
        <v>113892.82739672739</v>
      </c>
    </row>
    <row r="51" spans="1:59" s="326" customFormat="1" x14ac:dyDescent="0.25">
      <c r="A51" s="599"/>
      <c r="B51" s="16" t="s">
        <v>501</v>
      </c>
      <c r="C51" s="571"/>
      <c r="D51" s="571"/>
      <c r="E51" s="610"/>
      <c r="F51" s="176"/>
      <c r="G51" s="48"/>
      <c r="H51" s="48"/>
      <c r="I51" s="48"/>
      <c r="J51" s="48"/>
      <c r="K51" s="48"/>
      <c r="L51" s="48"/>
      <c r="M51" s="48"/>
      <c r="N51" s="88">
        <f>'2.8.'!N36</f>
        <v>69669.766896294197</v>
      </c>
      <c r="O51" s="48"/>
      <c r="P51" s="48"/>
      <c r="Q51" s="48"/>
      <c r="R51" s="48"/>
      <c r="S51" s="48"/>
      <c r="T51" s="89">
        <f>'2.8.'!T36</f>
        <v>13936.774588689699</v>
      </c>
      <c r="U51" s="48"/>
      <c r="V51" s="48"/>
      <c r="W51" s="89"/>
      <c r="X51" s="48">
        <f>'2.8.'!X36</f>
        <v>34834.883448147099</v>
      </c>
      <c r="Y51" s="48"/>
      <c r="Z51" s="48"/>
      <c r="AA51" s="48"/>
      <c r="AB51" s="48"/>
      <c r="AC51" s="48"/>
      <c r="AD51" s="88"/>
      <c r="AE51" s="48"/>
      <c r="AF51" s="48"/>
      <c r="AG51" s="48"/>
      <c r="AH51" s="48"/>
      <c r="AI51" s="48"/>
      <c r="AJ51" s="48"/>
      <c r="AK51" s="48"/>
      <c r="AL51" s="48"/>
      <c r="AM51" s="48"/>
      <c r="AN51" s="53"/>
      <c r="AO51" s="53"/>
      <c r="AP51" s="53"/>
      <c r="AQ51" s="53"/>
      <c r="AR51" s="53"/>
      <c r="AS51" s="53"/>
      <c r="AT51" s="53"/>
      <c r="AU51" s="53"/>
      <c r="AV51" s="53"/>
      <c r="AW51" s="53"/>
      <c r="AX51" s="53"/>
      <c r="AY51" s="53"/>
      <c r="AZ51" s="53"/>
      <c r="BA51" s="53"/>
      <c r="BB51" s="53"/>
      <c r="BC51" s="53"/>
      <c r="BD51" s="177"/>
      <c r="BE51" s="89"/>
      <c r="BF51" s="14"/>
      <c r="BG51" s="150">
        <f t="shared" si="7"/>
        <v>118441.424933131</v>
      </c>
    </row>
    <row r="52" spans="1:59" s="326" customFormat="1" x14ac:dyDescent="0.25">
      <c r="A52" s="599"/>
      <c r="B52" s="16" t="s">
        <v>502</v>
      </c>
      <c r="C52" s="571"/>
      <c r="D52" s="571"/>
      <c r="E52" s="610"/>
      <c r="F52" s="176"/>
      <c r="G52" s="48"/>
      <c r="H52" s="48"/>
      <c r="I52" s="48"/>
      <c r="J52" s="48"/>
      <c r="K52" s="48"/>
      <c r="L52" s="48"/>
      <c r="M52" s="48"/>
      <c r="N52" s="88">
        <f>'2.8.'!N37</f>
        <v>245563.759340855</v>
      </c>
      <c r="O52" s="48">
        <f>'2.8.'!O37</f>
        <v>16190.011362966699</v>
      </c>
      <c r="P52" s="48">
        <f>'2.8.'!P37</f>
        <v>15475.8387195944</v>
      </c>
      <c r="Q52" s="48"/>
      <c r="R52" s="48"/>
      <c r="S52" s="48"/>
      <c r="T52" s="89"/>
      <c r="U52" s="48"/>
      <c r="V52" s="48"/>
      <c r="W52" s="89"/>
      <c r="X52" s="48"/>
      <c r="Y52" s="48"/>
      <c r="Z52" s="48">
        <f>'2.8.'!Z37</f>
        <v>92022.25</v>
      </c>
      <c r="AA52" s="48"/>
      <c r="AB52" s="48"/>
      <c r="AC52" s="48"/>
      <c r="AD52" s="88">
        <f>'2.8.'!AD37</f>
        <v>4.8335524094139704</v>
      </c>
      <c r="AE52" s="48">
        <f>'2.8.'!AE37</f>
        <v>14.9311697461664</v>
      </c>
      <c r="AF52" s="48"/>
      <c r="AG52" s="48">
        <f>'2.8.'!AG37</f>
        <v>5.2961630430806497E-3</v>
      </c>
      <c r="AH52" s="48"/>
      <c r="AI52" s="48"/>
      <c r="AJ52" s="48"/>
      <c r="AK52" s="48"/>
      <c r="AL52" s="48"/>
      <c r="AM52" s="48"/>
      <c r="AN52" s="53">
        <f>'2.8.'!AN37</f>
        <v>7.1294381298146205E-4</v>
      </c>
      <c r="AO52" s="53">
        <f>'2.8.'!AO37</f>
        <v>183.163073316386</v>
      </c>
      <c r="AP52" s="53"/>
      <c r="AQ52" s="53">
        <f>'2.8.'!AQ37</f>
        <v>1.10736984180909E-2</v>
      </c>
      <c r="AR52" s="53"/>
      <c r="AS52" s="53"/>
      <c r="AT52" s="53"/>
      <c r="AU52" s="53"/>
      <c r="AV52" s="53"/>
      <c r="AW52" s="53">
        <f>'2.8.'!AW37</f>
        <v>28.855226503552402</v>
      </c>
      <c r="AX52" s="53"/>
      <c r="AY52" s="53"/>
      <c r="AZ52" s="53"/>
      <c r="BA52" s="53"/>
      <c r="BB52" s="53"/>
      <c r="BC52" s="53"/>
      <c r="BD52" s="177"/>
      <c r="BE52" s="89">
        <f>SUM(AD52:BD52)</f>
        <v>231.80010478079294</v>
      </c>
      <c r="BF52" s="14"/>
      <c r="BG52" s="150">
        <f t="shared" si="7"/>
        <v>369483.65952819685</v>
      </c>
    </row>
    <row r="53" spans="1:59" s="326" customFormat="1" x14ac:dyDescent="0.25">
      <c r="A53" s="599"/>
      <c r="B53" s="16" t="s">
        <v>506</v>
      </c>
      <c r="C53" s="571"/>
      <c r="D53" s="571"/>
      <c r="E53" s="610"/>
      <c r="F53" s="176"/>
      <c r="G53" s="48"/>
      <c r="H53" s="48"/>
      <c r="I53" s="48"/>
      <c r="J53" s="48"/>
      <c r="K53" s="48"/>
      <c r="L53" s="48"/>
      <c r="M53" s="48"/>
      <c r="N53" s="88">
        <f>'2.8.'!N38</f>
        <v>29145.888262050001</v>
      </c>
      <c r="O53" s="48">
        <f>'2.8.'!O38</f>
        <v>378.96493917876001</v>
      </c>
      <c r="P53" s="48">
        <f>'2.8.'!P38</f>
        <v>636.20720927281297</v>
      </c>
      <c r="Q53" s="48"/>
      <c r="R53" s="48"/>
      <c r="S53" s="48"/>
      <c r="T53" s="89"/>
      <c r="U53" s="48"/>
      <c r="V53" s="48"/>
      <c r="W53" s="89"/>
      <c r="X53" s="48"/>
      <c r="Y53" s="48"/>
      <c r="Z53" s="48">
        <f>'2.8.'!Z38</f>
        <v>7466.72</v>
      </c>
      <c r="AA53" s="48"/>
      <c r="AB53" s="48"/>
      <c r="AC53" s="48"/>
      <c r="AD53" s="88"/>
      <c r="AE53" s="48"/>
      <c r="AF53" s="48"/>
      <c r="AG53" s="48"/>
      <c r="AH53" s="48"/>
      <c r="AI53" s="48"/>
      <c r="AJ53" s="48"/>
      <c r="AK53" s="48"/>
      <c r="AL53" s="48"/>
      <c r="AM53" s="48"/>
      <c r="AN53" s="53"/>
      <c r="AO53" s="53"/>
      <c r="AP53" s="53"/>
      <c r="AQ53" s="53"/>
      <c r="AR53" s="53"/>
      <c r="AS53" s="53"/>
      <c r="AT53" s="53"/>
      <c r="AU53" s="53"/>
      <c r="AV53" s="53"/>
      <c r="AW53" s="53"/>
      <c r="AX53" s="53"/>
      <c r="AY53" s="53"/>
      <c r="AZ53" s="53"/>
      <c r="BA53" s="53"/>
      <c r="BB53" s="53"/>
      <c r="BC53" s="53"/>
      <c r="BD53" s="177"/>
      <c r="BE53" s="89"/>
      <c r="BF53" s="14"/>
      <c r="BG53" s="150">
        <f t="shared" si="7"/>
        <v>37627.780410501575</v>
      </c>
    </row>
    <row r="54" spans="1:59" s="326" customFormat="1" x14ac:dyDescent="0.25">
      <c r="A54" s="599"/>
      <c r="B54" s="16" t="s">
        <v>503</v>
      </c>
      <c r="C54" s="571"/>
      <c r="D54" s="571"/>
      <c r="E54" s="610"/>
      <c r="F54" s="176"/>
      <c r="G54" s="48"/>
      <c r="H54" s="48"/>
      <c r="I54" s="48"/>
      <c r="J54" s="48"/>
      <c r="K54" s="48"/>
      <c r="L54" s="48"/>
      <c r="M54" s="48"/>
      <c r="N54" s="88">
        <f>'2.8.'!N39</f>
        <v>9692.5973963001907</v>
      </c>
      <c r="O54" s="48"/>
      <c r="P54" s="48">
        <f>'2.8.'!P39</f>
        <v>211.440253169176</v>
      </c>
      <c r="Q54" s="48"/>
      <c r="R54" s="48"/>
      <c r="S54" s="48"/>
      <c r="T54" s="89"/>
      <c r="U54" s="48"/>
      <c r="V54" s="48"/>
      <c r="W54" s="89"/>
      <c r="X54" s="48"/>
      <c r="Y54" s="48"/>
      <c r="Z54" s="48">
        <f>'2.8.'!Z39</f>
        <v>4481.62</v>
      </c>
      <c r="AA54" s="48"/>
      <c r="AB54" s="48"/>
      <c r="AC54" s="48"/>
      <c r="AD54" s="88"/>
      <c r="AE54" s="48"/>
      <c r="AF54" s="48"/>
      <c r="AG54" s="48"/>
      <c r="AH54" s="48"/>
      <c r="AI54" s="48"/>
      <c r="AJ54" s="48"/>
      <c r="AK54" s="48"/>
      <c r="AL54" s="48"/>
      <c r="AM54" s="48"/>
      <c r="AN54" s="53">
        <f>'2.8.'!AN39</f>
        <v>8.8042762736497196E-4</v>
      </c>
      <c r="AO54" s="53"/>
      <c r="AP54" s="53"/>
      <c r="AQ54" s="53">
        <f>'2.8.'!AQ39</f>
        <v>4.1601922522527902E-5</v>
      </c>
      <c r="AR54" s="53"/>
      <c r="AS54" s="53"/>
      <c r="AT54" s="53"/>
      <c r="AU54" s="53"/>
      <c r="AV54" s="53"/>
      <c r="AW54" s="53"/>
      <c r="AX54" s="53"/>
      <c r="AY54" s="53"/>
      <c r="AZ54" s="53"/>
      <c r="BA54" s="53"/>
      <c r="BB54" s="53"/>
      <c r="BC54" s="53"/>
      <c r="BD54" s="177"/>
      <c r="BE54" s="89">
        <f>SUM(AD54:BD54)</f>
        <v>9.2202954988749989E-4</v>
      </c>
      <c r="BF54" s="14"/>
      <c r="BG54" s="150">
        <f t="shared" si="7"/>
        <v>14385.658571498916</v>
      </c>
    </row>
    <row r="55" spans="1:59" s="326" customFormat="1" x14ac:dyDescent="0.25">
      <c r="A55" s="599"/>
      <c r="B55" s="16" t="s">
        <v>504</v>
      </c>
      <c r="C55" s="571"/>
      <c r="D55" s="571"/>
      <c r="E55" s="610"/>
      <c r="F55" s="176"/>
      <c r="G55" s="48"/>
      <c r="H55" s="48"/>
      <c r="I55" s="48"/>
      <c r="J55" s="48"/>
      <c r="K55" s="48"/>
      <c r="L55" s="48"/>
      <c r="M55" s="48"/>
      <c r="N55" s="88">
        <f>'2.8.'!N40</f>
        <v>1450479.6030621107</v>
      </c>
      <c r="O55" s="48">
        <f>'2.8.'!O40</f>
        <v>9758.7199339929703</v>
      </c>
      <c r="P55" s="48">
        <f>'2.8.'!P40</f>
        <v>50912.336369295903</v>
      </c>
      <c r="Q55" s="48">
        <f>'2.8.'!Q40</f>
        <v>4835.9567270371099</v>
      </c>
      <c r="R55" s="48">
        <f>'2.8.'!R40</f>
        <v>15619.4023439555</v>
      </c>
      <c r="S55" s="48"/>
      <c r="T55" s="89">
        <f>'2.8.'!T40</f>
        <v>1109.2076916446099</v>
      </c>
      <c r="U55" s="48"/>
      <c r="V55" s="48"/>
      <c r="W55" s="89"/>
      <c r="X55" s="48">
        <f>'2.8.'!X40</f>
        <v>35996.667933357698</v>
      </c>
      <c r="Y55" s="48"/>
      <c r="Z55" s="48">
        <f>'2.8.'!Z40</f>
        <v>113929.83104257933</v>
      </c>
      <c r="AA55" s="48">
        <f>'2.8.'!AA40</f>
        <v>10527.5136651054</v>
      </c>
      <c r="AB55" s="48"/>
      <c r="AC55" s="48"/>
      <c r="AD55" s="88"/>
      <c r="AE55" s="48"/>
      <c r="AF55" s="48"/>
      <c r="AG55" s="48"/>
      <c r="AH55" s="48"/>
      <c r="AI55" s="48"/>
      <c r="AJ55" s="48"/>
      <c r="AK55" s="48"/>
      <c r="AL55" s="48"/>
      <c r="AM55" s="48"/>
      <c r="AN55" s="53"/>
      <c r="AO55" s="53"/>
      <c r="AP55" s="53"/>
      <c r="AQ55" s="53"/>
      <c r="AR55" s="53"/>
      <c r="AS55" s="53"/>
      <c r="AT55" s="53"/>
      <c r="AU55" s="53"/>
      <c r="AV55" s="53"/>
      <c r="AW55" s="53"/>
      <c r="AX55" s="53"/>
      <c r="AY55" s="53"/>
      <c r="AZ55" s="53"/>
      <c r="BA55" s="53"/>
      <c r="BB55" s="53"/>
      <c r="BC55" s="53"/>
      <c r="BD55" s="177"/>
      <c r="BE55" s="89"/>
      <c r="BF55" s="14"/>
      <c r="BG55" s="150">
        <f t="shared" si="7"/>
        <v>1693169.2387690793</v>
      </c>
    </row>
    <row r="56" spans="1:59" s="326" customFormat="1" ht="15" thickBot="1" x14ac:dyDescent="0.3">
      <c r="A56" s="600"/>
      <c r="B56" s="80" t="s">
        <v>505</v>
      </c>
      <c r="C56" s="572"/>
      <c r="D56" s="572"/>
      <c r="E56" s="611"/>
      <c r="F56" s="178"/>
      <c r="G56" s="51"/>
      <c r="H56" s="51"/>
      <c r="I56" s="51"/>
      <c r="J56" s="51"/>
      <c r="K56" s="51"/>
      <c r="L56" s="51"/>
      <c r="M56" s="51"/>
      <c r="N56" s="88">
        <f>'2.8.'!N41</f>
        <v>2098918.9946099548</v>
      </c>
      <c r="O56" s="48">
        <f>'2.8.'!O41</f>
        <v>133458.30325833999</v>
      </c>
      <c r="P56" s="48">
        <f>'2.8.'!P41</f>
        <v>33194.418137467801</v>
      </c>
      <c r="Q56" s="48"/>
      <c r="R56" s="48"/>
      <c r="S56" s="48"/>
      <c r="T56" s="89">
        <f>'2.8.'!T41</f>
        <v>6621.9163848952712</v>
      </c>
      <c r="U56" s="48"/>
      <c r="V56" s="48"/>
      <c r="W56" s="89"/>
      <c r="X56" s="48">
        <f>'2.8.'!X41</f>
        <v>133460.57669386378</v>
      </c>
      <c r="Y56" s="48"/>
      <c r="Z56" s="48">
        <f>'2.8.'!Z41</f>
        <v>45800.203592550155</v>
      </c>
      <c r="AA56" s="48">
        <f>'2.8.'!AA41</f>
        <v>5420.4167707258002</v>
      </c>
      <c r="AB56" s="228"/>
      <c r="AC56" s="48"/>
      <c r="AD56" s="90"/>
      <c r="AE56" s="51"/>
      <c r="AF56" s="51"/>
      <c r="AG56" s="51"/>
      <c r="AH56" s="51"/>
      <c r="AI56" s="51"/>
      <c r="AJ56" s="51"/>
      <c r="AK56" s="51"/>
      <c r="AL56" s="51"/>
      <c r="AM56" s="51"/>
      <c r="AN56" s="151"/>
      <c r="AO56" s="151"/>
      <c r="AP56" s="151"/>
      <c r="AQ56" s="151"/>
      <c r="AR56" s="151"/>
      <c r="AS56" s="151"/>
      <c r="AT56" s="151"/>
      <c r="AU56" s="151"/>
      <c r="AV56" s="151"/>
      <c r="AW56" s="151"/>
      <c r="AX56" s="151"/>
      <c r="AY56" s="151"/>
      <c r="AZ56" s="151"/>
      <c r="BA56" s="151"/>
      <c r="BB56" s="151"/>
      <c r="BC56" s="151"/>
      <c r="BD56" s="179"/>
      <c r="BE56" s="91"/>
      <c r="BF56" s="50"/>
      <c r="BG56" s="154">
        <f t="shared" si="7"/>
        <v>2456874.8294477975</v>
      </c>
    </row>
    <row r="57" spans="1:59" s="341" customFormat="1" ht="13.95" customHeight="1" x14ac:dyDescent="0.25">
      <c r="A57" s="598" t="s">
        <v>623</v>
      </c>
      <c r="B57" s="338" t="s">
        <v>508</v>
      </c>
      <c r="C57" s="570" t="s">
        <v>38</v>
      </c>
      <c r="D57" s="570">
        <v>2020</v>
      </c>
      <c r="E57" s="573" t="s">
        <v>655</v>
      </c>
      <c r="F57" s="340"/>
      <c r="G57" s="47"/>
      <c r="H57" s="47"/>
      <c r="I57" s="47"/>
      <c r="J57" s="47"/>
      <c r="K57" s="47"/>
      <c r="L57" s="47"/>
      <c r="M57" s="47"/>
      <c r="N57" s="86"/>
      <c r="O57" s="47"/>
      <c r="P57" s="47"/>
      <c r="Q57" s="47"/>
      <c r="R57" s="47"/>
      <c r="S57" s="47"/>
      <c r="T57" s="47"/>
      <c r="U57" s="86"/>
      <c r="V57" s="47"/>
      <c r="W57" s="47">
        <f>'2.8.'!W19</f>
        <v>253070.64362900201</v>
      </c>
      <c r="X57" s="86">
        <f>'2.8.'!X19</f>
        <v>281198.35225044203</v>
      </c>
      <c r="Y57" s="47"/>
      <c r="Z57" s="47"/>
      <c r="AA57" s="47"/>
      <c r="AB57" s="47"/>
      <c r="AC57" s="87"/>
      <c r="AD57" s="48"/>
      <c r="AE57" s="48"/>
      <c r="AF57" s="48"/>
      <c r="AG57" s="48"/>
      <c r="AH57" s="48"/>
      <c r="AI57" s="48"/>
      <c r="AJ57" s="48"/>
      <c r="AK57" s="48"/>
      <c r="AL57" s="48"/>
      <c r="AM57" s="48"/>
      <c r="AN57" s="148"/>
      <c r="AO57" s="48"/>
      <c r="AP57" s="48"/>
      <c r="AQ57" s="148"/>
      <c r="AR57" s="48"/>
      <c r="AS57" s="148"/>
      <c r="AT57" s="148"/>
      <c r="AU57" s="148"/>
      <c r="AV57" s="148"/>
      <c r="AW57" s="148"/>
      <c r="AX57" s="148"/>
      <c r="AY57" s="148"/>
      <c r="AZ57" s="148"/>
      <c r="BA57" s="148"/>
      <c r="BB57" s="148"/>
      <c r="BC57" s="148"/>
      <c r="BD57" s="148"/>
      <c r="BE57" s="147"/>
      <c r="BF57" s="46"/>
      <c r="BG57" s="150">
        <f t="shared" ref="BG57:BG66" si="8">SUM(F57:BD57)</f>
        <v>534268.99587944406</v>
      </c>
    </row>
    <row r="58" spans="1:59" s="326" customFormat="1" x14ac:dyDescent="0.25">
      <c r="A58" s="599"/>
      <c r="B58" s="313" t="s">
        <v>509</v>
      </c>
      <c r="C58" s="571"/>
      <c r="D58" s="571"/>
      <c r="E58" s="574"/>
      <c r="F58" s="88"/>
      <c r="G58" s="48"/>
      <c r="H58" s="48"/>
      <c r="I58" s="48"/>
      <c r="J58" s="48"/>
      <c r="K58" s="48"/>
      <c r="L58" s="48"/>
      <c r="M58" s="48"/>
      <c r="N58" s="88"/>
      <c r="O58" s="48"/>
      <c r="P58" s="48"/>
      <c r="Q58" s="48"/>
      <c r="R58" s="48"/>
      <c r="S58" s="48"/>
      <c r="T58" s="48"/>
      <c r="U58" s="88"/>
      <c r="V58" s="48"/>
      <c r="W58" s="48">
        <f>'2.8.'!W20</f>
        <v>231241.316636217</v>
      </c>
      <c r="X58" s="88">
        <f>'2.8.'!X20</f>
        <v>25052.516128799001</v>
      </c>
      <c r="Y58" s="48"/>
      <c r="Z58" s="48"/>
      <c r="AA58" s="48"/>
      <c r="AB58" s="48"/>
      <c r="AC58" s="89"/>
      <c r="AD58" s="48"/>
      <c r="AE58" s="48"/>
      <c r="AF58" s="48"/>
      <c r="AG58" s="48"/>
      <c r="AH58" s="48"/>
      <c r="AI58" s="48"/>
      <c r="AJ58" s="48"/>
      <c r="AK58" s="48"/>
      <c r="AL58" s="48"/>
      <c r="AM58" s="48"/>
      <c r="AN58" s="148"/>
      <c r="AO58" s="48"/>
      <c r="AP58" s="48"/>
      <c r="AQ58" s="148"/>
      <c r="AR58" s="48"/>
      <c r="AS58" s="148"/>
      <c r="AT58" s="148"/>
      <c r="AU58" s="148"/>
      <c r="AV58" s="148"/>
      <c r="AW58" s="148"/>
      <c r="AX58" s="148"/>
      <c r="AY58" s="148"/>
      <c r="AZ58" s="148"/>
      <c r="BA58" s="148"/>
      <c r="BB58" s="148"/>
      <c r="BC58" s="148"/>
      <c r="BD58" s="148"/>
      <c r="BE58" s="150"/>
      <c r="BF58" s="14"/>
      <c r="BG58" s="150">
        <f t="shared" si="8"/>
        <v>256293.83276501601</v>
      </c>
    </row>
    <row r="59" spans="1:59" s="326" customFormat="1" x14ac:dyDescent="0.25">
      <c r="A59" s="599"/>
      <c r="B59" s="313" t="s">
        <v>517</v>
      </c>
      <c r="C59" s="571"/>
      <c r="D59" s="571"/>
      <c r="E59" s="574"/>
      <c r="F59" s="88"/>
      <c r="G59" s="48"/>
      <c r="H59" s="48"/>
      <c r="I59" s="48"/>
      <c r="J59" s="48"/>
      <c r="K59" s="48"/>
      <c r="L59" s="48"/>
      <c r="M59" s="48"/>
      <c r="N59" s="88"/>
      <c r="O59" s="48"/>
      <c r="P59" s="48"/>
      <c r="Q59" s="48"/>
      <c r="R59" s="48"/>
      <c r="S59" s="48"/>
      <c r="T59" s="48">
        <f>'2.8.'!T21</f>
        <v>5989.5768907909996</v>
      </c>
      <c r="U59" s="88"/>
      <c r="V59" s="48"/>
      <c r="W59" s="48">
        <f>'2.8.'!W21</f>
        <v>75425.790421169004</v>
      </c>
      <c r="X59" s="88">
        <f>'2.8.'!X21</f>
        <v>50033.73626446</v>
      </c>
      <c r="Y59" s="48"/>
      <c r="Z59" s="48"/>
      <c r="AA59" s="48"/>
      <c r="AB59" s="48"/>
      <c r="AC59" s="89"/>
      <c r="AD59" s="48"/>
      <c r="AE59" s="48"/>
      <c r="AF59" s="48"/>
      <c r="AG59" s="48"/>
      <c r="AH59" s="48"/>
      <c r="AI59" s="48"/>
      <c r="AJ59" s="48"/>
      <c r="AK59" s="48"/>
      <c r="AL59" s="48"/>
      <c r="AM59" s="48"/>
      <c r="AN59" s="148"/>
      <c r="AO59" s="48"/>
      <c r="AP59" s="48"/>
      <c r="AQ59" s="148"/>
      <c r="AR59" s="48"/>
      <c r="AS59" s="148"/>
      <c r="AT59" s="148"/>
      <c r="AU59" s="148"/>
      <c r="AV59" s="148"/>
      <c r="AW59" s="148"/>
      <c r="AX59" s="148"/>
      <c r="AY59" s="148"/>
      <c r="AZ59" s="148"/>
      <c r="BA59" s="148"/>
      <c r="BB59" s="148"/>
      <c r="BC59" s="148"/>
      <c r="BD59" s="148"/>
      <c r="BE59" s="150"/>
      <c r="BF59" s="14"/>
      <c r="BG59" s="150">
        <f t="shared" si="8"/>
        <v>131449.10357641999</v>
      </c>
    </row>
    <row r="60" spans="1:59" s="326" customFormat="1" x14ac:dyDescent="0.25">
      <c r="A60" s="599"/>
      <c r="B60" s="313" t="s">
        <v>510</v>
      </c>
      <c r="C60" s="571"/>
      <c r="D60" s="571"/>
      <c r="E60" s="574"/>
      <c r="F60" s="88"/>
      <c r="G60" s="48"/>
      <c r="H60" s="48"/>
      <c r="I60" s="48"/>
      <c r="J60" s="48"/>
      <c r="K60" s="48"/>
      <c r="L60" s="48"/>
      <c r="M60" s="48"/>
      <c r="N60" s="88"/>
      <c r="O60" s="48"/>
      <c r="P60" s="48"/>
      <c r="Q60" s="48"/>
      <c r="R60" s="48"/>
      <c r="S60" s="48"/>
      <c r="T60" s="48"/>
      <c r="U60" s="88"/>
      <c r="V60" s="48"/>
      <c r="W60" s="48">
        <f>'2.8.'!W22</f>
        <v>354143.80144022597</v>
      </c>
      <c r="X60" s="88">
        <f>'2.8.'!X22</f>
        <v>1094337.8845118601</v>
      </c>
      <c r="Y60" s="48"/>
      <c r="Z60" s="48"/>
      <c r="AA60" s="48"/>
      <c r="AB60" s="48"/>
      <c r="AC60" s="89"/>
      <c r="AD60" s="48"/>
      <c r="AE60" s="48"/>
      <c r="AF60" s="48"/>
      <c r="AG60" s="48"/>
      <c r="AH60" s="48"/>
      <c r="AI60" s="48"/>
      <c r="AJ60" s="48"/>
      <c r="AK60" s="48"/>
      <c r="AL60" s="48"/>
      <c r="AM60" s="48"/>
      <c r="AN60" s="148"/>
      <c r="AO60" s="48"/>
      <c r="AP60" s="48"/>
      <c r="AQ60" s="148"/>
      <c r="AR60" s="48"/>
      <c r="AS60" s="148"/>
      <c r="AT60" s="148"/>
      <c r="AU60" s="148"/>
      <c r="AV60" s="148"/>
      <c r="AW60" s="148"/>
      <c r="AX60" s="148"/>
      <c r="AY60" s="148"/>
      <c r="AZ60" s="148"/>
      <c r="BA60" s="148"/>
      <c r="BB60" s="148"/>
      <c r="BC60" s="148"/>
      <c r="BD60" s="148"/>
      <c r="BE60" s="150"/>
      <c r="BF60" s="14"/>
      <c r="BG60" s="150">
        <f t="shared" si="8"/>
        <v>1448481.685952086</v>
      </c>
    </row>
    <row r="61" spans="1:59" s="326" customFormat="1" x14ac:dyDescent="0.25">
      <c r="A61" s="599"/>
      <c r="B61" s="313" t="s">
        <v>511</v>
      </c>
      <c r="C61" s="571"/>
      <c r="D61" s="571"/>
      <c r="E61" s="574"/>
      <c r="F61" s="88"/>
      <c r="G61" s="48"/>
      <c r="H61" s="48"/>
      <c r="I61" s="48"/>
      <c r="J61" s="48"/>
      <c r="K61" s="48"/>
      <c r="L61" s="48"/>
      <c r="M61" s="48"/>
      <c r="N61" s="88"/>
      <c r="O61" s="48"/>
      <c r="P61" s="48"/>
      <c r="Q61" s="48"/>
      <c r="R61" s="48"/>
      <c r="S61" s="48"/>
      <c r="T61" s="48"/>
      <c r="U61" s="88"/>
      <c r="V61" s="48"/>
      <c r="W61" s="48"/>
      <c r="X61" s="88"/>
      <c r="Y61" s="48"/>
      <c r="Z61" s="48"/>
      <c r="AA61" s="48"/>
      <c r="AB61" s="48"/>
      <c r="AC61" s="89">
        <f>'2.8.'!AC23</f>
        <v>1071180.1134353499</v>
      </c>
      <c r="AD61" s="48"/>
      <c r="AE61" s="48"/>
      <c r="AF61" s="48"/>
      <c r="AG61" s="48"/>
      <c r="AH61" s="48"/>
      <c r="AI61" s="48"/>
      <c r="AJ61" s="48"/>
      <c r="AK61" s="48"/>
      <c r="AL61" s="48"/>
      <c r="AM61" s="48"/>
      <c r="AN61" s="148"/>
      <c r="AO61" s="48"/>
      <c r="AP61" s="48"/>
      <c r="AQ61" s="148"/>
      <c r="AR61" s="48"/>
      <c r="AS61" s="148"/>
      <c r="AT61" s="148"/>
      <c r="AU61" s="148"/>
      <c r="AV61" s="148"/>
      <c r="AW61" s="148"/>
      <c r="AX61" s="148"/>
      <c r="AY61" s="148"/>
      <c r="AZ61" s="148"/>
      <c r="BA61" s="148"/>
      <c r="BB61" s="148"/>
      <c r="BC61" s="148"/>
      <c r="BD61" s="148"/>
      <c r="BE61" s="150"/>
      <c r="BF61" s="14"/>
      <c r="BG61" s="150">
        <f t="shared" si="8"/>
        <v>1071180.1134353499</v>
      </c>
    </row>
    <row r="62" spans="1:59" s="326" customFormat="1" x14ac:dyDescent="0.25">
      <c r="A62" s="599"/>
      <c r="B62" s="313" t="s">
        <v>675</v>
      </c>
      <c r="C62" s="571"/>
      <c r="D62" s="571"/>
      <c r="E62" s="574"/>
      <c r="F62" s="88"/>
      <c r="G62" s="48"/>
      <c r="H62" s="48"/>
      <c r="I62" s="48"/>
      <c r="J62" s="48"/>
      <c r="K62" s="48"/>
      <c r="L62" s="48"/>
      <c r="M62" s="48"/>
      <c r="N62" s="88">
        <f>'2.8.'!N24</f>
        <v>317316.12164756301</v>
      </c>
      <c r="O62" s="48"/>
      <c r="P62" s="48">
        <v>0</v>
      </c>
      <c r="Q62" s="48"/>
      <c r="R62" s="48"/>
      <c r="S62" s="48"/>
      <c r="T62" s="48"/>
      <c r="U62" s="88"/>
      <c r="V62" s="48"/>
      <c r="W62" s="48"/>
      <c r="X62" s="88"/>
      <c r="Y62" s="48"/>
      <c r="Z62" s="48"/>
      <c r="AA62" s="48"/>
      <c r="AB62" s="48"/>
      <c r="AC62" s="89">
        <f>'2.8.'!AC24</f>
        <v>403006.16</v>
      </c>
      <c r="AD62" s="48"/>
      <c r="AE62" s="48"/>
      <c r="AF62" s="48"/>
      <c r="AG62" s="48"/>
      <c r="AH62" s="48"/>
      <c r="AI62" s="48"/>
      <c r="AJ62" s="48"/>
      <c r="AK62" s="48"/>
      <c r="AL62" s="48"/>
      <c r="AM62" s="48"/>
      <c r="AN62" s="148"/>
      <c r="AO62" s="48"/>
      <c r="AP62" s="48"/>
      <c r="AQ62" s="148"/>
      <c r="AR62" s="48"/>
      <c r="AS62" s="148"/>
      <c r="AT62" s="148"/>
      <c r="AU62" s="148"/>
      <c r="AV62" s="148"/>
      <c r="AW62" s="148"/>
      <c r="AX62" s="148"/>
      <c r="AY62" s="148"/>
      <c r="AZ62" s="148"/>
      <c r="BA62" s="148"/>
      <c r="BB62" s="148"/>
      <c r="BC62" s="148"/>
      <c r="BD62" s="148"/>
      <c r="BE62" s="150"/>
      <c r="BF62" s="14"/>
      <c r="BG62" s="150">
        <f t="shared" si="8"/>
        <v>720322.28164756298</v>
      </c>
    </row>
    <row r="63" spans="1:59" s="326" customFormat="1" x14ac:dyDescent="0.25">
      <c r="A63" s="599"/>
      <c r="B63" s="313" t="s">
        <v>513</v>
      </c>
      <c r="C63" s="571"/>
      <c r="D63" s="571"/>
      <c r="E63" s="574"/>
      <c r="F63" s="88"/>
      <c r="G63" s="48"/>
      <c r="H63" s="48"/>
      <c r="I63" s="48"/>
      <c r="J63" s="48"/>
      <c r="K63" s="48"/>
      <c r="L63" s="48"/>
      <c r="M63" s="48"/>
      <c r="N63" s="88"/>
      <c r="O63" s="48"/>
      <c r="P63" s="48"/>
      <c r="Q63" s="48"/>
      <c r="R63" s="48"/>
      <c r="S63" s="48"/>
      <c r="T63" s="48"/>
      <c r="U63" s="88"/>
      <c r="V63" s="48"/>
      <c r="W63" s="48"/>
      <c r="X63" s="88"/>
      <c r="Y63" s="48"/>
      <c r="Z63" s="48"/>
      <c r="AA63" s="48"/>
      <c r="AB63" s="48"/>
      <c r="AC63" s="89">
        <f>'2.8.'!AC25</f>
        <v>13642.0788955755</v>
      </c>
      <c r="AD63" s="48"/>
      <c r="AE63" s="48"/>
      <c r="AF63" s="48"/>
      <c r="AG63" s="48"/>
      <c r="AH63" s="48"/>
      <c r="AI63" s="48"/>
      <c r="AJ63" s="48"/>
      <c r="AK63" s="48"/>
      <c r="AL63" s="48"/>
      <c r="AM63" s="48"/>
      <c r="AN63" s="148"/>
      <c r="AO63" s="48"/>
      <c r="AP63" s="48"/>
      <c r="AQ63" s="148"/>
      <c r="AR63" s="48"/>
      <c r="AS63" s="148"/>
      <c r="AT63" s="148"/>
      <c r="AU63" s="148"/>
      <c r="AV63" s="148"/>
      <c r="AW63" s="148"/>
      <c r="AX63" s="148"/>
      <c r="AY63" s="148"/>
      <c r="AZ63" s="148"/>
      <c r="BA63" s="148"/>
      <c r="BB63" s="148"/>
      <c r="BC63" s="148"/>
      <c r="BD63" s="148"/>
      <c r="BE63" s="150"/>
      <c r="BF63" s="14"/>
      <c r="BG63" s="150">
        <f t="shared" si="8"/>
        <v>13642.0788955755</v>
      </c>
    </row>
    <row r="64" spans="1:59" s="326" customFormat="1" x14ac:dyDescent="0.25">
      <c r="A64" s="599"/>
      <c r="B64" s="313" t="s">
        <v>514</v>
      </c>
      <c r="C64" s="571"/>
      <c r="D64" s="571"/>
      <c r="E64" s="574"/>
      <c r="F64" s="88"/>
      <c r="G64" s="48"/>
      <c r="H64" s="48"/>
      <c r="I64" s="48"/>
      <c r="J64" s="48"/>
      <c r="K64" s="48"/>
      <c r="L64" s="48"/>
      <c r="M64" s="48"/>
      <c r="N64" s="88"/>
      <c r="O64" s="48"/>
      <c r="P64" s="48"/>
      <c r="Q64" s="48"/>
      <c r="R64" s="48"/>
      <c r="S64" s="48"/>
      <c r="T64" s="48"/>
      <c r="U64" s="88"/>
      <c r="V64" s="48"/>
      <c r="W64" s="48">
        <f>'2.8.'!W26</f>
        <v>104749.976981063</v>
      </c>
      <c r="X64" s="88">
        <f>'2.8.'!X26</f>
        <v>125553.259077501</v>
      </c>
      <c r="Y64" s="48"/>
      <c r="Z64" s="48"/>
      <c r="AA64" s="48"/>
      <c r="AB64" s="48"/>
      <c r="AC64" s="89"/>
      <c r="AD64" s="48"/>
      <c r="AE64" s="48"/>
      <c r="AF64" s="48"/>
      <c r="AG64" s="48"/>
      <c r="AH64" s="48"/>
      <c r="AI64" s="48"/>
      <c r="AJ64" s="48"/>
      <c r="AK64" s="48"/>
      <c r="AL64" s="48"/>
      <c r="AM64" s="48"/>
      <c r="AN64" s="148"/>
      <c r="AO64" s="48"/>
      <c r="AP64" s="48"/>
      <c r="AQ64" s="148"/>
      <c r="AR64" s="48"/>
      <c r="AS64" s="148"/>
      <c r="AT64" s="148"/>
      <c r="AU64" s="148"/>
      <c r="AV64" s="148"/>
      <c r="AW64" s="148"/>
      <c r="AX64" s="148"/>
      <c r="AY64" s="148"/>
      <c r="AZ64" s="148"/>
      <c r="BA64" s="148"/>
      <c r="BB64" s="148"/>
      <c r="BC64" s="148"/>
      <c r="BD64" s="148"/>
      <c r="BE64" s="150"/>
      <c r="BF64" s="14"/>
      <c r="BG64" s="150">
        <f t="shared" si="8"/>
        <v>230303.23605856398</v>
      </c>
    </row>
    <row r="65" spans="1:59" s="326" customFormat="1" x14ac:dyDescent="0.25">
      <c r="A65" s="599"/>
      <c r="B65" s="313" t="s">
        <v>515</v>
      </c>
      <c r="C65" s="571"/>
      <c r="D65" s="571"/>
      <c r="E65" s="574"/>
      <c r="F65" s="88"/>
      <c r="G65" s="48"/>
      <c r="H65" s="48"/>
      <c r="I65" s="48"/>
      <c r="J65" s="48"/>
      <c r="K65" s="48"/>
      <c r="L65" s="48"/>
      <c r="M65" s="48"/>
      <c r="N65" s="88"/>
      <c r="O65" s="48"/>
      <c r="P65" s="48"/>
      <c r="Q65" s="48"/>
      <c r="R65" s="48"/>
      <c r="S65" s="48"/>
      <c r="T65" s="48"/>
      <c r="U65" s="88"/>
      <c r="V65" s="48"/>
      <c r="W65" s="48"/>
      <c r="X65" s="88"/>
      <c r="Y65" s="48"/>
      <c r="Z65" s="48"/>
      <c r="AA65" s="48"/>
      <c r="AB65" s="48"/>
      <c r="AC65" s="89">
        <f>'2.8.'!AC27</f>
        <v>72227.077317511896</v>
      </c>
      <c r="AD65" s="48"/>
      <c r="AE65" s="48"/>
      <c r="AF65" s="48"/>
      <c r="AG65" s="48"/>
      <c r="AH65" s="48"/>
      <c r="AI65" s="48"/>
      <c r="AJ65" s="48"/>
      <c r="AK65" s="48"/>
      <c r="AL65" s="48"/>
      <c r="AM65" s="48"/>
      <c r="AN65" s="148"/>
      <c r="AO65" s="48"/>
      <c r="AP65" s="48"/>
      <c r="AQ65" s="148"/>
      <c r="AR65" s="48"/>
      <c r="AS65" s="148"/>
      <c r="AT65" s="148"/>
      <c r="AU65" s="148"/>
      <c r="AV65" s="148"/>
      <c r="AW65" s="148"/>
      <c r="AX65" s="148"/>
      <c r="AY65" s="148"/>
      <c r="AZ65" s="148"/>
      <c r="BA65" s="148"/>
      <c r="BB65" s="148"/>
      <c r="BC65" s="148"/>
      <c r="BD65" s="148"/>
      <c r="BE65" s="150"/>
      <c r="BF65" s="14"/>
      <c r="BG65" s="150">
        <f t="shared" si="8"/>
        <v>72227.077317511896</v>
      </c>
    </row>
    <row r="66" spans="1:59" s="342" customFormat="1" ht="15" thickBot="1" x14ac:dyDescent="0.3">
      <c r="A66" s="600"/>
      <c r="B66" s="339" t="s">
        <v>516</v>
      </c>
      <c r="C66" s="572"/>
      <c r="D66" s="572"/>
      <c r="E66" s="575"/>
      <c r="F66" s="90"/>
      <c r="G66" s="51"/>
      <c r="H66" s="51"/>
      <c r="I66" s="51"/>
      <c r="J66" s="51"/>
      <c r="K66" s="51"/>
      <c r="L66" s="51"/>
      <c r="M66" s="51"/>
      <c r="N66" s="88"/>
      <c r="O66" s="48"/>
      <c r="P66" s="48"/>
      <c r="Q66" s="48"/>
      <c r="R66" s="48"/>
      <c r="S66" s="48"/>
      <c r="T66" s="48"/>
      <c r="U66" s="90"/>
      <c r="V66" s="51"/>
      <c r="W66" s="51">
        <f>'2.8.'!W28</f>
        <v>43108.0351843237</v>
      </c>
      <c r="X66" s="88">
        <f>'2.8.'!X28</f>
        <v>32427.857917308898</v>
      </c>
      <c r="Y66" s="48"/>
      <c r="Z66" s="48"/>
      <c r="AA66" s="48"/>
      <c r="AB66" s="48"/>
      <c r="AC66" s="89"/>
      <c r="AD66" s="51"/>
      <c r="AE66" s="51"/>
      <c r="AF66" s="51"/>
      <c r="AG66" s="51"/>
      <c r="AH66" s="51"/>
      <c r="AI66" s="51"/>
      <c r="AJ66" s="51"/>
      <c r="AK66" s="51"/>
      <c r="AL66" s="51"/>
      <c r="AM66" s="51"/>
      <c r="AN66" s="152"/>
      <c r="AO66" s="51"/>
      <c r="AP66" s="51"/>
      <c r="AQ66" s="152"/>
      <c r="AR66" s="51"/>
      <c r="AS66" s="152"/>
      <c r="AT66" s="152"/>
      <c r="AU66" s="152"/>
      <c r="AV66" s="152"/>
      <c r="AW66" s="152"/>
      <c r="AX66" s="152"/>
      <c r="AY66" s="152"/>
      <c r="AZ66" s="152"/>
      <c r="BA66" s="152"/>
      <c r="BB66" s="152"/>
      <c r="BC66" s="152"/>
      <c r="BD66" s="152"/>
      <c r="BE66" s="154"/>
      <c r="BF66" s="50"/>
      <c r="BG66" s="150">
        <f t="shared" si="8"/>
        <v>75535.893101632595</v>
      </c>
    </row>
    <row r="67" spans="1:59" s="46" customFormat="1" ht="12" x14ac:dyDescent="0.25">
      <c r="A67" s="603" t="s">
        <v>436</v>
      </c>
      <c r="B67" s="291" t="s">
        <v>518</v>
      </c>
      <c r="C67" s="570" t="s">
        <v>38</v>
      </c>
      <c r="D67" s="573">
        <v>2017</v>
      </c>
      <c r="E67" s="573" t="s">
        <v>663</v>
      </c>
      <c r="F67" s="86"/>
      <c r="G67" s="47"/>
      <c r="H67" s="47"/>
      <c r="I67" s="47"/>
      <c r="J67" s="47"/>
      <c r="K67" s="47"/>
      <c r="L67" s="47"/>
      <c r="M67" s="47"/>
      <c r="N67" s="86">
        <f>'2.7.'!N3</f>
        <v>347055</v>
      </c>
      <c r="O67" s="47">
        <f>'2.7.'!O3</f>
        <v>26575</v>
      </c>
      <c r="P67" s="47">
        <f>'2.7.'!P3</f>
        <v>29704</v>
      </c>
      <c r="Q67" s="47"/>
      <c r="R67" s="47"/>
      <c r="S67" s="47">
        <f>'2.7.'!S3</f>
        <v>20284</v>
      </c>
      <c r="T67" s="87"/>
      <c r="U67" s="47"/>
      <c r="V67" s="47"/>
      <c r="W67" s="47"/>
      <c r="X67" s="86">
        <f>'2.7.'!X3</f>
        <v>211075</v>
      </c>
      <c r="Y67" s="47"/>
      <c r="Z67" s="47"/>
      <c r="AA67" s="47"/>
      <c r="AB67" s="47"/>
      <c r="AC67" s="87"/>
      <c r="AD67" s="47"/>
      <c r="AE67" s="47"/>
      <c r="AF67" s="47"/>
      <c r="AG67" s="47"/>
      <c r="AH67" s="47"/>
      <c r="AI67" s="47"/>
      <c r="AJ67" s="47"/>
      <c r="AK67" s="47"/>
      <c r="AL67" s="47"/>
      <c r="AM67" s="47"/>
      <c r="AN67" s="47"/>
      <c r="AO67" s="48">
        <f>'2.7.'!AO3</f>
        <v>7</v>
      </c>
      <c r="AP67" s="47"/>
      <c r="AQ67" s="47"/>
      <c r="AR67" s="47"/>
      <c r="AS67" s="47">
        <f>'2.7.'!AS3</f>
        <v>755</v>
      </c>
      <c r="AT67" s="47"/>
      <c r="AU67" s="47"/>
      <c r="AV67" s="47">
        <f>'2.7.'!AV3</f>
        <v>64</v>
      </c>
      <c r="AW67" s="47">
        <f>'2.7.'!AW3</f>
        <v>43</v>
      </c>
      <c r="AX67" s="47"/>
      <c r="AY67" s="144"/>
      <c r="AZ67" s="144"/>
      <c r="BA67" s="144"/>
      <c r="BB67" s="47"/>
      <c r="BC67" s="47"/>
      <c r="BD67" s="304"/>
      <c r="BE67" s="147">
        <f>SUM(AD67:BD67)</f>
        <v>869</v>
      </c>
      <c r="BG67" s="147">
        <f>SUM(F67:BD67)</f>
        <v>635562</v>
      </c>
    </row>
    <row r="68" spans="1:59" s="14" customFormat="1" ht="12" x14ac:dyDescent="0.25">
      <c r="A68" s="604"/>
      <c r="B68" s="292" t="s">
        <v>519</v>
      </c>
      <c r="C68" s="571"/>
      <c r="D68" s="574"/>
      <c r="E68" s="574"/>
      <c r="F68" s="88"/>
      <c r="G68" s="48"/>
      <c r="H68" s="48"/>
      <c r="I68" s="48"/>
      <c r="J68" s="48"/>
      <c r="K68" s="48"/>
      <c r="L68" s="48"/>
      <c r="M68" s="48"/>
      <c r="N68" s="88">
        <f>'2.7.'!N4</f>
        <v>128353</v>
      </c>
      <c r="O68" s="48">
        <f>'2.7.'!O4</f>
        <v>15023</v>
      </c>
      <c r="P68" s="48">
        <f>'2.7.'!P4</f>
        <v>28533</v>
      </c>
      <c r="Q68" s="48"/>
      <c r="R68" s="48"/>
      <c r="S68" s="48">
        <f>'2.7.'!S4</f>
        <v>3895</v>
      </c>
      <c r="T68" s="89"/>
      <c r="U68" s="48"/>
      <c r="V68" s="48"/>
      <c r="W68" s="48"/>
      <c r="X68" s="88">
        <f>'2.7.'!X4</f>
        <v>101672</v>
      </c>
      <c r="Y68" s="48"/>
      <c r="Z68" s="48"/>
      <c r="AA68" s="48">
        <f>'2.7.'!AA4</f>
        <v>777</v>
      </c>
      <c r="AB68" s="48"/>
      <c r="AC68" s="89"/>
      <c r="AD68" s="48">
        <f>'2.7.'!AD4</f>
        <v>20</v>
      </c>
      <c r="AE68" s="48">
        <f>'2.7.'!AE4</f>
        <v>1</v>
      </c>
      <c r="AF68" s="48">
        <f>'2.7.'!AF4</f>
        <v>3</v>
      </c>
      <c r="AG68" s="48">
        <f>'2.7.'!AG4</f>
        <v>9</v>
      </c>
      <c r="AH68" s="48">
        <f>'2.7.'!AH4</f>
        <v>1</v>
      </c>
      <c r="AI68" s="48"/>
      <c r="AJ68" s="48">
        <f>'2.7.'!AJ4</f>
        <v>32</v>
      </c>
      <c r="AK68" s="48"/>
      <c r="AL68" s="48"/>
      <c r="AM68" s="48">
        <f>'2.7.'!AM4</f>
        <v>27238</v>
      </c>
      <c r="AN68" s="48">
        <f>'2.7.'!AN4</f>
        <v>1</v>
      </c>
      <c r="AO68" s="48">
        <f>'2.7.'!AO4</f>
        <v>45</v>
      </c>
      <c r="AP68" s="48">
        <f>'2.7.'!AP4</f>
        <v>7</v>
      </c>
      <c r="AQ68" s="48"/>
      <c r="AR68" s="48">
        <f>'2.7.'!AR4</f>
        <v>11</v>
      </c>
      <c r="AS68" s="48">
        <f>'2.7.'!AS4</f>
        <v>4931</v>
      </c>
      <c r="AT68" s="48"/>
      <c r="AU68" s="48"/>
      <c r="AV68" s="48">
        <f>'2.7.'!AV4</f>
        <v>482</v>
      </c>
      <c r="AW68" s="48">
        <f>'2.7.'!AW4</f>
        <v>10</v>
      </c>
      <c r="AX68" s="48">
        <f>'2.7.'!AX4</f>
        <v>1</v>
      </c>
      <c r="AY68" s="53"/>
      <c r="AZ68" s="53"/>
      <c r="BA68" s="53"/>
      <c r="BB68" s="48">
        <f>'2.7.'!BB4</f>
        <v>3</v>
      </c>
      <c r="BC68" s="48"/>
      <c r="BD68" s="305"/>
      <c r="BE68" s="150">
        <f t="shared" ref="BE68:BE72" si="9">SUM(AD68:BD68)</f>
        <v>32795</v>
      </c>
      <c r="BG68" s="150">
        <f t="shared" ref="BG68:BG72" si="10">SUM(F68:BD68)</f>
        <v>311048</v>
      </c>
    </row>
    <row r="69" spans="1:59" s="14" customFormat="1" ht="12" x14ac:dyDescent="0.25">
      <c r="A69" s="604"/>
      <c r="B69" s="292" t="s">
        <v>520</v>
      </c>
      <c r="C69" s="571"/>
      <c r="D69" s="574"/>
      <c r="E69" s="574"/>
      <c r="F69" s="88"/>
      <c r="G69" s="48"/>
      <c r="H69" s="48"/>
      <c r="I69" s="48"/>
      <c r="J69" s="48"/>
      <c r="K69" s="48"/>
      <c r="L69" s="48"/>
      <c r="M69" s="48"/>
      <c r="N69" s="88">
        <f>'2.7.'!N5</f>
        <v>28</v>
      </c>
      <c r="O69" s="48">
        <f>'2.7.'!O5</f>
        <v>40</v>
      </c>
      <c r="P69" s="48">
        <f>'2.7.'!P5</f>
        <v>264</v>
      </c>
      <c r="Q69" s="48"/>
      <c r="R69" s="48"/>
      <c r="S69" s="48">
        <f>'2.7.'!S5</f>
        <v>27</v>
      </c>
      <c r="T69" s="89"/>
      <c r="U69" s="48"/>
      <c r="V69" s="48"/>
      <c r="W69" s="48"/>
      <c r="X69" s="88">
        <f>'2.7.'!X5</f>
        <v>265</v>
      </c>
      <c r="Y69" s="48"/>
      <c r="Z69" s="48"/>
      <c r="AA69" s="48">
        <f>'2.7.'!AA5</f>
        <v>706</v>
      </c>
      <c r="AB69" s="48"/>
      <c r="AC69" s="89"/>
      <c r="AD69" s="48"/>
      <c r="AE69" s="48"/>
      <c r="AF69" s="48"/>
      <c r="AG69" s="48"/>
      <c r="AH69" s="48"/>
      <c r="AI69" s="48"/>
      <c r="AJ69" s="48"/>
      <c r="AK69" s="48"/>
      <c r="AL69" s="48"/>
      <c r="AM69" s="48"/>
      <c r="AN69" s="48"/>
      <c r="AO69" s="48">
        <f>'2.7.'!AO5</f>
        <v>17</v>
      </c>
      <c r="AP69" s="48"/>
      <c r="AQ69" s="48"/>
      <c r="AR69" s="48"/>
      <c r="AS69" s="48">
        <f>'2.7.'!AS5</f>
        <v>7</v>
      </c>
      <c r="AT69" s="48"/>
      <c r="AU69" s="48"/>
      <c r="AV69" s="48"/>
      <c r="AW69" s="48">
        <f>'2.7.'!AW5</f>
        <v>6</v>
      </c>
      <c r="AX69" s="48">
        <f>'2.7.'!AX5</f>
        <v>2</v>
      </c>
      <c r="AY69" s="53"/>
      <c r="AZ69" s="53"/>
      <c r="BA69" s="53"/>
      <c r="BB69" s="48"/>
      <c r="BC69" s="48"/>
      <c r="BD69" s="305"/>
      <c r="BE69" s="150">
        <f t="shared" si="9"/>
        <v>32</v>
      </c>
      <c r="BG69" s="150">
        <f t="shared" si="10"/>
        <v>1362</v>
      </c>
    </row>
    <row r="70" spans="1:59" s="14" customFormat="1" ht="12" x14ac:dyDescent="0.25">
      <c r="A70" s="604"/>
      <c r="B70" s="292" t="s">
        <v>521</v>
      </c>
      <c r="C70" s="571"/>
      <c r="D70" s="574"/>
      <c r="E70" s="574"/>
      <c r="F70" s="88"/>
      <c r="G70" s="48"/>
      <c r="H70" s="48"/>
      <c r="I70" s="48"/>
      <c r="J70" s="48"/>
      <c r="K70" s="48"/>
      <c r="L70" s="48"/>
      <c r="M70" s="48"/>
      <c r="N70" s="88">
        <f>'2.7.'!N6</f>
        <v>31432</v>
      </c>
      <c r="O70" s="48">
        <f>'2.7.'!O6</f>
        <v>1071</v>
      </c>
      <c r="P70" s="48">
        <f>'2.7.'!P6</f>
        <v>1957</v>
      </c>
      <c r="Q70" s="48"/>
      <c r="R70" s="48"/>
      <c r="S70" s="48">
        <f>'2.7.'!S6</f>
        <v>2035</v>
      </c>
      <c r="T70" s="89"/>
      <c r="U70" s="48"/>
      <c r="V70" s="48"/>
      <c r="W70" s="48"/>
      <c r="X70" s="88">
        <f>'2.7.'!X6</f>
        <v>6976</v>
      </c>
      <c r="Y70" s="48"/>
      <c r="Z70" s="48"/>
      <c r="AA70" s="48">
        <f>'2.7.'!AA6</f>
        <v>465</v>
      </c>
      <c r="AB70" s="48"/>
      <c r="AC70" s="89"/>
      <c r="AD70" s="48">
        <f>'2.7.'!AD6</f>
        <v>12</v>
      </c>
      <c r="AE70" s="48">
        <f>'2.7.'!AE6</f>
        <v>1</v>
      </c>
      <c r="AF70" s="48"/>
      <c r="AG70" s="48"/>
      <c r="AH70" s="48"/>
      <c r="AI70" s="48"/>
      <c r="AJ70" s="48"/>
      <c r="AK70" s="48"/>
      <c r="AL70" s="48"/>
      <c r="AM70" s="48"/>
      <c r="AN70" s="48"/>
      <c r="AO70" s="48"/>
      <c r="AP70" s="48"/>
      <c r="AQ70" s="48"/>
      <c r="AR70" s="48"/>
      <c r="AS70" s="48">
        <f>'2.7.'!AS6</f>
        <v>49</v>
      </c>
      <c r="AT70" s="48"/>
      <c r="AU70" s="48"/>
      <c r="AV70" s="48">
        <f>'2.7.'!AV6</f>
        <v>4</v>
      </c>
      <c r="AW70" s="48">
        <f>'2.7.'!AW6</f>
        <v>5</v>
      </c>
      <c r="AX70" s="48"/>
      <c r="AY70" s="53"/>
      <c r="AZ70" s="53"/>
      <c r="BA70" s="53"/>
      <c r="BB70" s="48"/>
      <c r="BC70" s="48"/>
      <c r="BD70" s="305"/>
      <c r="BE70" s="150">
        <f t="shared" si="9"/>
        <v>71</v>
      </c>
      <c r="BG70" s="150">
        <f t="shared" si="10"/>
        <v>44007</v>
      </c>
    </row>
    <row r="71" spans="1:59" s="14" customFormat="1" ht="12" x14ac:dyDescent="0.25">
      <c r="A71" s="604"/>
      <c r="B71" s="292" t="s">
        <v>522</v>
      </c>
      <c r="C71" s="571"/>
      <c r="D71" s="574"/>
      <c r="E71" s="574"/>
      <c r="F71" s="88"/>
      <c r="G71" s="48"/>
      <c r="H71" s="48"/>
      <c r="I71" s="48"/>
      <c r="J71" s="48"/>
      <c r="K71" s="48"/>
      <c r="L71" s="48"/>
      <c r="M71" s="48"/>
      <c r="N71" s="88">
        <f>'2.7.'!N7</f>
        <v>48507</v>
      </c>
      <c r="O71" s="48">
        <f>'2.7.'!O7</f>
        <v>6191</v>
      </c>
      <c r="P71" s="48">
        <f>'2.7.'!P7</f>
        <v>8837</v>
      </c>
      <c r="Q71" s="48"/>
      <c r="R71" s="48"/>
      <c r="S71" s="48">
        <f>'2.7.'!S7</f>
        <v>926</v>
      </c>
      <c r="T71" s="89"/>
      <c r="U71" s="48"/>
      <c r="V71" s="48"/>
      <c r="W71" s="48"/>
      <c r="X71" s="88">
        <f>'2.7.'!X7</f>
        <v>26501</v>
      </c>
      <c r="Y71" s="48"/>
      <c r="Z71" s="48"/>
      <c r="AA71" s="48">
        <f>'2.7.'!AA7</f>
        <v>3221</v>
      </c>
      <c r="AB71" s="48"/>
      <c r="AC71" s="89"/>
      <c r="AD71" s="48"/>
      <c r="AE71" s="48"/>
      <c r="AF71" s="48"/>
      <c r="AG71" s="48"/>
      <c r="AH71" s="48"/>
      <c r="AI71" s="48"/>
      <c r="AJ71" s="48">
        <f>'2.7.'!AJ7</f>
        <v>1</v>
      </c>
      <c r="AK71" s="48"/>
      <c r="AL71" s="48"/>
      <c r="AM71" s="48"/>
      <c r="AN71" s="48"/>
      <c r="AO71" s="48">
        <f>'2.7.'!AO7</f>
        <v>1</v>
      </c>
      <c r="AP71" s="48"/>
      <c r="AQ71" s="48"/>
      <c r="AR71" s="48"/>
      <c r="AS71" s="48">
        <f>'2.7.'!AS7</f>
        <v>204</v>
      </c>
      <c r="AT71" s="48"/>
      <c r="AU71" s="48"/>
      <c r="AV71" s="48"/>
      <c r="AW71" s="48">
        <f>'2.7.'!AW7</f>
        <v>88</v>
      </c>
      <c r="AX71" s="48"/>
      <c r="AY71" s="53"/>
      <c r="AZ71" s="53"/>
      <c r="BA71" s="53"/>
      <c r="BB71" s="48"/>
      <c r="BC71" s="48"/>
      <c r="BD71" s="305"/>
      <c r="BE71" s="150">
        <f t="shared" si="9"/>
        <v>294</v>
      </c>
      <c r="BG71" s="150">
        <f t="shared" si="10"/>
        <v>94477</v>
      </c>
    </row>
    <row r="72" spans="1:59" s="50" customFormat="1" ht="12.6" thickBot="1" x14ac:dyDescent="0.3">
      <c r="A72" s="605"/>
      <c r="B72" s="293" t="s">
        <v>523</v>
      </c>
      <c r="C72" s="572"/>
      <c r="D72" s="575"/>
      <c r="E72" s="575"/>
      <c r="F72" s="90"/>
      <c r="G72" s="51"/>
      <c r="H72" s="51"/>
      <c r="I72" s="51"/>
      <c r="J72" s="51"/>
      <c r="K72" s="51"/>
      <c r="L72" s="51"/>
      <c r="M72" s="51"/>
      <c r="N72" s="90">
        <f>'2.7.'!N8</f>
        <v>17554</v>
      </c>
      <c r="O72" s="51">
        <f>'2.7.'!O8</f>
        <v>931</v>
      </c>
      <c r="P72" s="51">
        <f>'2.7.'!P8</f>
        <v>1248</v>
      </c>
      <c r="Q72" s="51"/>
      <c r="R72" s="51"/>
      <c r="S72" s="51">
        <f>'2.7.'!S8</f>
        <v>395</v>
      </c>
      <c r="T72" s="91"/>
      <c r="U72" s="51"/>
      <c r="V72" s="51"/>
      <c r="W72" s="51"/>
      <c r="X72" s="88">
        <f>'2.7.'!X8</f>
        <v>17386</v>
      </c>
      <c r="Y72" s="48"/>
      <c r="Z72" s="48"/>
      <c r="AA72" s="48">
        <f>'2.7.'!AA8</f>
        <v>1167</v>
      </c>
      <c r="AB72" s="48"/>
      <c r="AC72" s="89"/>
      <c r="AD72" s="48">
        <f>'2.7.'!AD8</f>
        <v>7</v>
      </c>
      <c r="AE72" s="48">
        <f>'2.7.'!AE8</f>
        <v>1</v>
      </c>
      <c r="AF72" s="48">
        <f>'2.7.'!AF8</f>
        <v>1</v>
      </c>
      <c r="AG72" s="48"/>
      <c r="AH72" s="48"/>
      <c r="AI72" s="48"/>
      <c r="AJ72" s="48">
        <f>'2.7.'!AJ8</f>
        <v>2</v>
      </c>
      <c r="AK72" s="48"/>
      <c r="AL72" s="48"/>
      <c r="AM72" s="48"/>
      <c r="AN72" s="48"/>
      <c r="AO72" s="48">
        <f>'2.7.'!AO8</f>
        <v>9</v>
      </c>
      <c r="AP72" s="48"/>
      <c r="AQ72" s="48"/>
      <c r="AR72" s="48"/>
      <c r="AS72" s="48">
        <f>'2.7.'!AS8</f>
        <v>20</v>
      </c>
      <c r="AT72" s="48"/>
      <c r="AU72" s="48"/>
      <c r="AV72" s="48">
        <f>'2.7.'!AV8</f>
        <v>76</v>
      </c>
      <c r="AW72" s="48">
        <f>'2.7.'!AW8</f>
        <v>2</v>
      </c>
      <c r="AX72" s="48"/>
      <c r="AY72" s="53"/>
      <c r="AZ72" s="53"/>
      <c r="BA72" s="53"/>
      <c r="BB72" s="48"/>
      <c r="BC72" s="48"/>
      <c r="BD72" s="305"/>
      <c r="BE72" s="154">
        <f t="shared" si="9"/>
        <v>118</v>
      </c>
      <c r="BG72" s="154">
        <f t="shared" si="10"/>
        <v>38799</v>
      </c>
    </row>
    <row r="73" spans="1:59" s="326" customFormat="1" ht="13.95" customHeight="1" x14ac:dyDescent="0.25">
      <c r="A73" s="603" t="s">
        <v>683</v>
      </c>
      <c r="B73" s="16" t="s">
        <v>524</v>
      </c>
      <c r="C73" s="606" t="s">
        <v>38</v>
      </c>
      <c r="D73" s="606">
        <v>2020</v>
      </c>
      <c r="E73" s="603" t="s">
        <v>656</v>
      </c>
      <c r="F73" s="327"/>
      <c r="G73" s="48"/>
      <c r="H73" s="48"/>
      <c r="I73" s="48"/>
      <c r="J73" s="48"/>
      <c r="K73" s="48"/>
      <c r="L73" s="48"/>
      <c r="M73" s="89"/>
      <c r="N73" s="86">
        <f>'2.8.'!N3</f>
        <v>1179815.24331315</v>
      </c>
      <c r="O73" s="47"/>
      <c r="P73" s="47"/>
      <c r="Q73" s="47"/>
      <c r="R73" s="47"/>
      <c r="S73" s="47"/>
      <c r="T73" s="89">
        <f>'2.8.'!T3</f>
        <v>53524.436714013602</v>
      </c>
      <c r="U73" s="48"/>
      <c r="V73" s="48"/>
      <c r="W73" s="48"/>
      <c r="X73" s="86"/>
      <c r="Y73" s="47"/>
      <c r="Z73" s="47"/>
      <c r="AA73" s="47">
        <f>'2.8.'!AA3</f>
        <v>13438.0500686247</v>
      </c>
      <c r="AB73" s="47"/>
      <c r="AC73" s="47"/>
      <c r="AD73" s="86"/>
      <c r="AE73" s="47"/>
      <c r="AF73" s="47"/>
      <c r="AG73" s="47"/>
      <c r="AH73" s="47"/>
      <c r="AI73" s="47"/>
      <c r="AJ73" s="47"/>
      <c r="AK73" s="47"/>
      <c r="AL73" s="47"/>
      <c r="AM73" s="47"/>
      <c r="AN73" s="144"/>
      <c r="AO73" s="144"/>
      <c r="AP73" s="144"/>
      <c r="AQ73" s="144"/>
      <c r="AR73" s="144"/>
      <c r="AS73" s="144"/>
      <c r="AT73" s="144"/>
      <c r="AU73" s="144"/>
      <c r="AV73" s="144"/>
      <c r="AW73" s="144"/>
      <c r="AX73" s="144"/>
      <c r="AY73" s="144"/>
      <c r="AZ73" s="144"/>
      <c r="BA73" s="144"/>
      <c r="BB73" s="144"/>
      <c r="BC73" s="144"/>
      <c r="BD73" s="175"/>
      <c r="BE73" s="89"/>
      <c r="BF73" s="14"/>
      <c r="BG73" s="147">
        <f>SUM(F73:BD73)</f>
        <v>1246777.7300957884</v>
      </c>
    </row>
    <row r="74" spans="1:59" s="326" customFormat="1" x14ac:dyDescent="0.25">
      <c r="A74" s="604"/>
      <c r="B74" s="16" t="s">
        <v>525</v>
      </c>
      <c r="C74" s="607"/>
      <c r="D74" s="607"/>
      <c r="E74" s="604"/>
      <c r="F74" s="88"/>
      <c r="G74" s="48"/>
      <c r="H74" s="48"/>
      <c r="I74" s="48"/>
      <c r="J74" s="48"/>
      <c r="K74" s="48"/>
      <c r="L74" s="48"/>
      <c r="M74" s="89"/>
      <c r="N74" s="88">
        <f>'2.8.'!N4</f>
        <v>359478.04879227001</v>
      </c>
      <c r="O74" s="48"/>
      <c r="P74" s="48">
        <f>'2.8.'!P4</f>
        <v>119960.833267522</v>
      </c>
      <c r="Q74" s="48"/>
      <c r="R74" s="48"/>
      <c r="S74" s="48"/>
      <c r="T74" s="89">
        <f>'2.8.'!T4</f>
        <v>31835.336936523701</v>
      </c>
      <c r="U74" s="48">
        <f>'2.8.'!U4</f>
        <v>529924.11728696094</v>
      </c>
      <c r="V74" s="48">
        <f>'2.8.'!V4</f>
        <v>99843.194248807791</v>
      </c>
      <c r="W74" s="48"/>
      <c r="X74" s="88">
        <f>'2.8.'!X4</f>
        <v>343823.82051114598</v>
      </c>
      <c r="Y74" s="48"/>
      <c r="Z74" s="48">
        <f>'2.8.'!Z4</f>
        <v>16949.441539731</v>
      </c>
      <c r="AA74" s="48">
        <f>'2.8.'!AA4</f>
        <v>20861.982477281399</v>
      </c>
      <c r="AB74" s="48"/>
      <c r="AC74" s="48">
        <f>'2.8.'!AC4</f>
        <v>61412.014429486997</v>
      </c>
      <c r="AD74" s="88"/>
      <c r="AE74" s="48"/>
      <c r="AF74" s="48"/>
      <c r="AG74" s="48"/>
      <c r="AH74" s="48"/>
      <c r="AI74" s="48"/>
      <c r="AJ74" s="48"/>
      <c r="AK74" s="48"/>
      <c r="AL74" s="48"/>
      <c r="AM74" s="48"/>
      <c r="AN74" s="53"/>
      <c r="AO74" s="53"/>
      <c r="AP74" s="53"/>
      <c r="AQ74" s="53"/>
      <c r="AR74" s="53"/>
      <c r="AS74" s="53"/>
      <c r="AT74" s="53"/>
      <c r="AU74" s="53"/>
      <c r="AV74" s="53"/>
      <c r="AW74" s="53"/>
      <c r="AX74" s="53"/>
      <c r="AY74" s="53"/>
      <c r="AZ74" s="53"/>
      <c r="BA74" s="53"/>
      <c r="BB74" s="53"/>
      <c r="BC74" s="53"/>
      <c r="BD74" s="177"/>
      <c r="BE74" s="89"/>
      <c r="BF74" s="14"/>
      <c r="BG74" s="150">
        <f t="shared" ref="BG74:BG87" si="11">SUM(F74:BD74)</f>
        <v>1584088.78948973</v>
      </c>
    </row>
    <row r="75" spans="1:59" s="326" customFormat="1" x14ac:dyDescent="0.25">
      <c r="A75" s="604"/>
      <c r="B75" s="16" t="s">
        <v>526</v>
      </c>
      <c r="C75" s="607"/>
      <c r="D75" s="607"/>
      <c r="E75" s="604"/>
      <c r="F75" s="88">
        <f>'2.8.'!F5</f>
        <v>153944.64480295699</v>
      </c>
      <c r="G75" s="48"/>
      <c r="H75" s="48"/>
      <c r="I75" s="48"/>
      <c r="J75" s="48"/>
      <c r="K75" s="48"/>
      <c r="L75" s="48"/>
      <c r="M75" s="89"/>
      <c r="N75" s="88">
        <f>'2.8.'!N5</f>
        <v>731585.02998749504</v>
      </c>
      <c r="O75" s="48"/>
      <c r="P75" s="48">
        <f>'2.8.'!P5</f>
        <v>5220.7037545012399</v>
      </c>
      <c r="Q75" s="48"/>
      <c r="R75" s="48"/>
      <c r="S75" s="48"/>
      <c r="T75" s="89">
        <f>'2.8.'!T5</f>
        <v>1564.19288820877</v>
      </c>
      <c r="U75" s="48">
        <f>'2.8.'!U5</f>
        <v>230255.68080638899</v>
      </c>
      <c r="V75" s="48">
        <f>'2.8.'!V5</f>
        <v>230465.0296411145</v>
      </c>
      <c r="W75" s="48"/>
      <c r="X75" s="88">
        <f>'2.8.'!X5</f>
        <v>32318.350764806801</v>
      </c>
      <c r="Y75" s="48"/>
      <c r="Z75" s="48">
        <f>'2.8.'!Z5</f>
        <v>52758.7275616439</v>
      </c>
      <c r="AA75" s="48"/>
      <c r="AB75" s="48"/>
      <c r="AC75" s="48"/>
      <c r="AD75" s="88"/>
      <c r="AE75" s="48"/>
      <c r="AF75" s="48"/>
      <c r="AG75" s="48"/>
      <c r="AH75" s="48"/>
      <c r="AI75" s="48"/>
      <c r="AJ75" s="48"/>
      <c r="AK75" s="48"/>
      <c r="AL75" s="48"/>
      <c r="AM75" s="48"/>
      <c r="AN75" s="53"/>
      <c r="AO75" s="53"/>
      <c r="AP75" s="53"/>
      <c r="AQ75" s="53"/>
      <c r="AR75" s="53"/>
      <c r="AS75" s="53"/>
      <c r="AT75" s="53"/>
      <c r="AU75" s="53"/>
      <c r="AV75" s="53"/>
      <c r="AW75" s="53"/>
      <c r="AX75" s="53"/>
      <c r="AY75" s="53"/>
      <c r="AZ75" s="53"/>
      <c r="BA75" s="53"/>
      <c r="BB75" s="53"/>
      <c r="BC75" s="53"/>
      <c r="BD75" s="177"/>
      <c r="BE75" s="89"/>
      <c r="BF75" s="14"/>
      <c r="BG75" s="150">
        <f t="shared" si="11"/>
        <v>1438112.360207116</v>
      </c>
    </row>
    <row r="76" spans="1:59" s="326" customFormat="1" x14ac:dyDescent="0.25">
      <c r="A76" s="604"/>
      <c r="B76" s="16" t="s">
        <v>527</v>
      </c>
      <c r="C76" s="607"/>
      <c r="D76" s="607"/>
      <c r="E76" s="604"/>
      <c r="F76" s="88"/>
      <c r="G76" s="48"/>
      <c r="H76" s="48"/>
      <c r="I76" s="48"/>
      <c r="J76" s="48"/>
      <c r="K76" s="48"/>
      <c r="L76" s="48"/>
      <c r="M76" s="89"/>
      <c r="N76" s="88">
        <f>'2.8.'!N6</f>
        <v>97607.783338606198</v>
      </c>
      <c r="O76" s="48"/>
      <c r="P76" s="48">
        <f>'2.8.'!P6</f>
        <v>77122.118575500004</v>
      </c>
      <c r="Q76" s="48"/>
      <c r="R76" s="48"/>
      <c r="S76" s="48"/>
      <c r="T76" s="89">
        <f>'2.8.'!T6</f>
        <v>15493.6796243151</v>
      </c>
      <c r="U76" s="48">
        <f>'2.8.'!U6</f>
        <v>1082233.17854237</v>
      </c>
      <c r="V76" s="48">
        <f>'2.8.'!V6</f>
        <v>138288.29369742839</v>
      </c>
      <c r="W76" s="48"/>
      <c r="X76" s="88">
        <f>'2.8.'!X6</f>
        <v>3926.09923963344</v>
      </c>
      <c r="Y76" s="48"/>
      <c r="Z76" s="48">
        <f>'2.8.'!Z6</f>
        <v>30444.440655009541</v>
      </c>
      <c r="AA76" s="48">
        <f>'2.8.'!AA6</f>
        <v>255556.89487830299</v>
      </c>
      <c r="AB76" s="48"/>
      <c r="AC76" s="48">
        <f>'2.8.'!AC6</f>
        <v>640.627269383672</v>
      </c>
      <c r="AD76" s="88"/>
      <c r="AE76" s="48"/>
      <c r="AF76" s="48"/>
      <c r="AG76" s="48"/>
      <c r="AH76" s="48"/>
      <c r="AI76" s="48"/>
      <c r="AJ76" s="48"/>
      <c r="AK76" s="48"/>
      <c r="AL76" s="48"/>
      <c r="AM76" s="48"/>
      <c r="AN76" s="53"/>
      <c r="AO76" s="53"/>
      <c r="AP76" s="53"/>
      <c r="AQ76" s="53"/>
      <c r="AR76" s="53"/>
      <c r="AS76" s="53"/>
      <c r="AT76" s="53"/>
      <c r="AU76" s="53"/>
      <c r="AV76" s="53"/>
      <c r="AW76" s="53"/>
      <c r="AX76" s="53"/>
      <c r="AY76" s="53"/>
      <c r="AZ76" s="53"/>
      <c r="BA76" s="53"/>
      <c r="BB76" s="53"/>
      <c r="BC76" s="53"/>
      <c r="BD76" s="177"/>
      <c r="BE76" s="89"/>
      <c r="BF76" s="14"/>
      <c r="BG76" s="150">
        <f t="shared" si="11"/>
        <v>1701313.1158205494</v>
      </c>
    </row>
    <row r="77" spans="1:59" s="326" customFormat="1" x14ac:dyDescent="0.25">
      <c r="A77" s="604"/>
      <c r="B77" s="16" t="s">
        <v>528</v>
      </c>
      <c r="C77" s="607"/>
      <c r="D77" s="607"/>
      <c r="E77" s="604"/>
      <c r="F77" s="88"/>
      <c r="G77" s="48"/>
      <c r="H77" s="48"/>
      <c r="I77" s="48"/>
      <c r="J77" s="48"/>
      <c r="K77" s="48"/>
      <c r="L77" s="48"/>
      <c r="M77" s="89"/>
      <c r="N77" s="88">
        <f>'2.8.'!N7</f>
        <v>154082.697862909</v>
      </c>
      <c r="O77" s="48"/>
      <c r="P77" s="48"/>
      <c r="Q77" s="48"/>
      <c r="R77" s="48"/>
      <c r="S77" s="48"/>
      <c r="T77" s="89">
        <f>'2.8.'!T7</f>
        <v>149.059396210611</v>
      </c>
      <c r="U77" s="48">
        <f>'2.8.'!U7</f>
        <v>34283.661128440603</v>
      </c>
      <c r="V77" s="48">
        <f>'2.8.'!V7</f>
        <v>7136.2185935830203</v>
      </c>
      <c r="W77" s="48"/>
      <c r="X77" s="88">
        <f>'2.8.'!X7</f>
        <v>170065.591621592</v>
      </c>
      <c r="Y77" s="48"/>
      <c r="Z77" s="48">
        <f>'2.8.'!Z7</f>
        <v>170065.591621592</v>
      </c>
      <c r="AA77" s="48"/>
      <c r="AB77" s="48"/>
      <c r="AC77" s="48">
        <f>'2.8.'!AC7</f>
        <v>78235.687343591897</v>
      </c>
      <c r="AD77" s="88"/>
      <c r="AE77" s="48"/>
      <c r="AF77" s="48"/>
      <c r="AG77" s="48"/>
      <c r="AH77" s="48"/>
      <c r="AI77" s="48"/>
      <c r="AJ77" s="48"/>
      <c r="AK77" s="48"/>
      <c r="AL77" s="48"/>
      <c r="AM77" s="48"/>
      <c r="AN77" s="53"/>
      <c r="AO77" s="53"/>
      <c r="AP77" s="53"/>
      <c r="AQ77" s="53"/>
      <c r="AR77" s="53"/>
      <c r="AS77" s="53"/>
      <c r="AT77" s="53"/>
      <c r="AU77" s="53"/>
      <c r="AV77" s="53"/>
      <c r="AW77" s="53"/>
      <c r="AX77" s="53"/>
      <c r="AY77" s="53"/>
      <c r="AZ77" s="53"/>
      <c r="BA77" s="53"/>
      <c r="BB77" s="53"/>
      <c r="BC77" s="53"/>
      <c r="BD77" s="177"/>
      <c r="BE77" s="89"/>
      <c r="BF77" s="14"/>
      <c r="BG77" s="150">
        <f t="shared" si="11"/>
        <v>614018.50756791921</v>
      </c>
    </row>
    <row r="78" spans="1:59" s="326" customFormat="1" x14ac:dyDescent="0.25">
      <c r="A78" s="604"/>
      <c r="B78" s="16" t="s">
        <v>529</v>
      </c>
      <c r="C78" s="607"/>
      <c r="D78" s="607"/>
      <c r="E78" s="604"/>
      <c r="F78" s="88"/>
      <c r="G78" s="48"/>
      <c r="H78" s="48"/>
      <c r="I78" s="48"/>
      <c r="J78" s="48"/>
      <c r="K78" s="48"/>
      <c r="L78" s="48"/>
      <c r="M78" s="89"/>
      <c r="N78" s="88"/>
      <c r="O78" s="48"/>
      <c r="P78" s="48">
        <f>'2.8.'!P8</f>
        <v>23300.5696839706</v>
      </c>
      <c r="Q78" s="48"/>
      <c r="R78" s="48"/>
      <c r="S78" s="48"/>
      <c r="T78" s="89"/>
      <c r="U78" s="48"/>
      <c r="V78" s="48"/>
      <c r="W78" s="48"/>
      <c r="X78" s="88"/>
      <c r="Y78" s="48"/>
      <c r="Z78" s="48">
        <f>'2.8.'!Z8</f>
        <v>2385321.0499999998</v>
      </c>
      <c r="AA78" s="48"/>
      <c r="AB78" s="48"/>
      <c r="AC78" s="48"/>
      <c r="AD78" s="88"/>
      <c r="AE78" s="48"/>
      <c r="AF78" s="48"/>
      <c r="AG78" s="48"/>
      <c r="AH78" s="48"/>
      <c r="AI78" s="48"/>
      <c r="AJ78" s="48"/>
      <c r="AK78" s="48"/>
      <c r="AL78" s="48"/>
      <c r="AM78" s="48"/>
      <c r="AN78" s="53"/>
      <c r="AO78" s="53"/>
      <c r="AP78" s="53"/>
      <c r="AQ78" s="53"/>
      <c r="AR78" s="53"/>
      <c r="AS78" s="53"/>
      <c r="AT78" s="53"/>
      <c r="AU78" s="53"/>
      <c r="AV78" s="53"/>
      <c r="AW78" s="53"/>
      <c r="AX78" s="53"/>
      <c r="AY78" s="53"/>
      <c r="AZ78" s="53"/>
      <c r="BA78" s="53"/>
      <c r="BB78" s="53"/>
      <c r="BC78" s="53"/>
      <c r="BD78" s="177"/>
      <c r="BE78" s="89"/>
      <c r="BF78" s="14"/>
      <c r="BG78" s="150">
        <f t="shared" si="11"/>
        <v>2408621.6196839702</v>
      </c>
    </row>
    <row r="79" spans="1:59" s="326" customFormat="1" x14ac:dyDescent="0.25">
      <c r="A79" s="604"/>
      <c r="B79" s="16" t="s">
        <v>530</v>
      </c>
      <c r="C79" s="607"/>
      <c r="D79" s="607"/>
      <c r="E79" s="604"/>
      <c r="F79" s="88"/>
      <c r="G79" s="48"/>
      <c r="H79" s="48"/>
      <c r="I79" s="48"/>
      <c r="J79" s="48"/>
      <c r="K79" s="48"/>
      <c r="L79" s="48"/>
      <c r="M79" s="89"/>
      <c r="N79" s="88">
        <f>'2.8.'!N9</f>
        <v>303409.19001975103</v>
      </c>
      <c r="O79" s="48"/>
      <c r="P79" s="48"/>
      <c r="Q79" s="48"/>
      <c r="R79" s="48"/>
      <c r="S79" s="48"/>
      <c r="T79" s="89"/>
      <c r="U79" s="48"/>
      <c r="V79" s="48">
        <f>'2.8.'!V9</f>
        <v>2898828.1571738184</v>
      </c>
      <c r="W79" s="48"/>
      <c r="X79" s="88">
        <f>'2.8.'!X9</f>
        <v>87137.329228937597</v>
      </c>
      <c r="Y79" s="48"/>
      <c r="Z79" s="48">
        <f>'2.8.'!Z9</f>
        <v>87137.329228937597</v>
      </c>
      <c r="AA79" s="48"/>
      <c r="AB79" s="48"/>
      <c r="AC79" s="48">
        <f>'2.8.'!AC9</f>
        <v>20444.266575249701</v>
      </c>
      <c r="AD79" s="88"/>
      <c r="AE79" s="48"/>
      <c r="AF79" s="48"/>
      <c r="AG79" s="48"/>
      <c r="AH79" s="48"/>
      <c r="AI79" s="48"/>
      <c r="AJ79" s="48"/>
      <c r="AK79" s="48"/>
      <c r="AL79" s="48"/>
      <c r="AM79" s="48"/>
      <c r="AN79" s="53"/>
      <c r="AO79" s="53"/>
      <c r="AP79" s="53"/>
      <c r="AQ79" s="53"/>
      <c r="AR79" s="53"/>
      <c r="AS79" s="53"/>
      <c r="AT79" s="53"/>
      <c r="AU79" s="53"/>
      <c r="AV79" s="53"/>
      <c r="AW79" s="53"/>
      <c r="AX79" s="53"/>
      <c r="AY79" s="53"/>
      <c r="AZ79" s="53"/>
      <c r="BA79" s="53"/>
      <c r="BB79" s="53"/>
      <c r="BC79" s="53"/>
      <c r="BD79" s="177"/>
      <c r="BE79" s="89"/>
      <c r="BF79" s="14"/>
      <c r="BG79" s="150">
        <f t="shared" si="11"/>
        <v>3396956.2722266945</v>
      </c>
    </row>
    <row r="80" spans="1:59" s="326" customFormat="1" x14ac:dyDescent="0.25">
      <c r="A80" s="604"/>
      <c r="B80" s="16" t="s">
        <v>531</v>
      </c>
      <c r="C80" s="607"/>
      <c r="D80" s="607"/>
      <c r="E80" s="604"/>
      <c r="F80" s="88"/>
      <c r="G80" s="48"/>
      <c r="H80" s="48"/>
      <c r="I80" s="48"/>
      <c r="J80" s="48"/>
      <c r="K80" s="48"/>
      <c r="L80" s="48"/>
      <c r="M80" s="89"/>
      <c r="N80" s="88"/>
      <c r="O80" s="48"/>
      <c r="P80" s="48"/>
      <c r="Q80" s="48"/>
      <c r="R80" s="48"/>
      <c r="S80" s="48"/>
      <c r="T80" s="89"/>
      <c r="U80" s="48"/>
      <c r="V80" s="48"/>
      <c r="W80" s="48"/>
      <c r="X80" s="88">
        <f>'2.8.'!X10</f>
        <v>46.924823665139598</v>
      </c>
      <c r="Y80" s="48"/>
      <c r="Z80" s="48">
        <f>'2.8.'!Z10</f>
        <v>46.924823665139598</v>
      </c>
      <c r="AA80" s="48"/>
      <c r="AB80" s="48"/>
      <c r="AC80" s="48"/>
      <c r="AD80" s="88"/>
      <c r="AE80" s="48"/>
      <c r="AF80" s="48"/>
      <c r="AG80" s="48"/>
      <c r="AH80" s="48"/>
      <c r="AI80" s="48"/>
      <c r="AJ80" s="48"/>
      <c r="AK80" s="48"/>
      <c r="AL80" s="48"/>
      <c r="AM80" s="48"/>
      <c r="AN80" s="53"/>
      <c r="AO80" s="53"/>
      <c r="AP80" s="53"/>
      <c r="AQ80" s="53"/>
      <c r="AR80" s="53"/>
      <c r="AS80" s="53"/>
      <c r="AT80" s="53"/>
      <c r="AU80" s="53"/>
      <c r="AV80" s="53"/>
      <c r="AW80" s="53"/>
      <c r="AX80" s="53"/>
      <c r="AY80" s="53"/>
      <c r="AZ80" s="53"/>
      <c r="BA80" s="53"/>
      <c r="BB80" s="53"/>
      <c r="BC80" s="53"/>
      <c r="BD80" s="177">
        <f>'2.8.'!BD10</f>
        <v>18486.425323078998</v>
      </c>
      <c r="BE80" s="89">
        <f t="shared" ref="BE80:BE85" si="12">SUM(AD80:BD80)</f>
        <v>18486.425323078998</v>
      </c>
      <c r="BF80" s="14"/>
      <c r="BG80" s="150">
        <f t="shared" si="11"/>
        <v>18580.274970409278</v>
      </c>
    </row>
    <row r="81" spans="1:81" s="326" customFormat="1" x14ac:dyDescent="0.25">
      <c r="A81" s="604"/>
      <c r="B81" s="16" t="s">
        <v>532</v>
      </c>
      <c r="C81" s="607"/>
      <c r="D81" s="607"/>
      <c r="E81" s="604"/>
      <c r="F81" s="88"/>
      <c r="G81" s="48"/>
      <c r="H81" s="48"/>
      <c r="I81" s="48"/>
      <c r="J81" s="48"/>
      <c r="K81" s="48"/>
      <c r="L81" s="48"/>
      <c r="M81" s="89"/>
      <c r="N81" s="88">
        <f>'2.8.'!N11</f>
        <v>38857.415338369901</v>
      </c>
      <c r="O81" s="48"/>
      <c r="P81" s="48"/>
      <c r="Q81" s="48"/>
      <c r="R81" s="48"/>
      <c r="S81" s="48"/>
      <c r="T81" s="89">
        <f>'2.8.'!T11</f>
        <v>4931.4869953077196</v>
      </c>
      <c r="U81" s="48"/>
      <c r="V81" s="48"/>
      <c r="W81" s="48"/>
      <c r="X81" s="88">
        <f>'2.8.'!X11</f>
        <v>59785.835491059399</v>
      </c>
      <c r="Y81" s="48"/>
      <c r="Z81" s="48">
        <f>'2.8.'!Z11</f>
        <v>59785.835491059399</v>
      </c>
      <c r="AA81" s="48"/>
      <c r="AB81" s="48"/>
      <c r="AC81" s="48"/>
      <c r="AD81" s="88"/>
      <c r="AE81" s="48"/>
      <c r="AF81" s="48"/>
      <c r="AG81" s="48"/>
      <c r="AH81" s="48"/>
      <c r="AI81" s="48"/>
      <c r="AJ81" s="48"/>
      <c r="AK81" s="48"/>
      <c r="AL81" s="48"/>
      <c r="AM81" s="48"/>
      <c r="AN81" s="53"/>
      <c r="AO81" s="53"/>
      <c r="AP81" s="53"/>
      <c r="AQ81" s="53"/>
      <c r="AR81" s="53"/>
      <c r="AS81" s="53"/>
      <c r="AT81" s="53"/>
      <c r="AU81" s="53"/>
      <c r="AV81" s="53"/>
      <c r="AW81" s="53"/>
      <c r="AX81" s="53"/>
      <c r="AY81" s="53"/>
      <c r="AZ81" s="53"/>
      <c r="BA81" s="53"/>
      <c r="BB81" s="53"/>
      <c r="BC81" s="53"/>
      <c r="BD81" s="177"/>
      <c r="BE81" s="89"/>
      <c r="BF81" s="14"/>
      <c r="BG81" s="150">
        <f t="shared" si="11"/>
        <v>163360.57331579641</v>
      </c>
      <c r="BH81" s="228"/>
      <c r="BI81" s="228"/>
      <c r="BJ81" s="228"/>
      <c r="BK81" s="228"/>
      <c r="BL81" s="228"/>
      <c r="BM81" s="228"/>
      <c r="BN81" s="228"/>
      <c r="BO81" s="228"/>
      <c r="BP81" s="228"/>
      <c r="BQ81" s="228"/>
      <c r="BR81" s="228"/>
      <c r="BS81" s="228"/>
      <c r="BT81" s="228"/>
      <c r="BU81" s="228"/>
      <c r="BV81" s="228"/>
      <c r="BW81" s="228"/>
      <c r="BX81" s="228"/>
      <c r="BY81" s="228"/>
      <c r="BZ81" s="228"/>
      <c r="CA81" s="228"/>
      <c r="CB81" s="228"/>
    </row>
    <row r="82" spans="1:81" s="326" customFormat="1" x14ac:dyDescent="0.25">
      <c r="A82" s="604"/>
      <c r="B82" s="16" t="s">
        <v>533</v>
      </c>
      <c r="C82" s="607"/>
      <c r="D82" s="607"/>
      <c r="E82" s="604"/>
      <c r="F82" s="88"/>
      <c r="G82" s="48"/>
      <c r="H82" s="48"/>
      <c r="I82" s="48"/>
      <c r="J82" s="48"/>
      <c r="K82" s="48"/>
      <c r="L82" s="48"/>
      <c r="M82" s="89"/>
      <c r="N82" s="88">
        <f>'2.8.'!N12</f>
        <v>1.3159202900673699E-4</v>
      </c>
      <c r="O82" s="48"/>
      <c r="P82" s="48"/>
      <c r="Q82" s="48"/>
      <c r="R82" s="48"/>
      <c r="S82" s="48"/>
      <c r="T82" s="89">
        <f>'2.8.'!T12</f>
        <v>118431.609822817</v>
      </c>
      <c r="U82" s="48">
        <f>'2.8.'!U12</f>
        <v>4.38436834364431E-5</v>
      </c>
      <c r="V82" s="48">
        <f>'2.8.'!V12</f>
        <v>177647.414602604</v>
      </c>
      <c r="W82" s="48"/>
      <c r="X82" s="88">
        <f>'2.8.'!X12</f>
        <v>296090.69079206901</v>
      </c>
      <c r="Y82" s="48"/>
      <c r="Z82" s="48">
        <f>'2.8.'!Z12</f>
        <v>473743.02539467299</v>
      </c>
      <c r="AA82" s="48"/>
      <c r="AB82" s="48"/>
      <c r="AC82" s="48"/>
      <c r="AD82" s="88"/>
      <c r="AE82" s="48"/>
      <c r="AF82" s="48"/>
      <c r="AG82" s="48"/>
      <c r="AH82" s="48"/>
      <c r="AI82" s="48"/>
      <c r="AJ82" s="48"/>
      <c r="AK82" s="48"/>
      <c r="AL82" s="48"/>
      <c r="AM82" s="48"/>
      <c r="AN82" s="53"/>
      <c r="AO82" s="53"/>
      <c r="AP82" s="53"/>
      <c r="AQ82" s="53"/>
      <c r="AR82" s="53"/>
      <c r="AS82" s="53"/>
      <c r="AT82" s="53"/>
      <c r="AU82" s="53"/>
      <c r="AV82" s="53"/>
      <c r="AW82" s="53"/>
      <c r="AX82" s="53"/>
      <c r="AY82" s="53"/>
      <c r="AZ82" s="53"/>
      <c r="BA82" s="53"/>
      <c r="BB82" s="53"/>
      <c r="BC82" s="53"/>
      <c r="BD82" s="177"/>
      <c r="BE82" s="89"/>
      <c r="BF82" s="14"/>
      <c r="BG82" s="150">
        <f t="shared" si="11"/>
        <v>1065912.7407875988</v>
      </c>
      <c r="BH82" s="228"/>
      <c r="BI82" s="228"/>
      <c r="BJ82" s="228"/>
      <c r="BK82" s="228"/>
      <c r="BL82" s="228"/>
      <c r="BM82" s="228"/>
      <c r="BN82" s="228"/>
      <c r="BO82" s="228"/>
      <c r="BP82" s="228"/>
      <c r="BQ82" s="228"/>
      <c r="BR82" s="228"/>
      <c r="BS82" s="228"/>
      <c r="BT82" s="228"/>
      <c r="BU82" s="228"/>
      <c r="BV82" s="228"/>
      <c r="BW82" s="228"/>
      <c r="BX82" s="228"/>
      <c r="BY82" s="228"/>
      <c r="BZ82" s="228"/>
      <c r="CA82" s="228"/>
      <c r="CB82" s="228"/>
    </row>
    <row r="83" spans="1:81" s="326" customFormat="1" x14ac:dyDescent="0.25">
      <c r="A83" s="604"/>
      <c r="B83" s="16" t="s">
        <v>534</v>
      </c>
      <c r="C83" s="607"/>
      <c r="D83" s="607"/>
      <c r="E83" s="604"/>
      <c r="F83" s="88"/>
      <c r="G83" s="48"/>
      <c r="H83" s="48"/>
      <c r="I83" s="48"/>
      <c r="J83" s="48"/>
      <c r="K83" s="48"/>
      <c r="L83" s="48"/>
      <c r="M83" s="89"/>
      <c r="N83" s="88"/>
      <c r="O83" s="48"/>
      <c r="P83" s="48"/>
      <c r="Q83" s="48"/>
      <c r="R83" s="48"/>
      <c r="S83" s="48"/>
      <c r="T83" s="89">
        <f>'2.8.'!T13</f>
        <v>318.384201988543</v>
      </c>
      <c r="U83" s="48">
        <f>'2.8.'!U13</f>
        <v>18177.277767981101</v>
      </c>
      <c r="V83" s="48"/>
      <c r="W83" s="48"/>
      <c r="X83" s="88">
        <f>'2.8.'!X13</f>
        <v>52192.426719801202</v>
      </c>
      <c r="Y83" s="48"/>
      <c r="Z83" s="48">
        <f>'2.8.'!Z13</f>
        <v>343242.70671980124</v>
      </c>
      <c r="AA83" s="48"/>
      <c r="AB83" s="48"/>
      <c r="AC83" s="48"/>
      <c r="AD83" s="88"/>
      <c r="AE83" s="48"/>
      <c r="AF83" s="48"/>
      <c r="AG83" s="48"/>
      <c r="AH83" s="48"/>
      <c r="AI83" s="48"/>
      <c r="AJ83" s="48"/>
      <c r="AK83" s="48"/>
      <c r="AL83" s="48"/>
      <c r="AM83" s="48"/>
      <c r="AN83" s="53"/>
      <c r="AO83" s="53"/>
      <c r="AP83" s="53"/>
      <c r="AQ83" s="53"/>
      <c r="AR83" s="53"/>
      <c r="AS83" s="53"/>
      <c r="AT83" s="53"/>
      <c r="AU83" s="53"/>
      <c r="AV83" s="53"/>
      <c r="AW83" s="53"/>
      <c r="AX83" s="53"/>
      <c r="AY83" s="53"/>
      <c r="AZ83" s="53"/>
      <c r="BA83" s="53"/>
      <c r="BB83" s="53"/>
      <c r="BC83" s="53"/>
      <c r="BD83" s="177"/>
      <c r="BE83" s="89"/>
      <c r="BF83" s="14"/>
      <c r="BG83" s="150">
        <f t="shared" si="11"/>
        <v>413930.79540957208</v>
      </c>
      <c r="BH83" s="228"/>
      <c r="BI83" s="228"/>
      <c r="BJ83" s="228"/>
      <c r="BK83" s="228"/>
      <c r="BL83" s="228"/>
      <c r="BM83" s="228"/>
      <c r="BN83" s="228"/>
      <c r="BO83" s="228"/>
      <c r="BP83" s="228"/>
      <c r="BQ83" s="228"/>
      <c r="BR83" s="228"/>
      <c r="BS83" s="228"/>
      <c r="BT83" s="228"/>
      <c r="BU83" s="228"/>
      <c r="BV83" s="228"/>
      <c r="BW83" s="228"/>
      <c r="BX83" s="228"/>
      <c r="BY83" s="228"/>
      <c r="BZ83" s="228"/>
      <c r="CA83" s="228"/>
      <c r="CB83" s="228"/>
    </row>
    <row r="84" spans="1:81" s="326" customFormat="1" x14ac:dyDescent="0.25">
      <c r="A84" s="604"/>
      <c r="B84" s="16" t="s">
        <v>535</v>
      </c>
      <c r="C84" s="607"/>
      <c r="D84" s="607"/>
      <c r="E84" s="604"/>
      <c r="F84" s="88"/>
      <c r="G84" s="48"/>
      <c r="H84" s="48"/>
      <c r="I84" s="48"/>
      <c r="J84" s="48"/>
      <c r="K84" s="48"/>
      <c r="L84" s="48"/>
      <c r="M84" s="89"/>
      <c r="N84" s="88">
        <f>'2.8.'!N14</f>
        <v>1098.5819258179199</v>
      </c>
      <c r="O84" s="48"/>
      <c r="P84" s="48">
        <f>'2.8.'!P14</f>
        <v>47.022435409919098</v>
      </c>
      <c r="Q84" s="48"/>
      <c r="R84" s="48"/>
      <c r="S84" s="48"/>
      <c r="T84" s="89"/>
      <c r="U84" s="48"/>
      <c r="V84" s="48"/>
      <c r="W84" s="48"/>
      <c r="X84" s="88"/>
      <c r="Y84" s="48"/>
      <c r="Z84" s="48">
        <f>'2.8.'!Z14</f>
        <v>800.66</v>
      </c>
      <c r="AA84" s="48"/>
      <c r="AB84" s="48"/>
      <c r="AC84" s="48"/>
      <c r="AD84" s="88"/>
      <c r="AE84" s="48"/>
      <c r="AF84" s="48"/>
      <c r="AG84" s="48"/>
      <c r="AH84" s="48"/>
      <c r="AI84" s="48"/>
      <c r="AJ84" s="48"/>
      <c r="AK84" s="48"/>
      <c r="AL84" s="48"/>
      <c r="AM84" s="48"/>
      <c r="AN84" s="53"/>
      <c r="AO84" s="53"/>
      <c r="AP84" s="53"/>
      <c r="AQ84" s="53"/>
      <c r="AR84" s="48">
        <f>'2.8.'!AR14</f>
        <v>1.55036141089344</v>
      </c>
      <c r="AS84" s="53"/>
      <c r="AT84" s="53"/>
      <c r="AU84" s="53"/>
      <c r="AV84" s="53"/>
      <c r="AW84" s="53"/>
      <c r="AX84" s="53"/>
      <c r="AY84" s="53"/>
      <c r="AZ84" s="53"/>
      <c r="BA84" s="53"/>
      <c r="BB84" s="53"/>
      <c r="BC84" s="53"/>
      <c r="BD84" s="177"/>
      <c r="BE84" s="89">
        <f t="shared" si="12"/>
        <v>1.55036141089344</v>
      </c>
      <c r="BF84" s="14"/>
      <c r="BG84" s="150">
        <f t="shared" si="11"/>
        <v>1947.8147226387323</v>
      </c>
      <c r="BH84" s="228"/>
      <c r="BI84" s="228"/>
      <c r="BJ84" s="228"/>
      <c r="BK84" s="228"/>
      <c r="BL84" s="228"/>
      <c r="BM84" s="228"/>
      <c r="BN84" s="228"/>
      <c r="BO84" s="228"/>
      <c r="BP84" s="228"/>
      <c r="BQ84" s="228"/>
      <c r="BR84" s="228"/>
      <c r="BS84" s="228"/>
      <c r="BT84" s="228"/>
      <c r="BU84" s="228"/>
      <c r="BV84" s="228"/>
      <c r="BW84" s="228"/>
      <c r="BX84" s="228"/>
      <c r="BY84" s="228"/>
      <c r="BZ84" s="228"/>
      <c r="CA84" s="228"/>
      <c r="CB84" s="228"/>
    </row>
    <row r="85" spans="1:81" s="326" customFormat="1" x14ac:dyDescent="0.25">
      <c r="A85" s="604"/>
      <c r="B85" s="16" t="s">
        <v>536</v>
      </c>
      <c r="C85" s="607"/>
      <c r="D85" s="607"/>
      <c r="E85" s="604"/>
      <c r="F85" s="88"/>
      <c r="G85" s="48"/>
      <c r="H85" s="48"/>
      <c r="I85" s="48"/>
      <c r="J85" s="48"/>
      <c r="K85" s="48"/>
      <c r="L85" s="48"/>
      <c r="M85" s="89"/>
      <c r="N85" s="88">
        <f>'2.8.'!N15</f>
        <v>56070.297361928198</v>
      </c>
      <c r="O85" s="48"/>
      <c r="P85" s="48">
        <f>'2.8.'!P15</f>
        <v>2686.1997234404098</v>
      </c>
      <c r="Q85" s="48"/>
      <c r="R85" s="48"/>
      <c r="S85" s="48"/>
      <c r="T85" s="89"/>
      <c r="U85" s="48"/>
      <c r="V85" s="48"/>
      <c r="W85" s="48"/>
      <c r="X85" s="88"/>
      <c r="Y85" s="48"/>
      <c r="Z85" s="48">
        <f>'2.8.'!Z15</f>
        <v>46841.84</v>
      </c>
      <c r="AA85" s="48"/>
      <c r="AB85" s="48"/>
      <c r="AC85" s="48"/>
      <c r="AD85" s="88">
        <f>'2.8.'!AD15</f>
        <v>8.8032534336909697E-6</v>
      </c>
      <c r="AE85" s="48"/>
      <c r="AF85" s="48"/>
      <c r="AG85" s="48">
        <f>'2.8.'!AG15</f>
        <v>153.610960017385</v>
      </c>
      <c r="AH85" s="48"/>
      <c r="AI85" s="48"/>
      <c r="AJ85" s="48"/>
      <c r="AK85" s="48"/>
      <c r="AL85" s="48"/>
      <c r="AM85" s="48"/>
      <c r="AN85" s="48">
        <f>'2.8.'!AN15</f>
        <v>1.4663684198865899E-3</v>
      </c>
      <c r="AO85" s="48">
        <f>'2.8.'!AO15</f>
        <v>2646.2805091661899</v>
      </c>
      <c r="AP85" s="48"/>
      <c r="AQ85" s="48"/>
      <c r="AR85" s="48">
        <f>'2.8.'!AR15</f>
        <v>388.76359686148299</v>
      </c>
      <c r="AS85" s="53"/>
      <c r="AT85" s="53"/>
      <c r="AU85" s="53"/>
      <c r="AV85" s="53"/>
      <c r="AW85" s="53">
        <f>'2.8.'!AW15</f>
        <v>9.22714728044118</v>
      </c>
      <c r="AX85" s="53"/>
      <c r="AY85" s="53"/>
      <c r="AZ85" s="53"/>
      <c r="BA85" s="53"/>
      <c r="BB85" s="53">
        <f>'2.8.'!BB15</f>
        <v>5.8341505079755702E-4</v>
      </c>
      <c r="BC85" s="53"/>
      <c r="BD85" s="177"/>
      <c r="BE85" s="89">
        <f t="shared" si="12"/>
        <v>3197.8842719122235</v>
      </c>
      <c r="BF85" s="14"/>
      <c r="BG85" s="150">
        <f t="shared" si="11"/>
        <v>108796.22135728083</v>
      </c>
      <c r="BH85" s="228"/>
      <c r="BI85" s="228"/>
      <c r="BJ85" s="228"/>
      <c r="BK85" s="228"/>
      <c r="BL85" s="228"/>
      <c r="BM85" s="228"/>
      <c r="BN85" s="228"/>
      <c r="BO85" s="228"/>
      <c r="BP85" s="228"/>
      <c r="BQ85" s="228"/>
      <c r="BR85" s="228"/>
      <c r="BS85" s="228"/>
      <c r="BT85" s="228"/>
      <c r="BU85" s="228"/>
      <c r="BV85" s="228"/>
      <c r="BW85" s="228"/>
      <c r="BX85" s="228"/>
      <c r="BY85" s="228"/>
      <c r="BZ85" s="228"/>
      <c r="CA85" s="228"/>
      <c r="CB85" s="228"/>
    </row>
    <row r="86" spans="1:81" s="326" customFormat="1" x14ac:dyDescent="0.25">
      <c r="A86" s="604"/>
      <c r="B86" s="16" t="s">
        <v>537</v>
      </c>
      <c r="C86" s="607"/>
      <c r="D86" s="607"/>
      <c r="E86" s="604"/>
      <c r="F86" s="88"/>
      <c r="G86" s="48"/>
      <c r="H86" s="48"/>
      <c r="I86" s="48"/>
      <c r="J86" s="48"/>
      <c r="K86" s="48"/>
      <c r="L86" s="48"/>
      <c r="M86" s="89"/>
      <c r="N86" s="88">
        <f>'2.8.'!N16</f>
        <v>2935.9684327004002</v>
      </c>
      <c r="O86" s="48"/>
      <c r="P86" s="48"/>
      <c r="Q86" s="48"/>
      <c r="R86" s="48"/>
      <c r="S86" s="48"/>
      <c r="T86" s="89"/>
      <c r="U86" s="48"/>
      <c r="V86" s="48">
        <f>'2.8.'!V16</f>
        <v>5137.9447572257004</v>
      </c>
      <c r="W86" s="48"/>
      <c r="X86" s="88">
        <f>'2.8.'!X16</f>
        <v>2935.9684327004002</v>
      </c>
      <c r="Y86" s="48"/>
      <c r="Z86" s="48">
        <f>'2.8.'!Z16</f>
        <v>6607.1084327004</v>
      </c>
      <c r="AA86" s="48"/>
      <c r="AB86" s="48"/>
      <c r="AC86" s="48"/>
      <c r="AD86" s="88"/>
      <c r="AE86" s="48"/>
      <c r="AF86" s="48"/>
      <c r="AG86" s="48"/>
      <c r="AH86" s="48"/>
      <c r="AI86" s="48"/>
      <c r="AJ86" s="48"/>
      <c r="AK86" s="48"/>
      <c r="AL86" s="48"/>
      <c r="AM86" s="48"/>
      <c r="AN86" s="53"/>
      <c r="AO86" s="53"/>
      <c r="AP86" s="53"/>
      <c r="AQ86" s="53"/>
      <c r="AR86" s="53"/>
      <c r="AS86" s="53"/>
      <c r="AT86" s="53"/>
      <c r="AU86" s="53"/>
      <c r="AV86" s="53"/>
      <c r="AW86" s="53"/>
      <c r="AX86" s="53"/>
      <c r="AY86" s="53"/>
      <c r="AZ86" s="53"/>
      <c r="BA86" s="53"/>
      <c r="BB86" s="53"/>
      <c r="BC86" s="53"/>
      <c r="BD86" s="177"/>
      <c r="BE86" s="89"/>
      <c r="BF86" s="14"/>
      <c r="BG86" s="150">
        <f t="shared" si="11"/>
        <v>17616.9900553269</v>
      </c>
      <c r="BH86" s="228"/>
      <c r="BI86" s="228"/>
      <c r="BJ86" s="228"/>
      <c r="BK86" s="228"/>
      <c r="BL86" s="228"/>
      <c r="BM86" s="228"/>
      <c r="BN86" s="228"/>
      <c r="BO86" s="228"/>
      <c r="BP86" s="228"/>
      <c r="BQ86" s="228"/>
      <c r="BR86" s="228"/>
      <c r="BS86" s="228"/>
      <c r="BT86" s="228"/>
      <c r="BU86" s="228"/>
      <c r="BV86" s="228"/>
      <c r="BW86" s="228"/>
      <c r="BX86" s="228"/>
      <c r="BY86" s="228"/>
      <c r="BZ86" s="228"/>
      <c r="CA86" s="228"/>
      <c r="CB86" s="228"/>
    </row>
    <row r="87" spans="1:81" s="326" customFormat="1" ht="15" thickBot="1" x14ac:dyDescent="0.3">
      <c r="A87" s="605"/>
      <c r="B87" s="80" t="s">
        <v>85</v>
      </c>
      <c r="C87" s="608"/>
      <c r="D87" s="608"/>
      <c r="E87" s="605"/>
      <c r="F87" s="90"/>
      <c r="G87" s="51"/>
      <c r="H87" s="51"/>
      <c r="I87" s="51"/>
      <c r="J87" s="51"/>
      <c r="K87" s="51"/>
      <c r="L87" s="51"/>
      <c r="M87" s="91"/>
      <c r="N87" s="90">
        <f>'2.8.'!N17</f>
        <v>46533.8536932887</v>
      </c>
      <c r="O87" s="51"/>
      <c r="P87" s="51"/>
      <c r="Q87" s="51"/>
      <c r="R87" s="51"/>
      <c r="S87" s="51"/>
      <c r="T87" s="91"/>
      <c r="U87" s="51"/>
      <c r="V87" s="51"/>
      <c r="W87" s="51"/>
      <c r="X87" s="90">
        <f>'2.8.'!X17</f>
        <v>7084.7389706045096</v>
      </c>
      <c r="Y87" s="51"/>
      <c r="Z87" s="51">
        <f>'2.8.'!Z17</f>
        <v>12881.343582917289</v>
      </c>
      <c r="AA87" s="51"/>
      <c r="AB87" s="51"/>
      <c r="AC87" s="51"/>
      <c r="AD87" s="90"/>
      <c r="AE87" s="51"/>
      <c r="AF87" s="51"/>
      <c r="AG87" s="51"/>
      <c r="AH87" s="51"/>
      <c r="AI87" s="51"/>
      <c r="AJ87" s="51"/>
      <c r="AK87" s="51"/>
      <c r="AL87" s="51"/>
      <c r="AM87" s="51"/>
      <c r="AN87" s="151"/>
      <c r="AO87" s="151"/>
      <c r="AP87" s="151"/>
      <c r="AQ87" s="151"/>
      <c r="AR87" s="151"/>
      <c r="AS87" s="151"/>
      <c r="AT87" s="151"/>
      <c r="AU87" s="151"/>
      <c r="AV87" s="151"/>
      <c r="AW87" s="151"/>
      <c r="AX87" s="151"/>
      <c r="AY87" s="151"/>
      <c r="AZ87" s="151"/>
      <c r="BA87" s="151"/>
      <c r="BB87" s="151"/>
      <c r="BC87" s="151"/>
      <c r="BD87" s="179"/>
      <c r="BE87" s="91"/>
      <c r="BF87" s="50"/>
      <c r="BG87" s="154">
        <f t="shared" si="11"/>
        <v>66499.936246810496</v>
      </c>
      <c r="BH87" s="228"/>
      <c r="BI87" s="228"/>
      <c r="BJ87" s="228"/>
      <c r="BK87" s="228"/>
      <c r="BL87" s="228"/>
      <c r="BM87" s="228"/>
      <c r="BN87" s="228"/>
      <c r="BO87" s="228"/>
      <c r="BP87" s="228"/>
      <c r="BQ87" s="228"/>
      <c r="BR87" s="228"/>
      <c r="BS87" s="228"/>
      <c r="BT87" s="228"/>
      <c r="BU87" s="228"/>
      <c r="BV87" s="228"/>
      <c r="BW87" s="228"/>
      <c r="BX87" s="228"/>
      <c r="BY87" s="228"/>
      <c r="BZ87" s="228"/>
      <c r="CA87" s="228"/>
      <c r="CB87" s="228"/>
    </row>
    <row r="88" spans="1:81" s="19" customFormat="1" ht="15" thickBot="1" x14ac:dyDescent="0.35">
      <c r="A88" s="256"/>
      <c r="B88" s="43"/>
      <c r="C88" s="43"/>
      <c r="D88" s="43"/>
      <c r="E88" s="181"/>
      <c r="F88" s="44"/>
      <c r="G88" s="44"/>
      <c r="H88" s="44"/>
      <c r="I88" s="44"/>
      <c r="J88" s="44"/>
      <c r="K88" s="44"/>
      <c r="L88" s="44"/>
      <c r="M88" s="44"/>
      <c r="N88" s="96"/>
      <c r="O88" s="44"/>
      <c r="P88" s="44"/>
      <c r="Q88" s="44"/>
      <c r="R88" s="44"/>
      <c r="S88" s="44"/>
      <c r="T88" s="182"/>
      <c r="U88" s="44"/>
      <c r="V88" s="44"/>
      <c r="W88" s="44"/>
      <c r="X88" s="96"/>
      <c r="Y88" s="44"/>
      <c r="Z88" s="44"/>
      <c r="AA88" s="44"/>
      <c r="AB88" s="44"/>
      <c r="AC88" s="182"/>
      <c r="AD88" s="44"/>
      <c r="AE88" s="44"/>
      <c r="AF88" s="44"/>
      <c r="AG88" s="44"/>
      <c r="AH88" s="44"/>
      <c r="AI88" s="44"/>
      <c r="AJ88" s="44"/>
      <c r="AK88" s="44"/>
      <c r="AL88" s="44"/>
      <c r="AM88" s="44"/>
      <c r="AN88" s="183"/>
      <c r="AO88" s="44"/>
      <c r="AP88" s="44"/>
      <c r="AQ88" s="184"/>
      <c r="AR88" s="43"/>
      <c r="AS88" s="184"/>
      <c r="AT88" s="184"/>
      <c r="AU88" s="184"/>
      <c r="AV88" s="184"/>
      <c r="AW88" s="184"/>
      <c r="AX88" s="184"/>
      <c r="AY88" s="184"/>
      <c r="AZ88" s="184"/>
      <c r="BA88" s="184"/>
      <c r="BB88" s="184"/>
      <c r="BC88" s="184"/>
      <c r="BD88" s="184"/>
      <c r="BE88" s="149"/>
      <c r="BF88" s="44"/>
      <c r="BG88" s="181"/>
      <c r="BH88" s="181"/>
      <c r="BI88" s="181"/>
      <c r="BJ88" s="181"/>
      <c r="BK88" s="43"/>
      <c r="BL88" s="43"/>
      <c r="BM88" s="43"/>
      <c r="BN88" s="43"/>
      <c r="BO88" s="43"/>
      <c r="BP88" s="43"/>
      <c r="BQ88" s="426"/>
      <c r="BR88" s="427"/>
      <c r="BS88" s="427"/>
      <c r="BT88" s="427"/>
      <c r="BU88" s="427"/>
      <c r="BV88" s="427"/>
      <c r="BW88" s="427"/>
      <c r="BX88" s="427"/>
      <c r="BY88" s="427"/>
      <c r="BZ88" s="427"/>
      <c r="CA88" s="427"/>
      <c r="CB88" s="427"/>
      <c r="CC88" s="18"/>
    </row>
    <row r="89" spans="1:81" s="19" customFormat="1" ht="14.7" customHeight="1" thickBot="1" x14ac:dyDescent="0.35">
      <c r="A89" s="180"/>
      <c r="B89" s="43"/>
      <c r="C89" s="43"/>
      <c r="D89" s="43"/>
      <c r="E89" s="181"/>
      <c r="F89" s="622" t="s">
        <v>456</v>
      </c>
      <c r="G89" s="623"/>
      <c r="H89" s="623"/>
      <c r="I89" s="623"/>
      <c r="J89" s="623"/>
      <c r="K89" s="623"/>
      <c r="L89" s="623"/>
      <c r="M89" s="624"/>
      <c r="N89" s="622" t="s">
        <v>457</v>
      </c>
      <c r="O89" s="623"/>
      <c r="P89" s="623"/>
      <c r="Q89" s="623"/>
      <c r="R89" s="623"/>
      <c r="S89" s="623"/>
      <c r="T89" s="624"/>
      <c r="U89" s="622" t="s">
        <v>458</v>
      </c>
      <c r="V89" s="623"/>
      <c r="W89" s="624"/>
      <c r="X89" s="622" t="s">
        <v>452</v>
      </c>
      <c r="Y89" s="623"/>
      <c r="Z89" s="623"/>
      <c r="AA89" s="623"/>
      <c r="AB89" s="623"/>
      <c r="AC89" s="185"/>
      <c r="AD89" s="622" t="s">
        <v>36</v>
      </c>
      <c r="AE89" s="623"/>
      <c r="AF89" s="623"/>
      <c r="AG89" s="623"/>
      <c r="AH89" s="623"/>
      <c r="AI89" s="623"/>
      <c r="AJ89" s="623"/>
      <c r="AK89" s="623"/>
      <c r="AL89" s="623"/>
      <c r="AM89" s="623"/>
      <c r="AN89" s="623"/>
      <c r="AO89" s="623"/>
      <c r="AP89" s="623"/>
      <c r="AQ89" s="623"/>
      <c r="AR89" s="623"/>
      <c r="AS89" s="623"/>
      <c r="AT89" s="623"/>
      <c r="AU89" s="623"/>
      <c r="AV89" s="623"/>
      <c r="AW89" s="623"/>
      <c r="AX89" s="623"/>
      <c r="AY89" s="623"/>
      <c r="AZ89" s="623"/>
      <c r="BA89" s="623"/>
      <c r="BB89" s="623"/>
      <c r="BC89" s="623"/>
      <c r="BD89" s="624"/>
      <c r="BE89" s="186"/>
      <c r="BF89" s="181"/>
      <c r="BG89" s="181"/>
      <c r="BH89" s="181"/>
      <c r="BI89" s="181"/>
      <c r="BJ89" s="181"/>
      <c r="BK89" s="181"/>
      <c r="BL89" s="181"/>
      <c r="BM89" s="43"/>
      <c r="BN89" s="43"/>
      <c r="BO89" s="43"/>
      <c r="BP89" s="43"/>
      <c r="BQ89" s="428" t="s">
        <v>461</v>
      </c>
      <c r="BR89" s="187"/>
      <c r="BS89" s="43"/>
      <c r="BT89" s="43"/>
      <c r="BU89" s="43"/>
      <c r="BV89" s="43"/>
      <c r="BW89" s="43"/>
      <c r="BX89" s="43"/>
      <c r="BY89" s="43"/>
      <c r="BZ89" s="43"/>
      <c r="CA89" s="43"/>
      <c r="CB89" s="43"/>
    </row>
    <row r="90" spans="1:81" s="19" customFormat="1" ht="60.6" thickBot="1" x14ac:dyDescent="0.35">
      <c r="A90" s="526" t="s">
        <v>664</v>
      </c>
      <c r="B90" s="180"/>
      <c r="C90" s="43"/>
      <c r="D90" s="43"/>
      <c r="E90" s="181"/>
      <c r="F90" s="188" t="str">
        <f t="shared" ref="F90:AZ90" si="13">F2</f>
        <v>Concrete</v>
      </c>
      <c r="G90" s="188" t="str">
        <f t="shared" si="13"/>
        <v>Brick</v>
      </c>
      <c r="H90" s="188" t="str">
        <f t="shared" si="13"/>
        <v>Asphalt</v>
      </c>
      <c r="I90" s="188" t="str">
        <f t="shared" si="13"/>
        <v>Sand, gravel, clay</v>
      </c>
      <c r="J90" s="188" t="str">
        <f t="shared" si="13"/>
        <v>Gypsum</v>
      </c>
      <c r="K90" s="188" t="str">
        <f t="shared" si="13"/>
        <v>Stone</v>
      </c>
      <c r="L90" s="188" t="str">
        <f t="shared" si="13"/>
        <v>Recycled CDW</v>
      </c>
      <c r="M90" s="188" t="str">
        <f t="shared" si="13"/>
        <v>Other construction materials</v>
      </c>
      <c r="N90" s="188" t="str">
        <f t="shared" si="13"/>
        <v>Iron and steel</v>
      </c>
      <c r="O90" s="188" t="str">
        <f t="shared" si="13"/>
        <v>Copper</v>
      </c>
      <c r="P90" s="188" t="str">
        <f t="shared" si="13"/>
        <v>Aluminium</v>
      </c>
      <c r="Q90" s="188" t="s">
        <v>127</v>
      </c>
      <c r="R90" s="188" t="s">
        <v>445</v>
      </c>
      <c r="S90" s="188" t="str">
        <f t="shared" si="13"/>
        <v>Alloying elements (non critical)</v>
      </c>
      <c r="T90" s="188" t="str">
        <f t="shared" si="13"/>
        <v>Other metals (non critical)</v>
      </c>
      <c r="U90" s="188" t="str">
        <f t="shared" si="13"/>
        <v>Wood</v>
      </c>
      <c r="V90" s="188" t="str">
        <f t="shared" si="13"/>
        <v>Other biobased materials</v>
      </c>
      <c r="W90" s="188" t="str">
        <f t="shared" si="13"/>
        <v>Textile, biobased</v>
      </c>
      <c r="X90" s="188" t="str">
        <f t="shared" si="13"/>
        <v>Plastics</v>
      </c>
      <c r="Y90" s="188" t="str">
        <f t="shared" si="13"/>
        <v>Insulation materials</v>
      </c>
      <c r="Z90" s="188" t="str">
        <f t="shared" si="13"/>
        <v>Other materials</v>
      </c>
      <c r="AA90" s="188" t="str">
        <f t="shared" si="13"/>
        <v>Glass</v>
      </c>
      <c r="AB90" s="188" t="str">
        <f t="shared" si="13"/>
        <v>Ceramics</v>
      </c>
      <c r="AC90" s="188" t="str">
        <f t="shared" si="13"/>
        <v>Textile, unspec.</v>
      </c>
      <c r="AD90" s="188" t="str">
        <f t="shared" si="13"/>
        <v>Nd</v>
      </c>
      <c r="AE90" s="188" t="str">
        <f t="shared" si="13"/>
        <v>Dy</v>
      </c>
      <c r="AF90" s="188" t="str">
        <f t="shared" si="13"/>
        <v>Pr</v>
      </c>
      <c r="AG90" s="188" t="str">
        <f t="shared" si="13"/>
        <v>In</v>
      </c>
      <c r="AH90" s="188" t="str">
        <f t="shared" si="13"/>
        <v>Ga</v>
      </c>
      <c r="AI90" s="188" t="str">
        <f t="shared" si="13"/>
        <v>Ge</v>
      </c>
      <c r="AJ90" s="188" t="str">
        <f t="shared" si="13"/>
        <v>Ag</v>
      </c>
      <c r="AK90" s="188" t="str">
        <f t="shared" si="13"/>
        <v>Li</v>
      </c>
      <c r="AL90" s="188" t="str">
        <f t="shared" si="13"/>
        <v>Tb</v>
      </c>
      <c r="AM90" s="188" t="str">
        <f t="shared" si="13"/>
        <v>Si</v>
      </c>
      <c r="AN90" s="188" t="str">
        <f t="shared" si="13"/>
        <v>Pd</v>
      </c>
      <c r="AO90" s="188" t="str">
        <f t="shared" si="13"/>
        <v>Co</v>
      </c>
      <c r="AP90" s="188" t="str">
        <f t="shared" si="13"/>
        <v>Au</v>
      </c>
      <c r="AQ90" s="188" t="str">
        <f t="shared" si="13"/>
        <v>Pt</v>
      </c>
      <c r="AR90" s="188" t="str">
        <f t="shared" si="13"/>
        <v>Ta</v>
      </c>
      <c r="AS90" s="188" t="str">
        <f t="shared" si="13"/>
        <v>Mg</v>
      </c>
      <c r="AT90" s="188" t="str">
        <f t="shared" si="13"/>
        <v>Ti</v>
      </c>
      <c r="AU90" s="188" t="str">
        <f t="shared" si="13"/>
        <v>Graphite</v>
      </c>
      <c r="AV90" s="188" t="str">
        <f t="shared" si="13"/>
        <v>Sr</v>
      </c>
      <c r="AW90" s="188" t="str">
        <f t="shared" si="13"/>
        <v>W</v>
      </c>
      <c r="AX90" s="188" t="str">
        <f t="shared" si="13"/>
        <v>Y</v>
      </c>
      <c r="AY90" s="188" t="str">
        <f t="shared" si="13"/>
        <v>La</v>
      </c>
      <c r="AZ90" s="188" t="str">
        <f t="shared" si="13"/>
        <v>Nb</v>
      </c>
      <c r="BA90" s="188" t="str">
        <f t="shared" ref="BA90:BD90" si="14">BA2</f>
        <v>V</v>
      </c>
      <c r="BB90" s="188" t="str">
        <f t="shared" si="14"/>
        <v>Ce</v>
      </c>
      <c r="BC90" s="188" t="str">
        <f t="shared" si="14"/>
        <v>Hf</v>
      </c>
      <c r="BD90" s="188" t="str">
        <f t="shared" si="14"/>
        <v>Unspecified CRM</v>
      </c>
      <c r="BE90" s="149"/>
      <c r="BF90" s="617"/>
      <c r="BG90" s="618"/>
      <c r="BH90" s="189" t="str">
        <f>F89</f>
        <v>Construction minerals</v>
      </c>
      <c r="BI90" s="190" t="s">
        <v>557</v>
      </c>
      <c r="BJ90" s="190" t="str">
        <f>N89</f>
        <v>Metals</v>
      </c>
      <c r="BK90" s="190" t="str">
        <f>U89</f>
        <v>Biobased materials</v>
      </c>
      <c r="BL90" s="191" t="str">
        <f>X89</f>
        <v>Other materials</v>
      </c>
      <c r="BM90" s="192" t="str">
        <f>AD89</f>
        <v>CRM</v>
      </c>
      <c r="BN90" s="193" t="s">
        <v>79</v>
      </c>
      <c r="BO90" s="194" t="s">
        <v>460</v>
      </c>
      <c r="BP90" s="43"/>
      <c r="BQ90" s="43"/>
      <c r="BR90" s="429" t="s">
        <v>462</v>
      </c>
      <c r="BS90" s="196" t="s">
        <v>463</v>
      </c>
      <c r="BT90" s="196" t="s">
        <v>457</v>
      </c>
      <c r="BU90" s="196" t="s">
        <v>464</v>
      </c>
      <c r="BV90" s="197" t="s">
        <v>465</v>
      </c>
      <c r="BW90" s="43"/>
      <c r="BX90" s="43"/>
      <c r="BY90" s="195" t="s">
        <v>674</v>
      </c>
      <c r="BZ90" s="196" t="s">
        <v>74</v>
      </c>
      <c r="CA90" s="196" t="s">
        <v>1</v>
      </c>
      <c r="CB90" s="196" t="s">
        <v>75</v>
      </c>
      <c r="CC90" s="197" t="s">
        <v>76</v>
      </c>
    </row>
    <row r="91" spans="1:81" s="19" customFormat="1" x14ac:dyDescent="0.3">
      <c r="A91" s="198"/>
      <c r="B91" s="198"/>
      <c r="C91" s="625" t="str">
        <f>A3</f>
        <v>Buildings</v>
      </c>
      <c r="D91" s="626"/>
      <c r="E91" s="626"/>
      <c r="F91" s="94">
        <f>SUM(F3:F9)</f>
        <v>1877983247.2811079</v>
      </c>
      <c r="G91" s="94">
        <f t="shared" ref="G91:BD91" si="15">SUM(G3:G9)</f>
        <v>142823530.56571704</v>
      </c>
      <c r="H91" s="94">
        <f t="shared" si="15"/>
        <v>0</v>
      </c>
      <c r="I91" s="94">
        <f t="shared" si="15"/>
        <v>34191210.562837198</v>
      </c>
      <c r="J91" s="94">
        <f t="shared" si="15"/>
        <v>28790428.031033985</v>
      </c>
      <c r="K91" s="94">
        <f t="shared" si="15"/>
        <v>430340382.03058338</v>
      </c>
      <c r="L91" s="94">
        <f t="shared" si="15"/>
        <v>0</v>
      </c>
      <c r="M91" s="94">
        <f t="shared" si="15"/>
        <v>677741.53572449822</v>
      </c>
      <c r="N91" s="94">
        <f t="shared" si="15"/>
        <v>98013902.496117115</v>
      </c>
      <c r="O91" s="94">
        <f t="shared" si="15"/>
        <v>643410.30950136646</v>
      </c>
      <c r="P91" s="94">
        <f t="shared" si="15"/>
        <v>2529591.9038370601</v>
      </c>
      <c r="Q91" s="94">
        <f t="shared" si="15"/>
        <v>0</v>
      </c>
      <c r="R91" s="94">
        <f t="shared" si="15"/>
        <v>0</v>
      </c>
      <c r="S91" s="94">
        <f t="shared" si="15"/>
        <v>0</v>
      </c>
      <c r="T91" s="94">
        <f t="shared" si="15"/>
        <v>1892111.3646455107</v>
      </c>
      <c r="U91" s="94">
        <f t="shared" si="15"/>
        <v>46958721.675927602</v>
      </c>
      <c r="V91" s="94">
        <f t="shared" si="15"/>
        <v>0</v>
      </c>
      <c r="W91" s="94">
        <f t="shared" si="15"/>
        <v>0</v>
      </c>
      <c r="X91" s="94">
        <f t="shared" si="15"/>
        <v>2522564.106391815</v>
      </c>
      <c r="Y91" s="94">
        <f t="shared" si="15"/>
        <v>23455083.825438064</v>
      </c>
      <c r="Z91" s="94">
        <f t="shared" si="15"/>
        <v>3229288.0787995197</v>
      </c>
      <c r="AA91" s="94">
        <f t="shared" si="15"/>
        <v>5812457.4018833051</v>
      </c>
      <c r="AB91" s="94">
        <f t="shared" si="15"/>
        <v>7564504.7617518958</v>
      </c>
      <c r="AC91" s="94">
        <f t="shared" si="15"/>
        <v>0</v>
      </c>
      <c r="AD91" s="94">
        <f t="shared" si="15"/>
        <v>0</v>
      </c>
      <c r="AE91" s="94">
        <f t="shared" si="15"/>
        <v>0</v>
      </c>
      <c r="AF91" s="94">
        <f t="shared" si="15"/>
        <v>0</v>
      </c>
      <c r="AG91" s="94">
        <f t="shared" si="15"/>
        <v>0</v>
      </c>
      <c r="AH91" s="94">
        <f t="shared" si="15"/>
        <v>0</v>
      </c>
      <c r="AI91" s="94">
        <f t="shared" si="15"/>
        <v>0</v>
      </c>
      <c r="AJ91" s="94">
        <f t="shared" si="15"/>
        <v>0</v>
      </c>
      <c r="AK91" s="94">
        <f t="shared" si="15"/>
        <v>0</v>
      </c>
      <c r="AL91" s="94">
        <f t="shared" si="15"/>
        <v>0</v>
      </c>
      <c r="AM91" s="94">
        <f t="shared" si="15"/>
        <v>0</v>
      </c>
      <c r="AN91" s="94">
        <f t="shared" si="15"/>
        <v>0</v>
      </c>
      <c r="AO91" s="94">
        <f t="shared" si="15"/>
        <v>0</v>
      </c>
      <c r="AP91" s="94">
        <f t="shared" si="15"/>
        <v>0</v>
      </c>
      <c r="AQ91" s="94">
        <f t="shared" si="15"/>
        <v>0</v>
      </c>
      <c r="AR91" s="94">
        <f t="shared" si="15"/>
        <v>0</v>
      </c>
      <c r="AS91" s="94">
        <f t="shared" si="15"/>
        <v>0</v>
      </c>
      <c r="AT91" s="94">
        <f t="shared" si="15"/>
        <v>0</v>
      </c>
      <c r="AU91" s="94">
        <f t="shared" si="15"/>
        <v>0</v>
      </c>
      <c r="AV91" s="94">
        <f t="shared" si="15"/>
        <v>0</v>
      </c>
      <c r="AW91" s="94">
        <f t="shared" si="15"/>
        <v>0</v>
      </c>
      <c r="AX91" s="94">
        <f t="shared" si="15"/>
        <v>0</v>
      </c>
      <c r="AY91" s="94">
        <f t="shared" si="15"/>
        <v>0</v>
      </c>
      <c r="AZ91" s="94">
        <f t="shared" si="15"/>
        <v>0</v>
      </c>
      <c r="BA91" s="94">
        <f t="shared" si="15"/>
        <v>0</v>
      </c>
      <c r="BB91" s="94">
        <f t="shared" si="15"/>
        <v>0</v>
      </c>
      <c r="BC91" s="94">
        <f t="shared" si="15"/>
        <v>0</v>
      </c>
      <c r="BD91" s="94">
        <f t="shared" si="15"/>
        <v>0</v>
      </c>
      <c r="BE91" s="425"/>
      <c r="BF91" s="532" t="str">
        <f>C91</f>
        <v>Buildings</v>
      </c>
      <c r="BG91" s="539"/>
      <c r="BH91" s="542">
        <f>I91+J91+K91</f>
        <v>493322020.62445456</v>
      </c>
      <c r="BI91" s="547">
        <f>SUM(F91:M91)-BH91</f>
        <v>2021484519.3825493</v>
      </c>
      <c r="BJ91" s="542">
        <f t="shared" ref="BJ91:BJ99" si="16">SUM(N91:T91)</f>
        <v>103079016.07410105</v>
      </c>
      <c r="BK91" s="547">
        <f t="shared" ref="BK91:BK99" si="17">SUM(U91:W91)</f>
        <v>46958721.675927602</v>
      </c>
      <c r="BL91" s="547">
        <f t="shared" ref="BL91:BL99" si="18">SUM(X91:AC91)</f>
        <v>42583898.174264602</v>
      </c>
      <c r="BM91" s="547">
        <f t="shared" ref="BM91:BM99" si="19">SUM(AD91:BD91)</f>
        <v>0</v>
      </c>
      <c r="BN91" s="550">
        <f t="shared" ref="BN91:BN99" si="20">SUM(BH91:BM91)</f>
        <v>2707428175.9312968</v>
      </c>
      <c r="BO91" s="95">
        <f>BN91/SUM(BN$91:BN$99)</f>
        <v>0.3474139319297937</v>
      </c>
      <c r="BP91" s="43"/>
      <c r="BQ91" s="43"/>
      <c r="BR91" s="430" t="str">
        <f t="shared" ref="BR91:BR99" si="21">BF91</f>
        <v>Buildings</v>
      </c>
      <c r="BS91" s="44">
        <f t="shared" ref="BS91:BS99" si="22">SUM(F91:M91)+AA91+AB91</f>
        <v>2528183502.170639</v>
      </c>
      <c r="BT91" s="44">
        <f t="shared" ref="BT91:BT99" si="23">SUM(N91:T91)+SUM(AD91:BD91)</f>
        <v>103079016.07410105</v>
      </c>
      <c r="BU91" s="44">
        <f t="shared" ref="BU91:BU99" si="24">U91+V91+W91</f>
        <v>46958721.675927602</v>
      </c>
      <c r="BV91" s="200">
        <f t="shared" ref="BV91:BV99" si="25">X91+Y91+Z91+AC91</f>
        <v>29206936.010629397</v>
      </c>
      <c r="BW91" s="43"/>
      <c r="BX91" s="43"/>
      <c r="BY91" s="199" t="str">
        <f t="shared" ref="BY91:BY98" si="26">BR91</f>
        <v>Buildings</v>
      </c>
      <c r="BZ91" s="44">
        <f>SUM(F91:M91)+AA91+AB91-I91</f>
        <v>2493992291.6078019</v>
      </c>
      <c r="CA91" s="44">
        <f t="shared" ref="CA91:CA99" si="27">SUM(N91:T91)+SUM(AD91:BD91)</f>
        <v>103079016.07410105</v>
      </c>
      <c r="CB91" s="44">
        <f t="shared" ref="CB91:CB99" si="28">U91+V91+W91</f>
        <v>46958721.675927602</v>
      </c>
      <c r="CC91" s="200">
        <f>X91+Y91+Z91+AC91</f>
        <v>29206936.010629397</v>
      </c>
    </row>
    <row r="92" spans="1:81" s="19" customFormat="1" x14ac:dyDescent="0.3">
      <c r="A92" s="198"/>
      <c r="B92" s="198"/>
      <c r="C92" s="580" t="str">
        <f>A10</f>
        <v>Road, rail and waterways infrastructure</v>
      </c>
      <c r="D92" s="581"/>
      <c r="E92" s="581"/>
      <c r="F92" s="96">
        <f>SUM(F10:F18)</f>
        <v>276962350.96675766</v>
      </c>
      <c r="G92" s="96">
        <f t="shared" ref="G92:BD92" si="29">SUM(G10:G18)</f>
        <v>7424426.4205000009</v>
      </c>
      <c r="H92" s="96">
        <f t="shared" si="29"/>
        <v>253145002.30111837</v>
      </c>
      <c r="I92" s="96">
        <f t="shared" si="29"/>
        <v>3844627462.0065627</v>
      </c>
      <c r="J92" s="96">
        <f t="shared" si="29"/>
        <v>0</v>
      </c>
      <c r="K92" s="96">
        <f t="shared" si="29"/>
        <v>0</v>
      </c>
      <c r="L92" s="96">
        <f t="shared" si="29"/>
        <v>572521175.77157986</v>
      </c>
      <c r="M92" s="96">
        <f t="shared" si="29"/>
        <v>31332.975414499997</v>
      </c>
      <c r="N92" s="96">
        <f t="shared" si="29"/>
        <v>21083641.768250555</v>
      </c>
      <c r="O92" s="96">
        <f t="shared" si="29"/>
        <v>32634.836593877462</v>
      </c>
      <c r="P92" s="96">
        <f t="shared" si="29"/>
        <v>56091.089926877466</v>
      </c>
      <c r="Q92" s="96">
        <f t="shared" si="29"/>
        <v>5.7429999999999994</v>
      </c>
      <c r="R92" s="96">
        <f t="shared" si="29"/>
        <v>0</v>
      </c>
      <c r="S92" s="96">
        <f t="shared" si="29"/>
        <v>0</v>
      </c>
      <c r="T92" s="96">
        <f t="shared" si="29"/>
        <v>67374.352624148043</v>
      </c>
      <c r="U92" s="96">
        <f t="shared" si="29"/>
        <v>64234.034590877432</v>
      </c>
      <c r="V92" s="96">
        <f t="shared" si="29"/>
        <v>0</v>
      </c>
      <c r="W92" s="96">
        <f t="shared" si="29"/>
        <v>0</v>
      </c>
      <c r="X92" s="96">
        <f t="shared" si="29"/>
        <v>33202.810516517333</v>
      </c>
      <c r="Y92" s="96">
        <f t="shared" si="29"/>
        <v>1566.1667838471578</v>
      </c>
      <c r="Z92" s="96">
        <f t="shared" si="29"/>
        <v>73888.40423139208</v>
      </c>
      <c r="AA92" s="96">
        <f t="shared" si="29"/>
        <v>147174.44742000001</v>
      </c>
      <c r="AB92" s="96">
        <f t="shared" si="29"/>
        <v>0</v>
      </c>
      <c r="AC92" s="96">
        <f t="shared" si="29"/>
        <v>0</v>
      </c>
      <c r="AD92" s="96">
        <f t="shared" si="29"/>
        <v>0</v>
      </c>
      <c r="AE92" s="96">
        <f t="shared" si="29"/>
        <v>0</v>
      </c>
      <c r="AF92" s="96">
        <f t="shared" si="29"/>
        <v>0</v>
      </c>
      <c r="AG92" s="96">
        <f t="shared" si="29"/>
        <v>0</v>
      </c>
      <c r="AH92" s="96">
        <f t="shared" si="29"/>
        <v>0</v>
      </c>
      <c r="AI92" s="96">
        <f t="shared" si="29"/>
        <v>0</v>
      </c>
      <c r="AJ92" s="96">
        <f t="shared" si="29"/>
        <v>0</v>
      </c>
      <c r="AK92" s="96">
        <f t="shared" si="29"/>
        <v>0</v>
      </c>
      <c r="AL92" s="96">
        <f t="shared" si="29"/>
        <v>0</v>
      </c>
      <c r="AM92" s="96">
        <f t="shared" si="29"/>
        <v>0</v>
      </c>
      <c r="AN92" s="96">
        <f t="shared" si="29"/>
        <v>0</v>
      </c>
      <c r="AO92" s="96">
        <f t="shared" si="29"/>
        <v>0</v>
      </c>
      <c r="AP92" s="96">
        <f t="shared" si="29"/>
        <v>0</v>
      </c>
      <c r="AQ92" s="96">
        <f t="shared" si="29"/>
        <v>0</v>
      </c>
      <c r="AR92" s="96">
        <f t="shared" si="29"/>
        <v>0</v>
      </c>
      <c r="AS92" s="96">
        <f t="shared" si="29"/>
        <v>0</v>
      </c>
      <c r="AT92" s="96">
        <f t="shared" si="29"/>
        <v>0</v>
      </c>
      <c r="AU92" s="96">
        <f t="shared" si="29"/>
        <v>0</v>
      </c>
      <c r="AV92" s="96">
        <f t="shared" si="29"/>
        <v>0</v>
      </c>
      <c r="AW92" s="96">
        <f t="shared" si="29"/>
        <v>0</v>
      </c>
      <c r="AX92" s="96">
        <f t="shared" si="29"/>
        <v>0</v>
      </c>
      <c r="AY92" s="96">
        <f t="shared" si="29"/>
        <v>0</v>
      </c>
      <c r="AZ92" s="96">
        <f t="shared" si="29"/>
        <v>0</v>
      </c>
      <c r="BA92" s="96">
        <f t="shared" si="29"/>
        <v>0</v>
      </c>
      <c r="BB92" s="96">
        <f t="shared" si="29"/>
        <v>0</v>
      </c>
      <c r="BC92" s="96">
        <f t="shared" si="29"/>
        <v>0</v>
      </c>
      <c r="BD92" s="96">
        <f t="shared" si="29"/>
        <v>0</v>
      </c>
      <c r="BE92" s="96"/>
      <c r="BF92" s="533" t="str">
        <f t="shared" ref="BF92:BF99" si="30">C92</f>
        <v>Road, rail and waterways infrastructure</v>
      </c>
      <c r="BG92" s="540"/>
      <c r="BH92" s="543">
        <f t="shared" ref="BH92:BH99" si="31">I92+J92+K92</f>
        <v>3844627462.0065627</v>
      </c>
      <c r="BI92" s="548">
        <f t="shared" ref="BI92:BI99" si="32">SUM(F92:M92)-BH92</f>
        <v>1110084288.43537</v>
      </c>
      <c r="BJ92" s="543">
        <f t="shared" si="16"/>
        <v>21239747.790395457</v>
      </c>
      <c r="BK92" s="548">
        <f t="shared" si="17"/>
        <v>64234.034590877432</v>
      </c>
      <c r="BL92" s="548">
        <f t="shared" si="18"/>
        <v>255831.82895175659</v>
      </c>
      <c r="BM92" s="548">
        <f t="shared" si="19"/>
        <v>0</v>
      </c>
      <c r="BN92" s="551">
        <f t="shared" si="20"/>
        <v>4976271564.095871</v>
      </c>
      <c r="BO92" s="97">
        <f t="shared" ref="BO92:BO99" si="33">BN92/SUM(BN$91:BN$99)</f>
        <v>0.63854919063117599</v>
      </c>
      <c r="BP92" s="43"/>
      <c r="BQ92" s="43"/>
      <c r="BR92" s="430" t="str">
        <f t="shared" si="21"/>
        <v>Road, rail and waterways infrastructure</v>
      </c>
      <c r="BS92" s="44">
        <f t="shared" si="22"/>
        <v>4954858924.8893528</v>
      </c>
      <c r="BT92" s="44">
        <f t="shared" si="23"/>
        <v>21239747.790395457</v>
      </c>
      <c r="BU92" s="44">
        <f t="shared" si="24"/>
        <v>64234.034590877432</v>
      </c>
      <c r="BV92" s="200">
        <f t="shared" si="25"/>
        <v>108657.38153175657</v>
      </c>
      <c r="BW92" s="43"/>
      <c r="BX92" s="43"/>
      <c r="BY92" s="199" t="str">
        <f t="shared" si="26"/>
        <v>Road, rail and waterways infrastructure</v>
      </c>
      <c r="BZ92" s="44">
        <f>SUM(F92:M92)+AA92+AB92-I92-F17</f>
        <v>1093428136.8690901</v>
      </c>
      <c r="CA92" s="44">
        <f t="shared" si="27"/>
        <v>21239747.790395457</v>
      </c>
      <c r="CB92" s="44">
        <f t="shared" si="28"/>
        <v>64234.034590877432</v>
      </c>
      <c r="CC92" s="200">
        <f>X92+Y92+Z92+AC92-X17</f>
        <v>94267.892331756579</v>
      </c>
    </row>
    <row r="93" spans="1:81" s="19" customFormat="1" x14ac:dyDescent="0.3">
      <c r="A93" s="198"/>
      <c r="B93" s="198"/>
      <c r="C93" s="580" t="str">
        <f>A19</f>
        <v>Energy system</v>
      </c>
      <c r="D93" s="581"/>
      <c r="E93" s="581"/>
      <c r="F93" s="96">
        <f>SUM(F19:F30)</f>
        <v>6206938.2301747743</v>
      </c>
      <c r="G93" s="96">
        <f t="shared" ref="G93:BD93" si="34">SUM(G19:G30)</f>
        <v>0</v>
      </c>
      <c r="H93" s="96">
        <f t="shared" si="34"/>
        <v>0</v>
      </c>
      <c r="I93" s="96">
        <f t="shared" si="34"/>
        <v>0</v>
      </c>
      <c r="J93" s="96">
        <f t="shared" si="34"/>
        <v>0</v>
      </c>
      <c r="K93" s="96">
        <f t="shared" si="34"/>
        <v>0</v>
      </c>
      <c r="L93" s="96">
        <f t="shared" si="34"/>
        <v>0</v>
      </c>
      <c r="M93" s="96">
        <f t="shared" si="34"/>
        <v>1400</v>
      </c>
      <c r="N93" s="88">
        <f t="shared" si="34"/>
        <v>3533376.9403552539</v>
      </c>
      <c r="O93" s="88">
        <f t="shared" si="34"/>
        <v>335383.28568021767</v>
      </c>
      <c r="P93" s="88">
        <f t="shared" si="34"/>
        <v>637549.06491318822</v>
      </c>
      <c r="Q93" s="88">
        <f t="shared" si="34"/>
        <v>11.191312197738323</v>
      </c>
      <c r="R93" s="88">
        <f t="shared" si="34"/>
        <v>324410.69169525406</v>
      </c>
      <c r="S93" s="88">
        <f t="shared" si="34"/>
        <v>3281.6674836986404</v>
      </c>
      <c r="T93" s="88">
        <f t="shared" si="34"/>
        <v>14200</v>
      </c>
      <c r="U93" s="96">
        <f t="shared" si="34"/>
        <v>1555.691381722083</v>
      </c>
      <c r="V93" s="96">
        <f t="shared" si="34"/>
        <v>0</v>
      </c>
      <c r="W93" s="96">
        <f t="shared" si="34"/>
        <v>0</v>
      </c>
      <c r="X93" s="96">
        <f t="shared" si="34"/>
        <v>557004.50277065567</v>
      </c>
      <c r="Y93" s="96">
        <f t="shared" si="34"/>
        <v>0</v>
      </c>
      <c r="Z93" s="96">
        <f t="shared" si="34"/>
        <v>129402.98717452597</v>
      </c>
      <c r="AA93" s="96">
        <f t="shared" si="34"/>
        <v>209810.118623983</v>
      </c>
      <c r="AB93" s="96">
        <f t="shared" si="34"/>
        <v>0</v>
      </c>
      <c r="AC93" s="96">
        <f t="shared" si="34"/>
        <v>0</v>
      </c>
      <c r="AD93" s="96">
        <f t="shared" si="34"/>
        <v>91.514654522221321</v>
      </c>
      <c r="AE93" s="96">
        <f t="shared" si="34"/>
        <v>3.744649746629515</v>
      </c>
      <c r="AF93" s="96">
        <f t="shared" si="34"/>
        <v>16.048498914126501</v>
      </c>
      <c r="AG93" s="96">
        <f t="shared" si="34"/>
        <v>7.8659683841375134</v>
      </c>
      <c r="AH93" s="96">
        <f t="shared" si="34"/>
        <v>1.200175018037789</v>
      </c>
      <c r="AI93" s="96">
        <f t="shared" si="34"/>
        <v>12.84843603012674</v>
      </c>
      <c r="AJ93" s="96">
        <f t="shared" si="34"/>
        <v>81.406123192664836</v>
      </c>
      <c r="AK93" s="96">
        <f t="shared" si="34"/>
        <v>0</v>
      </c>
      <c r="AL93" s="96">
        <f t="shared" si="34"/>
        <v>0.7260035223057224</v>
      </c>
      <c r="AM93" s="96">
        <f t="shared" si="34"/>
        <v>15621.760795162749</v>
      </c>
      <c r="AN93" s="96">
        <f t="shared" si="34"/>
        <v>0</v>
      </c>
      <c r="AO93" s="96">
        <f t="shared" si="34"/>
        <v>110.131232</v>
      </c>
      <c r="AP93" s="96">
        <f t="shared" si="34"/>
        <v>0</v>
      </c>
      <c r="AQ93" s="96">
        <f t="shared" si="34"/>
        <v>0</v>
      </c>
      <c r="AR93" s="96">
        <f t="shared" si="34"/>
        <v>2.7739920000000002</v>
      </c>
      <c r="AS93" s="96">
        <f t="shared" si="34"/>
        <v>0</v>
      </c>
      <c r="AT93" s="96">
        <f t="shared" si="34"/>
        <v>8.488664</v>
      </c>
      <c r="AU93" s="96">
        <f t="shared" si="34"/>
        <v>0</v>
      </c>
      <c r="AV93" s="96">
        <f t="shared" si="34"/>
        <v>0</v>
      </c>
      <c r="AW93" s="96">
        <f t="shared" si="34"/>
        <v>104.535</v>
      </c>
      <c r="AX93" s="96">
        <f t="shared" si="34"/>
        <v>0.255</v>
      </c>
      <c r="AY93" s="96">
        <f t="shared" si="34"/>
        <v>0</v>
      </c>
      <c r="AZ93" s="96">
        <f t="shared" si="34"/>
        <v>10.701776000000001</v>
      </c>
      <c r="BA93" s="96">
        <f t="shared" si="34"/>
        <v>33.199089537040095</v>
      </c>
      <c r="BB93" s="96">
        <f t="shared" si="34"/>
        <v>0</v>
      </c>
      <c r="BC93" s="96">
        <f t="shared" si="34"/>
        <v>0</v>
      </c>
      <c r="BD93" s="96">
        <f t="shared" si="34"/>
        <v>0</v>
      </c>
      <c r="BE93" s="425"/>
      <c r="BF93" s="533" t="str">
        <f t="shared" si="30"/>
        <v>Energy system</v>
      </c>
      <c r="BG93" s="540"/>
      <c r="BH93" s="543">
        <f t="shared" si="31"/>
        <v>0</v>
      </c>
      <c r="BI93" s="548">
        <f t="shared" si="32"/>
        <v>6208338.2301747743</v>
      </c>
      <c r="BJ93" s="543">
        <f t="shared" si="16"/>
        <v>4848212.8414398106</v>
      </c>
      <c r="BK93" s="548">
        <f t="shared" si="17"/>
        <v>1555.691381722083</v>
      </c>
      <c r="BL93" s="548">
        <f t="shared" si="18"/>
        <v>896217.60856916464</v>
      </c>
      <c r="BM93" s="548">
        <f t="shared" si="19"/>
        <v>16107.200058030037</v>
      </c>
      <c r="BN93" s="551">
        <f t="shared" si="20"/>
        <v>11970431.571623502</v>
      </c>
      <c r="BO93" s="97">
        <f t="shared" si="33"/>
        <v>1.5360314028510689E-3</v>
      </c>
      <c r="BP93" s="43"/>
      <c r="BQ93" s="43"/>
      <c r="BR93" s="430" t="str">
        <f t="shared" si="21"/>
        <v>Energy system</v>
      </c>
      <c r="BS93" s="44">
        <f t="shared" si="22"/>
        <v>6418148.3487987574</v>
      </c>
      <c r="BT93" s="44">
        <f t="shared" si="23"/>
        <v>4864320.0414978405</v>
      </c>
      <c r="BU93" s="44">
        <f t="shared" si="24"/>
        <v>1555.691381722083</v>
      </c>
      <c r="BV93" s="200">
        <f t="shared" si="25"/>
        <v>686407.48994518165</v>
      </c>
      <c r="BW93" s="43"/>
      <c r="BX93" s="43"/>
      <c r="BY93" s="199" t="str">
        <f t="shared" si="26"/>
        <v>Energy system</v>
      </c>
      <c r="BZ93" s="44">
        <f t="shared" ref="BZ93:BZ99" si="35">SUM(F93:M93)+AA93+AB93-I93</f>
        <v>6418148.3487987574</v>
      </c>
      <c r="CA93" s="44">
        <f t="shared" si="27"/>
        <v>4864320.0414978405</v>
      </c>
      <c r="CB93" s="44">
        <f t="shared" si="28"/>
        <v>1555.691381722083</v>
      </c>
      <c r="CC93" s="200">
        <f t="shared" ref="CC93:CC99" si="36">X93+Y93+Z93+AC93</f>
        <v>686407.48994518165</v>
      </c>
    </row>
    <row r="94" spans="1:81" s="19" customFormat="1" x14ac:dyDescent="0.3">
      <c r="A94" s="198"/>
      <c r="B94" s="198"/>
      <c r="C94" s="580" t="str">
        <f>A31</f>
        <v>Drinking and sewage water infrastructure</v>
      </c>
      <c r="D94" s="581"/>
      <c r="E94" s="581"/>
      <c r="F94" s="96">
        <f>SUM(F31:F37)</f>
        <v>23269457</v>
      </c>
      <c r="G94" s="96">
        <f t="shared" ref="G94:BD94" si="37">SUM(G31:G37)</f>
        <v>0</v>
      </c>
      <c r="H94" s="96">
        <f t="shared" si="37"/>
        <v>0</v>
      </c>
      <c r="I94" s="96">
        <f t="shared" si="37"/>
        <v>0</v>
      </c>
      <c r="J94" s="96">
        <f t="shared" si="37"/>
        <v>0</v>
      </c>
      <c r="K94" s="96">
        <f t="shared" si="37"/>
        <v>0</v>
      </c>
      <c r="L94" s="96">
        <f t="shared" si="37"/>
        <v>0</v>
      </c>
      <c r="M94" s="96">
        <f t="shared" si="37"/>
        <v>352455</v>
      </c>
      <c r="N94" s="96">
        <f t="shared" si="37"/>
        <v>1810190</v>
      </c>
      <c r="O94" s="96">
        <f t="shared" si="37"/>
        <v>0</v>
      </c>
      <c r="P94" s="96">
        <f t="shared" si="37"/>
        <v>0</v>
      </c>
      <c r="Q94" s="96">
        <f t="shared" si="37"/>
        <v>0</v>
      </c>
      <c r="R94" s="96">
        <f t="shared" si="37"/>
        <v>0</v>
      </c>
      <c r="S94" s="96">
        <f t="shared" si="37"/>
        <v>0</v>
      </c>
      <c r="T94" s="96">
        <f t="shared" si="37"/>
        <v>0</v>
      </c>
      <c r="U94" s="96">
        <f t="shared" si="37"/>
        <v>0</v>
      </c>
      <c r="V94" s="96">
        <f t="shared" si="37"/>
        <v>0</v>
      </c>
      <c r="W94" s="96">
        <f t="shared" si="37"/>
        <v>0</v>
      </c>
      <c r="X94" s="96">
        <f t="shared" si="37"/>
        <v>5964275</v>
      </c>
      <c r="Y94" s="96">
        <f t="shared" si="37"/>
        <v>0</v>
      </c>
      <c r="Z94" s="96">
        <f t="shared" si="37"/>
        <v>0</v>
      </c>
      <c r="AA94" s="96">
        <f t="shared" si="37"/>
        <v>0</v>
      </c>
      <c r="AB94" s="96">
        <f t="shared" si="37"/>
        <v>0</v>
      </c>
      <c r="AC94" s="96">
        <f t="shared" si="37"/>
        <v>0</v>
      </c>
      <c r="AD94" s="96">
        <f t="shared" si="37"/>
        <v>0</v>
      </c>
      <c r="AE94" s="96">
        <f t="shared" si="37"/>
        <v>0</v>
      </c>
      <c r="AF94" s="96">
        <f t="shared" si="37"/>
        <v>0</v>
      </c>
      <c r="AG94" s="96">
        <f t="shared" si="37"/>
        <v>0</v>
      </c>
      <c r="AH94" s="96">
        <f t="shared" si="37"/>
        <v>0</v>
      </c>
      <c r="AI94" s="96">
        <f t="shared" si="37"/>
        <v>0</v>
      </c>
      <c r="AJ94" s="96">
        <f t="shared" si="37"/>
        <v>0</v>
      </c>
      <c r="AK94" s="96">
        <f t="shared" si="37"/>
        <v>0</v>
      </c>
      <c r="AL94" s="96">
        <f t="shared" si="37"/>
        <v>0</v>
      </c>
      <c r="AM94" s="96">
        <f t="shared" si="37"/>
        <v>0</v>
      </c>
      <c r="AN94" s="96">
        <f t="shared" si="37"/>
        <v>0</v>
      </c>
      <c r="AO94" s="96">
        <f t="shared" si="37"/>
        <v>0</v>
      </c>
      <c r="AP94" s="96">
        <f t="shared" si="37"/>
        <v>0</v>
      </c>
      <c r="AQ94" s="96">
        <f t="shared" si="37"/>
        <v>0</v>
      </c>
      <c r="AR94" s="96">
        <f t="shared" si="37"/>
        <v>0</v>
      </c>
      <c r="AS94" s="96">
        <f t="shared" si="37"/>
        <v>0</v>
      </c>
      <c r="AT94" s="96">
        <f t="shared" si="37"/>
        <v>0</v>
      </c>
      <c r="AU94" s="96">
        <f t="shared" si="37"/>
        <v>0</v>
      </c>
      <c r="AV94" s="96">
        <f t="shared" si="37"/>
        <v>0</v>
      </c>
      <c r="AW94" s="96">
        <f t="shared" si="37"/>
        <v>0</v>
      </c>
      <c r="AX94" s="96">
        <f t="shared" si="37"/>
        <v>0</v>
      </c>
      <c r="AY94" s="96">
        <f t="shared" si="37"/>
        <v>0</v>
      </c>
      <c r="AZ94" s="96">
        <f t="shared" si="37"/>
        <v>0</v>
      </c>
      <c r="BA94" s="96">
        <f t="shared" si="37"/>
        <v>0</v>
      </c>
      <c r="BB94" s="96">
        <f t="shared" si="37"/>
        <v>0</v>
      </c>
      <c r="BC94" s="96">
        <f t="shared" si="37"/>
        <v>0</v>
      </c>
      <c r="BD94" s="96">
        <f t="shared" si="37"/>
        <v>0</v>
      </c>
      <c r="BE94" s="96"/>
      <c r="BF94" s="533" t="str">
        <f t="shared" si="30"/>
        <v>Drinking and sewage water infrastructure</v>
      </c>
      <c r="BG94" s="540"/>
      <c r="BH94" s="543">
        <f t="shared" si="31"/>
        <v>0</v>
      </c>
      <c r="BI94" s="548">
        <f t="shared" si="32"/>
        <v>23621912</v>
      </c>
      <c r="BJ94" s="543">
        <f t="shared" si="16"/>
        <v>1810190</v>
      </c>
      <c r="BK94" s="548">
        <f t="shared" si="17"/>
        <v>0</v>
      </c>
      <c r="BL94" s="548">
        <f t="shared" si="18"/>
        <v>5964275</v>
      </c>
      <c r="BM94" s="548">
        <f t="shared" si="19"/>
        <v>0</v>
      </c>
      <c r="BN94" s="551">
        <f t="shared" si="20"/>
        <v>31396377</v>
      </c>
      <c r="BO94" s="97">
        <f t="shared" si="33"/>
        <v>4.0287453897713023E-3</v>
      </c>
      <c r="BP94" s="43"/>
      <c r="BQ94" s="43"/>
      <c r="BR94" s="430" t="str">
        <f t="shared" si="21"/>
        <v>Drinking and sewage water infrastructure</v>
      </c>
      <c r="BS94" s="44">
        <f t="shared" si="22"/>
        <v>23621912</v>
      </c>
      <c r="BT94" s="44">
        <f t="shared" si="23"/>
        <v>1810190</v>
      </c>
      <c r="BU94" s="44">
        <f t="shared" si="24"/>
        <v>0</v>
      </c>
      <c r="BV94" s="200">
        <f t="shared" si="25"/>
        <v>5964275</v>
      </c>
      <c r="BW94" s="43"/>
      <c r="BX94" s="43"/>
      <c r="BY94" s="199" t="str">
        <f t="shared" si="26"/>
        <v>Drinking and sewage water infrastructure</v>
      </c>
      <c r="BZ94" s="44">
        <f t="shared" si="35"/>
        <v>23621912</v>
      </c>
      <c r="CA94" s="44">
        <f t="shared" si="27"/>
        <v>1810190</v>
      </c>
      <c r="CB94" s="44">
        <f t="shared" si="28"/>
        <v>0</v>
      </c>
      <c r="CC94" s="200">
        <f t="shared" si="36"/>
        <v>5964275</v>
      </c>
    </row>
    <row r="95" spans="1:81" s="19" customFormat="1" x14ac:dyDescent="0.3">
      <c r="A95" s="198"/>
      <c r="B95" s="198"/>
      <c r="C95" s="580" t="str">
        <f>A38</f>
        <v>Vehicles</v>
      </c>
      <c r="D95" s="581"/>
      <c r="E95" s="581"/>
      <c r="F95" s="96">
        <f>SUM(F38:F44)</f>
        <v>0</v>
      </c>
      <c r="G95" s="96">
        <f t="shared" ref="G95:BD95" si="38">SUM(G38:G44)</f>
        <v>0</v>
      </c>
      <c r="H95" s="96">
        <f t="shared" si="38"/>
        <v>0</v>
      </c>
      <c r="I95" s="96">
        <f t="shared" si="38"/>
        <v>0</v>
      </c>
      <c r="J95" s="96">
        <f t="shared" si="38"/>
        <v>0</v>
      </c>
      <c r="K95" s="96">
        <f t="shared" si="38"/>
        <v>0</v>
      </c>
      <c r="L95" s="96">
        <f t="shared" si="38"/>
        <v>0</v>
      </c>
      <c r="M95" s="96">
        <f t="shared" si="38"/>
        <v>0</v>
      </c>
      <c r="N95" s="96">
        <f t="shared" si="38"/>
        <v>29512318.416391607</v>
      </c>
      <c r="O95" s="96">
        <f t="shared" si="38"/>
        <v>1246979.5091160736</v>
      </c>
      <c r="P95" s="96">
        <f t="shared" si="38"/>
        <v>1206032.7958518581</v>
      </c>
      <c r="Q95" s="96">
        <f t="shared" si="38"/>
        <v>2143.433928645748</v>
      </c>
      <c r="R95" s="96">
        <f t="shared" si="38"/>
        <v>1994.0858183643245</v>
      </c>
      <c r="S95" s="96">
        <f t="shared" si="38"/>
        <v>106434.84095270773</v>
      </c>
      <c r="T95" s="96">
        <f t="shared" si="38"/>
        <v>300.45048837453896</v>
      </c>
      <c r="U95" s="96">
        <f t="shared" si="38"/>
        <v>1173123.6783904766</v>
      </c>
      <c r="V95" s="96">
        <f t="shared" si="38"/>
        <v>745963.06535392185</v>
      </c>
      <c r="W95" s="96">
        <f t="shared" si="38"/>
        <v>503670.20099370828</v>
      </c>
      <c r="X95" s="96">
        <f t="shared" si="38"/>
        <v>682633.04716687452</v>
      </c>
      <c r="Y95" s="96">
        <f t="shared" si="38"/>
        <v>4219.8792340207956</v>
      </c>
      <c r="Z95" s="96">
        <f t="shared" si="38"/>
        <v>563907.58063210337</v>
      </c>
      <c r="AA95" s="96">
        <f t="shared" si="38"/>
        <v>11035.259738896217</v>
      </c>
      <c r="AB95" s="96">
        <f t="shared" si="38"/>
        <v>0</v>
      </c>
      <c r="AC95" s="96">
        <f t="shared" si="38"/>
        <v>0</v>
      </c>
      <c r="AD95" s="96">
        <f t="shared" si="38"/>
        <v>0.10800384</v>
      </c>
      <c r="AE95" s="96">
        <f t="shared" si="38"/>
        <v>0</v>
      </c>
      <c r="AF95" s="96">
        <f t="shared" si="38"/>
        <v>0</v>
      </c>
      <c r="AG95" s="96">
        <f t="shared" si="38"/>
        <v>0</v>
      </c>
      <c r="AH95" s="96">
        <f t="shared" si="38"/>
        <v>0</v>
      </c>
      <c r="AI95" s="96">
        <f t="shared" si="38"/>
        <v>0</v>
      </c>
      <c r="AJ95" s="96">
        <f t="shared" si="38"/>
        <v>1.6423719083349324</v>
      </c>
      <c r="AK95" s="96">
        <f t="shared" si="38"/>
        <v>2153.7390701098584</v>
      </c>
      <c r="AL95" s="96">
        <f t="shared" si="38"/>
        <v>0</v>
      </c>
      <c r="AM95" s="96">
        <f t="shared" si="38"/>
        <v>5.2998794841671373E-2</v>
      </c>
      <c r="AN95" s="96">
        <f t="shared" si="38"/>
        <v>7.0107337293842262E-2</v>
      </c>
      <c r="AO95" s="96">
        <f t="shared" si="38"/>
        <v>31.289613655707413</v>
      </c>
      <c r="AP95" s="96">
        <f t="shared" si="38"/>
        <v>1.3759830144480372</v>
      </c>
      <c r="AQ95" s="96">
        <f t="shared" si="38"/>
        <v>45.937038881147906</v>
      </c>
      <c r="AR95" s="96">
        <f t="shared" si="38"/>
        <v>0</v>
      </c>
      <c r="AS95" s="96">
        <f>SUM(AS38:AS41)</f>
        <v>341.42226003321719</v>
      </c>
      <c r="AT95" s="96">
        <f t="shared" si="38"/>
        <v>1429.9714679177403</v>
      </c>
      <c r="AU95" s="96">
        <f t="shared" si="38"/>
        <v>699.49111360032975</v>
      </c>
      <c r="AV95" s="96">
        <f t="shared" si="38"/>
        <v>0</v>
      </c>
      <c r="AW95" s="96">
        <f t="shared" si="38"/>
        <v>2.7786143400821262</v>
      </c>
      <c r="AX95" s="96">
        <f t="shared" si="38"/>
        <v>0</v>
      </c>
      <c r="AY95" s="96">
        <f t="shared" si="38"/>
        <v>0</v>
      </c>
      <c r="AZ95" s="96">
        <f t="shared" si="38"/>
        <v>0</v>
      </c>
      <c r="BA95" s="96">
        <f t="shared" si="38"/>
        <v>2.0537584252780934</v>
      </c>
      <c r="BB95" s="96">
        <f t="shared" si="38"/>
        <v>0</v>
      </c>
      <c r="BC95" s="96">
        <f t="shared" si="38"/>
        <v>0.24161863826801072</v>
      </c>
      <c r="BD95" s="96">
        <f t="shared" si="38"/>
        <v>30.83361248839509</v>
      </c>
      <c r="BE95" s="425"/>
      <c r="BF95" s="533" t="str">
        <f t="shared" si="30"/>
        <v>Vehicles</v>
      </c>
      <c r="BG95" s="540"/>
      <c r="BH95" s="543">
        <f t="shared" si="31"/>
        <v>0</v>
      </c>
      <c r="BI95" s="548">
        <f t="shared" si="32"/>
        <v>0</v>
      </c>
      <c r="BJ95" s="543">
        <f t="shared" si="16"/>
        <v>32076203.53254763</v>
      </c>
      <c r="BK95" s="548">
        <f t="shared" si="17"/>
        <v>2422756.9447381068</v>
      </c>
      <c r="BL95" s="548">
        <f t="shared" si="18"/>
        <v>1261795.7667718951</v>
      </c>
      <c r="BM95" s="548">
        <f t="shared" si="19"/>
        <v>4741.0076329849435</v>
      </c>
      <c r="BN95" s="551">
        <f t="shared" si="20"/>
        <v>35765497.251690619</v>
      </c>
      <c r="BO95" s="97">
        <f t="shared" si="33"/>
        <v>4.5893856531798805E-3</v>
      </c>
      <c r="BP95" s="43"/>
      <c r="BQ95" s="43"/>
      <c r="BR95" s="430" t="str">
        <f t="shared" si="21"/>
        <v>Vehicles</v>
      </c>
      <c r="BS95" s="44">
        <f t="shared" si="22"/>
        <v>11035.259738896217</v>
      </c>
      <c r="BT95" s="44">
        <f t="shared" si="23"/>
        <v>32080944.540180616</v>
      </c>
      <c r="BU95" s="44">
        <f t="shared" si="24"/>
        <v>2422756.9447381068</v>
      </c>
      <c r="BV95" s="200">
        <f t="shared" si="25"/>
        <v>1250760.5070329988</v>
      </c>
      <c r="BW95" s="43"/>
      <c r="BX95" s="43"/>
      <c r="BY95" s="199" t="str">
        <f t="shared" si="26"/>
        <v>Vehicles</v>
      </c>
      <c r="BZ95" s="44">
        <f t="shared" si="35"/>
        <v>11035.259738896217</v>
      </c>
      <c r="CA95" s="44">
        <f t="shared" si="27"/>
        <v>32080944.540180616</v>
      </c>
      <c r="CB95" s="44">
        <f t="shared" si="28"/>
        <v>2422756.9447381068</v>
      </c>
      <c r="CC95" s="200">
        <f t="shared" si="36"/>
        <v>1250760.5070329988</v>
      </c>
    </row>
    <row r="96" spans="1:81" s="19" customFormat="1" x14ac:dyDescent="0.3">
      <c r="A96" s="198"/>
      <c r="B96" s="198"/>
      <c r="C96" s="202" t="str">
        <f>A45</f>
        <v>Machinery</v>
      </c>
      <c r="D96" s="203"/>
      <c r="E96" s="525"/>
      <c r="F96" s="96">
        <f>SUM(F45:F56)</f>
        <v>1947091.54635304</v>
      </c>
      <c r="G96" s="96">
        <f t="shared" ref="G96:BD96" si="39">SUM(G45:G56)</f>
        <v>0</v>
      </c>
      <c r="H96" s="96">
        <f t="shared" si="39"/>
        <v>0</v>
      </c>
      <c r="I96" s="96">
        <f t="shared" si="39"/>
        <v>0</v>
      </c>
      <c r="J96" s="96">
        <f t="shared" si="39"/>
        <v>0</v>
      </c>
      <c r="K96" s="96">
        <f t="shared" si="39"/>
        <v>0</v>
      </c>
      <c r="L96" s="96">
        <f t="shared" si="39"/>
        <v>0</v>
      </c>
      <c r="M96" s="96">
        <f t="shared" si="39"/>
        <v>0</v>
      </c>
      <c r="N96" s="96">
        <f t="shared" si="39"/>
        <v>6808548.814405703</v>
      </c>
      <c r="O96" s="96">
        <f t="shared" si="39"/>
        <v>255176.82904611962</v>
      </c>
      <c r="P96" s="96">
        <f t="shared" si="39"/>
        <v>152719.91613608296</v>
      </c>
      <c r="Q96" s="96">
        <f t="shared" si="39"/>
        <v>4835.9567270371099</v>
      </c>
      <c r="R96" s="96">
        <f t="shared" si="39"/>
        <v>15619.4023439555</v>
      </c>
      <c r="S96" s="96">
        <f t="shared" si="39"/>
        <v>0</v>
      </c>
      <c r="T96" s="96">
        <f t="shared" si="39"/>
        <v>21667.898665229579</v>
      </c>
      <c r="U96" s="96">
        <f t="shared" si="39"/>
        <v>0</v>
      </c>
      <c r="V96" s="96">
        <f t="shared" si="39"/>
        <v>0</v>
      </c>
      <c r="W96" s="96">
        <f t="shared" si="39"/>
        <v>0</v>
      </c>
      <c r="X96" s="96">
        <f t="shared" si="39"/>
        <v>235598.63839907147</v>
      </c>
      <c r="Y96" s="96">
        <f t="shared" si="39"/>
        <v>0</v>
      </c>
      <c r="Z96" s="96">
        <f t="shared" si="39"/>
        <v>875316.55826017249</v>
      </c>
      <c r="AA96" s="96">
        <f t="shared" si="39"/>
        <v>15947.9304358312</v>
      </c>
      <c r="AB96" s="96">
        <f t="shared" si="39"/>
        <v>0</v>
      </c>
      <c r="AC96" s="96">
        <f t="shared" si="39"/>
        <v>0</v>
      </c>
      <c r="AD96" s="96">
        <f t="shared" si="39"/>
        <v>5.0330780125828882</v>
      </c>
      <c r="AE96" s="96">
        <f t="shared" si="39"/>
        <v>26.154795424535799</v>
      </c>
      <c r="AF96" s="96">
        <f t="shared" si="39"/>
        <v>0</v>
      </c>
      <c r="AG96" s="96">
        <f t="shared" si="39"/>
        <v>0.83842012684864275</v>
      </c>
      <c r="AH96" s="96">
        <f t="shared" si="39"/>
        <v>0</v>
      </c>
      <c r="AI96" s="96">
        <f t="shared" si="39"/>
        <v>0.15657168372778599</v>
      </c>
      <c r="AJ96" s="96">
        <f t="shared" si="39"/>
        <v>0</v>
      </c>
      <c r="AK96" s="96">
        <f t="shared" si="39"/>
        <v>0</v>
      </c>
      <c r="AL96" s="96">
        <f t="shared" si="39"/>
        <v>0</v>
      </c>
      <c r="AM96" s="96">
        <f t="shared" si="39"/>
        <v>0</v>
      </c>
      <c r="AN96" s="96">
        <f t="shared" si="39"/>
        <v>3.2421776068115826</v>
      </c>
      <c r="AO96" s="96">
        <f t="shared" si="39"/>
        <v>183.55062459941132</v>
      </c>
      <c r="AP96" s="96">
        <f t="shared" si="39"/>
        <v>0</v>
      </c>
      <c r="AQ96" s="96">
        <f t="shared" si="39"/>
        <v>9.1768829474457581E-2</v>
      </c>
      <c r="AR96" s="96">
        <f t="shared" si="39"/>
        <v>2.1495852287978163</v>
      </c>
      <c r="AS96" s="96">
        <f t="shared" si="39"/>
        <v>0</v>
      </c>
      <c r="AT96" s="96">
        <f t="shared" si="39"/>
        <v>0</v>
      </c>
      <c r="AU96" s="96">
        <f t="shared" si="39"/>
        <v>0</v>
      </c>
      <c r="AV96" s="96">
        <f t="shared" si="39"/>
        <v>0</v>
      </c>
      <c r="AW96" s="96">
        <f t="shared" si="39"/>
        <v>110.55214494424861</v>
      </c>
      <c r="AX96" s="96">
        <f t="shared" si="39"/>
        <v>0</v>
      </c>
      <c r="AY96" s="96">
        <f t="shared" si="39"/>
        <v>5.8880918197781962E-2</v>
      </c>
      <c r="AZ96" s="96">
        <f t="shared" si="39"/>
        <v>0.49494809553083402</v>
      </c>
      <c r="BA96" s="96">
        <f t="shared" si="39"/>
        <v>0</v>
      </c>
      <c r="BB96" s="96">
        <f t="shared" si="39"/>
        <v>6.4998952794293963E-2</v>
      </c>
      <c r="BC96" s="96">
        <f t="shared" si="39"/>
        <v>0</v>
      </c>
      <c r="BD96" s="96">
        <f t="shared" si="39"/>
        <v>0</v>
      </c>
      <c r="BE96" s="96"/>
      <c r="BF96" s="533" t="str">
        <f t="shared" si="30"/>
        <v>Machinery</v>
      </c>
      <c r="BG96" s="203"/>
      <c r="BH96" s="543">
        <f t="shared" si="31"/>
        <v>0</v>
      </c>
      <c r="BI96" s="548">
        <f t="shared" si="32"/>
        <v>1947091.54635304</v>
      </c>
      <c r="BJ96" s="543">
        <f t="shared" si="16"/>
        <v>7258568.8173241289</v>
      </c>
      <c r="BK96" s="548">
        <f t="shared" si="17"/>
        <v>0</v>
      </c>
      <c r="BL96" s="548">
        <f t="shared" si="18"/>
        <v>1126863.1270950751</v>
      </c>
      <c r="BM96" s="548">
        <f t="shared" si="19"/>
        <v>332.38799442296175</v>
      </c>
      <c r="BN96" s="551">
        <f t="shared" si="20"/>
        <v>10332855.878766667</v>
      </c>
      <c r="BO96" s="97">
        <f t="shared" si="33"/>
        <v>1.3258996566626942E-3</v>
      </c>
      <c r="BP96" s="43"/>
      <c r="BQ96" s="43"/>
      <c r="BR96" s="430" t="str">
        <f t="shared" si="21"/>
        <v>Machinery</v>
      </c>
      <c r="BS96" s="44">
        <f t="shared" si="22"/>
        <v>1963039.4767888712</v>
      </c>
      <c r="BT96" s="44">
        <f t="shared" si="23"/>
        <v>7258901.2053185515</v>
      </c>
      <c r="BU96" s="44">
        <f t="shared" si="24"/>
        <v>0</v>
      </c>
      <c r="BV96" s="200">
        <f t="shared" si="25"/>
        <v>1110915.1966592439</v>
      </c>
      <c r="BW96" s="43"/>
      <c r="BX96" s="43"/>
      <c r="BY96" s="199" t="str">
        <f t="shared" si="26"/>
        <v>Machinery</v>
      </c>
      <c r="BZ96" s="44">
        <f t="shared" si="35"/>
        <v>1963039.4767888712</v>
      </c>
      <c r="CA96" s="44">
        <f t="shared" si="27"/>
        <v>7258901.2053185515</v>
      </c>
      <c r="CB96" s="44">
        <f t="shared" si="28"/>
        <v>0</v>
      </c>
      <c r="CC96" s="200">
        <f t="shared" si="36"/>
        <v>1110915.1966592439</v>
      </c>
    </row>
    <row r="97" spans="1:81" s="19" customFormat="1" x14ac:dyDescent="0.3">
      <c r="A97" s="198"/>
      <c r="B97" s="198"/>
      <c r="C97" s="202" t="str">
        <f>A57</f>
        <v>Textiles</v>
      </c>
      <c r="D97" s="203"/>
      <c r="E97" s="525"/>
      <c r="F97" s="96">
        <f>SUM(F57:F66)</f>
        <v>0</v>
      </c>
      <c r="G97" s="96">
        <f t="shared" ref="G97:BD97" si="40">SUM(G57:G66)</f>
        <v>0</v>
      </c>
      <c r="H97" s="96">
        <f t="shared" si="40"/>
        <v>0</v>
      </c>
      <c r="I97" s="96">
        <f t="shared" si="40"/>
        <v>0</v>
      </c>
      <c r="J97" s="96">
        <f t="shared" si="40"/>
        <v>0</v>
      </c>
      <c r="K97" s="96">
        <f t="shared" si="40"/>
        <v>0</v>
      </c>
      <c r="L97" s="96">
        <f t="shared" si="40"/>
        <v>0</v>
      </c>
      <c r="M97" s="96">
        <f t="shared" si="40"/>
        <v>0</v>
      </c>
      <c r="N97" s="96">
        <f t="shared" si="40"/>
        <v>317316.12164756301</v>
      </c>
      <c r="O97" s="96">
        <f t="shared" si="40"/>
        <v>0</v>
      </c>
      <c r="P97" s="96">
        <f t="shared" si="40"/>
        <v>0</v>
      </c>
      <c r="Q97" s="96">
        <f t="shared" si="40"/>
        <v>0</v>
      </c>
      <c r="R97" s="96">
        <f t="shared" si="40"/>
        <v>0</v>
      </c>
      <c r="S97" s="96">
        <f t="shared" si="40"/>
        <v>0</v>
      </c>
      <c r="T97" s="96">
        <f t="shared" si="40"/>
        <v>5989.5768907909996</v>
      </c>
      <c r="U97" s="96">
        <f t="shared" si="40"/>
        <v>0</v>
      </c>
      <c r="V97" s="96">
        <f t="shared" si="40"/>
        <v>0</v>
      </c>
      <c r="W97" s="96">
        <f t="shared" si="40"/>
        <v>1061739.5642920006</v>
      </c>
      <c r="X97" s="96">
        <f t="shared" si="40"/>
        <v>1608603.606150371</v>
      </c>
      <c r="Y97" s="96">
        <f t="shared" si="40"/>
        <v>0</v>
      </c>
      <c r="Z97" s="96">
        <f t="shared" si="40"/>
        <v>0</v>
      </c>
      <c r="AA97" s="96">
        <f t="shared" si="40"/>
        <v>0</v>
      </c>
      <c r="AB97" s="96">
        <f t="shared" si="40"/>
        <v>0</v>
      </c>
      <c r="AC97" s="96">
        <f t="shared" si="40"/>
        <v>1560055.4296484373</v>
      </c>
      <c r="AD97" s="96">
        <f t="shared" si="40"/>
        <v>0</v>
      </c>
      <c r="AE97" s="96">
        <f t="shared" si="40"/>
        <v>0</v>
      </c>
      <c r="AF97" s="96">
        <f t="shared" si="40"/>
        <v>0</v>
      </c>
      <c r="AG97" s="96">
        <f t="shared" si="40"/>
        <v>0</v>
      </c>
      <c r="AH97" s="96">
        <f t="shared" si="40"/>
        <v>0</v>
      </c>
      <c r="AI97" s="96">
        <f t="shared" si="40"/>
        <v>0</v>
      </c>
      <c r="AJ97" s="96">
        <f t="shared" si="40"/>
        <v>0</v>
      </c>
      <c r="AK97" s="96">
        <f t="shared" si="40"/>
        <v>0</v>
      </c>
      <c r="AL97" s="96">
        <f t="shared" si="40"/>
        <v>0</v>
      </c>
      <c r="AM97" s="96">
        <f t="shared" si="40"/>
        <v>0</v>
      </c>
      <c r="AN97" s="96">
        <f t="shared" si="40"/>
        <v>0</v>
      </c>
      <c r="AO97" s="96">
        <f t="shared" si="40"/>
        <v>0</v>
      </c>
      <c r="AP97" s="96">
        <f t="shared" si="40"/>
        <v>0</v>
      </c>
      <c r="AQ97" s="96">
        <f t="shared" si="40"/>
        <v>0</v>
      </c>
      <c r="AR97" s="96">
        <f t="shared" si="40"/>
        <v>0</v>
      </c>
      <c r="AS97" s="96">
        <f t="shared" si="40"/>
        <v>0</v>
      </c>
      <c r="AT97" s="96">
        <f t="shared" si="40"/>
        <v>0</v>
      </c>
      <c r="AU97" s="96">
        <f t="shared" si="40"/>
        <v>0</v>
      </c>
      <c r="AV97" s="96">
        <f t="shared" si="40"/>
        <v>0</v>
      </c>
      <c r="AW97" s="96">
        <f t="shared" si="40"/>
        <v>0</v>
      </c>
      <c r="AX97" s="96">
        <f t="shared" si="40"/>
        <v>0</v>
      </c>
      <c r="AY97" s="96">
        <f t="shared" si="40"/>
        <v>0</v>
      </c>
      <c r="AZ97" s="96">
        <f t="shared" si="40"/>
        <v>0</v>
      </c>
      <c r="BA97" s="96">
        <f t="shared" si="40"/>
        <v>0</v>
      </c>
      <c r="BB97" s="96">
        <f t="shared" si="40"/>
        <v>0</v>
      </c>
      <c r="BC97" s="96">
        <f t="shared" si="40"/>
        <v>0</v>
      </c>
      <c r="BD97" s="96">
        <f t="shared" si="40"/>
        <v>0</v>
      </c>
      <c r="BE97" s="425"/>
      <c r="BF97" s="533" t="str">
        <f t="shared" si="30"/>
        <v>Textiles</v>
      </c>
      <c r="BG97" s="540"/>
      <c r="BH97" s="543">
        <f t="shared" si="31"/>
        <v>0</v>
      </c>
      <c r="BI97" s="548">
        <f t="shared" si="32"/>
        <v>0</v>
      </c>
      <c r="BJ97" s="543">
        <f t="shared" si="16"/>
        <v>323305.69853835402</v>
      </c>
      <c r="BK97" s="548">
        <f t="shared" si="17"/>
        <v>1061739.5642920006</v>
      </c>
      <c r="BL97" s="548">
        <f t="shared" si="18"/>
        <v>3168659.0357988086</v>
      </c>
      <c r="BM97" s="548">
        <f t="shared" si="19"/>
        <v>0</v>
      </c>
      <c r="BN97" s="551">
        <f t="shared" si="20"/>
        <v>4553704.2986291628</v>
      </c>
      <c r="BO97" s="97">
        <f t="shared" si="33"/>
        <v>5.8432586662735008E-4</v>
      </c>
      <c r="BP97" s="43"/>
      <c r="BQ97" s="43"/>
      <c r="BR97" s="430" t="str">
        <f t="shared" si="21"/>
        <v>Textiles</v>
      </c>
      <c r="BS97" s="44">
        <f t="shared" si="22"/>
        <v>0</v>
      </c>
      <c r="BT97" s="44">
        <f t="shared" si="23"/>
        <v>323305.69853835402</v>
      </c>
      <c r="BU97" s="44">
        <f t="shared" si="24"/>
        <v>1061739.5642920006</v>
      </c>
      <c r="BV97" s="200">
        <f t="shared" si="25"/>
        <v>3168659.0357988086</v>
      </c>
      <c r="BW97" s="43"/>
      <c r="BX97" s="43"/>
      <c r="BY97" s="199" t="str">
        <f t="shared" si="26"/>
        <v>Textiles</v>
      </c>
      <c r="BZ97" s="44">
        <f t="shared" si="35"/>
        <v>0</v>
      </c>
      <c r="CA97" s="44">
        <f t="shared" si="27"/>
        <v>323305.69853835402</v>
      </c>
      <c r="CB97" s="44">
        <f t="shared" si="28"/>
        <v>1061739.5642920006</v>
      </c>
      <c r="CC97" s="200">
        <f t="shared" si="36"/>
        <v>3168659.0357988086</v>
      </c>
    </row>
    <row r="98" spans="1:81" s="19" customFormat="1" x14ac:dyDescent="0.3">
      <c r="A98" s="198"/>
      <c r="B98" s="198"/>
      <c r="C98" s="580" t="str">
        <f>A67</f>
        <v>Consumer electronics</v>
      </c>
      <c r="D98" s="581"/>
      <c r="E98" s="581"/>
      <c r="F98" s="96">
        <f>SUM(F67:F72)</f>
        <v>0</v>
      </c>
      <c r="G98" s="96">
        <f t="shared" ref="G98:BD98" si="41">SUM(G67:G72)</f>
        <v>0</v>
      </c>
      <c r="H98" s="96">
        <f t="shared" si="41"/>
        <v>0</v>
      </c>
      <c r="I98" s="96">
        <f t="shared" si="41"/>
        <v>0</v>
      </c>
      <c r="J98" s="96">
        <f t="shared" si="41"/>
        <v>0</v>
      </c>
      <c r="K98" s="96">
        <f t="shared" si="41"/>
        <v>0</v>
      </c>
      <c r="L98" s="96">
        <f t="shared" si="41"/>
        <v>0</v>
      </c>
      <c r="M98" s="96">
        <f t="shared" si="41"/>
        <v>0</v>
      </c>
      <c r="N98" s="96">
        <f t="shared" si="41"/>
        <v>572929</v>
      </c>
      <c r="O98" s="96">
        <f t="shared" si="41"/>
        <v>49831</v>
      </c>
      <c r="P98" s="96">
        <f t="shared" si="41"/>
        <v>70543</v>
      </c>
      <c r="Q98" s="96">
        <f t="shared" si="41"/>
        <v>0</v>
      </c>
      <c r="R98" s="96">
        <f t="shared" si="41"/>
        <v>0</v>
      </c>
      <c r="S98" s="96">
        <f t="shared" si="41"/>
        <v>27562</v>
      </c>
      <c r="T98" s="96">
        <f t="shared" si="41"/>
        <v>0</v>
      </c>
      <c r="U98" s="96">
        <f t="shared" si="41"/>
        <v>0</v>
      </c>
      <c r="V98" s="96">
        <f t="shared" si="41"/>
        <v>0</v>
      </c>
      <c r="W98" s="96">
        <f t="shared" si="41"/>
        <v>0</v>
      </c>
      <c r="X98" s="96">
        <f t="shared" si="41"/>
        <v>363875</v>
      </c>
      <c r="Y98" s="96">
        <f t="shared" si="41"/>
        <v>0</v>
      </c>
      <c r="Z98" s="96">
        <f t="shared" si="41"/>
        <v>0</v>
      </c>
      <c r="AA98" s="96">
        <f t="shared" si="41"/>
        <v>6336</v>
      </c>
      <c r="AB98" s="96">
        <f t="shared" si="41"/>
        <v>0</v>
      </c>
      <c r="AC98" s="96">
        <f t="shared" si="41"/>
        <v>0</v>
      </c>
      <c r="AD98" s="96">
        <f t="shared" si="41"/>
        <v>39</v>
      </c>
      <c r="AE98" s="96">
        <f t="shared" si="41"/>
        <v>3</v>
      </c>
      <c r="AF98" s="96">
        <f t="shared" si="41"/>
        <v>4</v>
      </c>
      <c r="AG98" s="96">
        <f t="shared" si="41"/>
        <v>9</v>
      </c>
      <c r="AH98" s="96">
        <f t="shared" si="41"/>
        <v>1</v>
      </c>
      <c r="AI98" s="96">
        <f t="shared" si="41"/>
        <v>0</v>
      </c>
      <c r="AJ98" s="96">
        <f t="shared" si="41"/>
        <v>35</v>
      </c>
      <c r="AK98" s="96">
        <f t="shared" si="41"/>
        <v>0</v>
      </c>
      <c r="AL98" s="96">
        <f t="shared" si="41"/>
        <v>0</v>
      </c>
      <c r="AM98" s="96">
        <f t="shared" si="41"/>
        <v>27238</v>
      </c>
      <c r="AN98" s="96">
        <f t="shared" si="41"/>
        <v>1</v>
      </c>
      <c r="AO98" s="96">
        <f t="shared" si="41"/>
        <v>79</v>
      </c>
      <c r="AP98" s="96">
        <f t="shared" si="41"/>
        <v>7</v>
      </c>
      <c r="AQ98" s="96">
        <f t="shared" si="41"/>
        <v>0</v>
      </c>
      <c r="AR98" s="96">
        <f t="shared" si="41"/>
        <v>11</v>
      </c>
      <c r="AS98" s="96">
        <f t="shared" si="41"/>
        <v>5966</v>
      </c>
      <c r="AT98" s="96">
        <f t="shared" si="41"/>
        <v>0</v>
      </c>
      <c r="AU98" s="96">
        <f t="shared" si="41"/>
        <v>0</v>
      </c>
      <c r="AV98" s="96">
        <f t="shared" si="41"/>
        <v>626</v>
      </c>
      <c r="AW98" s="96">
        <f t="shared" si="41"/>
        <v>154</v>
      </c>
      <c r="AX98" s="96">
        <f t="shared" si="41"/>
        <v>3</v>
      </c>
      <c r="AY98" s="96">
        <f t="shared" si="41"/>
        <v>0</v>
      </c>
      <c r="AZ98" s="96">
        <f t="shared" si="41"/>
        <v>0</v>
      </c>
      <c r="BA98" s="96">
        <f t="shared" si="41"/>
        <v>0</v>
      </c>
      <c r="BB98" s="96">
        <f t="shared" si="41"/>
        <v>3</v>
      </c>
      <c r="BC98" s="96">
        <f t="shared" si="41"/>
        <v>0</v>
      </c>
      <c r="BD98" s="96">
        <f t="shared" si="41"/>
        <v>0</v>
      </c>
      <c r="BE98" s="425"/>
      <c r="BF98" s="533" t="str">
        <f t="shared" si="30"/>
        <v>Consumer electronics</v>
      </c>
      <c r="BG98" s="540"/>
      <c r="BH98" s="543">
        <f t="shared" si="31"/>
        <v>0</v>
      </c>
      <c r="BI98" s="548">
        <f t="shared" si="32"/>
        <v>0</v>
      </c>
      <c r="BJ98" s="543">
        <f t="shared" si="16"/>
        <v>720865</v>
      </c>
      <c r="BK98" s="548">
        <f t="shared" si="17"/>
        <v>0</v>
      </c>
      <c r="BL98" s="548">
        <f t="shared" si="18"/>
        <v>370211</v>
      </c>
      <c r="BM98" s="548">
        <f t="shared" si="19"/>
        <v>34179</v>
      </c>
      <c r="BN98" s="551">
        <f t="shared" si="20"/>
        <v>1125255</v>
      </c>
      <c r="BO98" s="97">
        <f t="shared" si="33"/>
        <v>1.4439137017519909E-4</v>
      </c>
      <c r="BP98" s="43"/>
      <c r="BQ98" s="43"/>
      <c r="BR98" s="430" t="str">
        <f t="shared" si="21"/>
        <v>Consumer electronics</v>
      </c>
      <c r="BS98" s="44">
        <f t="shared" si="22"/>
        <v>6336</v>
      </c>
      <c r="BT98" s="44">
        <f t="shared" si="23"/>
        <v>755044</v>
      </c>
      <c r="BU98" s="44">
        <f t="shared" si="24"/>
        <v>0</v>
      </c>
      <c r="BV98" s="200">
        <f t="shared" si="25"/>
        <v>363875</v>
      </c>
      <c r="BW98" s="43"/>
      <c r="BX98" s="43"/>
      <c r="BY98" s="199" t="str">
        <f t="shared" si="26"/>
        <v>Consumer electronics</v>
      </c>
      <c r="BZ98" s="44">
        <f t="shared" si="35"/>
        <v>6336</v>
      </c>
      <c r="CA98" s="44">
        <f t="shared" si="27"/>
        <v>755044</v>
      </c>
      <c r="CB98" s="44">
        <f t="shared" si="28"/>
        <v>0</v>
      </c>
      <c r="CC98" s="200">
        <f t="shared" si="36"/>
        <v>363875</v>
      </c>
    </row>
    <row r="99" spans="1:81" s="19" customFormat="1" ht="15" thickBot="1" x14ac:dyDescent="0.35">
      <c r="A99" s="198"/>
      <c r="B99" s="198"/>
      <c r="C99" s="587" t="str">
        <f>A73</f>
        <v>Other consumer goods</v>
      </c>
      <c r="D99" s="588"/>
      <c r="E99" s="588"/>
      <c r="F99" s="98">
        <f>SUM(F73:F87)</f>
        <v>153944.64480295699</v>
      </c>
      <c r="G99" s="98">
        <f t="shared" ref="G99:BD99" si="42">SUM(G73:G87)</f>
        <v>0</v>
      </c>
      <c r="H99" s="98">
        <f t="shared" si="42"/>
        <v>0</v>
      </c>
      <c r="I99" s="98">
        <f t="shared" si="42"/>
        <v>0</v>
      </c>
      <c r="J99" s="98">
        <f t="shared" si="42"/>
        <v>0</v>
      </c>
      <c r="K99" s="98">
        <f t="shared" si="42"/>
        <v>0</v>
      </c>
      <c r="L99" s="98">
        <f t="shared" si="42"/>
        <v>0</v>
      </c>
      <c r="M99" s="98">
        <f t="shared" si="42"/>
        <v>0</v>
      </c>
      <c r="N99" s="98">
        <f t="shared" si="42"/>
        <v>2971474.1101978784</v>
      </c>
      <c r="O99" s="98">
        <f t="shared" si="42"/>
        <v>0</v>
      </c>
      <c r="P99" s="98">
        <f t="shared" si="42"/>
        <v>228337.44744034417</v>
      </c>
      <c r="Q99" s="98">
        <f t="shared" si="42"/>
        <v>0</v>
      </c>
      <c r="R99" s="98">
        <f t="shared" si="42"/>
        <v>0</v>
      </c>
      <c r="S99" s="98">
        <f t="shared" si="42"/>
        <v>0</v>
      </c>
      <c r="T99" s="98">
        <f t="shared" si="42"/>
        <v>226248.18657938504</v>
      </c>
      <c r="U99" s="98">
        <f t="shared" si="42"/>
        <v>1894873.9155759853</v>
      </c>
      <c r="V99" s="98">
        <f t="shared" si="42"/>
        <v>3557346.2527145818</v>
      </c>
      <c r="W99" s="98">
        <f t="shared" si="42"/>
        <v>0</v>
      </c>
      <c r="X99" s="98">
        <f t="shared" si="42"/>
        <v>1055407.7765960153</v>
      </c>
      <c r="Y99" s="98">
        <f t="shared" si="42"/>
        <v>0</v>
      </c>
      <c r="Z99" s="98">
        <f t="shared" si="42"/>
        <v>3686626.0250517307</v>
      </c>
      <c r="AA99" s="98">
        <f t="shared" si="42"/>
        <v>289856.92742420908</v>
      </c>
      <c r="AB99" s="98">
        <f t="shared" si="42"/>
        <v>0</v>
      </c>
      <c r="AC99" s="98">
        <f t="shared" si="42"/>
        <v>160732.59561771227</v>
      </c>
      <c r="AD99" s="98">
        <f t="shared" si="42"/>
        <v>8.8032534336909697E-6</v>
      </c>
      <c r="AE99" s="98">
        <f t="shared" si="42"/>
        <v>0</v>
      </c>
      <c r="AF99" s="98">
        <f t="shared" si="42"/>
        <v>0</v>
      </c>
      <c r="AG99" s="98">
        <f t="shared" si="42"/>
        <v>153.610960017385</v>
      </c>
      <c r="AH99" s="98">
        <f t="shared" si="42"/>
        <v>0</v>
      </c>
      <c r="AI99" s="98">
        <f t="shared" si="42"/>
        <v>0</v>
      </c>
      <c r="AJ99" s="98">
        <f t="shared" si="42"/>
        <v>0</v>
      </c>
      <c r="AK99" s="98">
        <f t="shared" si="42"/>
        <v>0</v>
      </c>
      <c r="AL99" s="98">
        <f t="shared" si="42"/>
        <v>0</v>
      </c>
      <c r="AM99" s="98">
        <f t="shared" si="42"/>
        <v>0</v>
      </c>
      <c r="AN99" s="98">
        <f t="shared" si="42"/>
        <v>1.4663684198865899E-3</v>
      </c>
      <c r="AO99" s="98">
        <f t="shared" si="42"/>
        <v>2646.2805091661899</v>
      </c>
      <c r="AP99" s="98">
        <f t="shared" si="42"/>
        <v>0</v>
      </c>
      <c r="AQ99" s="98">
        <f t="shared" si="42"/>
        <v>0</v>
      </c>
      <c r="AR99" s="98">
        <f t="shared" si="42"/>
        <v>390.31395827237645</v>
      </c>
      <c r="AS99" s="98">
        <f t="shared" si="42"/>
        <v>0</v>
      </c>
      <c r="AT99" s="98">
        <f t="shared" si="42"/>
        <v>0</v>
      </c>
      <c r="AU99" s="98">
        <f t="shared" si="42"/>
        <v>0</v>
      </c>
      <c r="AV99" s="98">
        <f t="shared" si="42"/>
        <v>0</v>
      </c>
      <c r="AW99" s="98">
        <f t="shared" si="42"/>
        <v>9.22714728044118</v>
      </c>
      <c r="AX99" s="98">
        <f t="shared" si="42"/>
        <v>0</v>
      </c>
      <c r="AY99" s="98">
        <f t="shared" si="42"/>
        <v>0</v>
      </c>
      <c r="AZ99" s="98">
        <f t="shared" si="42"/>
        <v>0</v>
      </c>
      <c r="BA99" s="98">
        <f t="shared" si="42"/>
        <v>0</v>
      </c>
      <c r="BB99" s="98">
        <f t="shared" si="42"/>
        <v>5.8341505079755702E-4</v>
      </c>
      <c r="BC99" s="98">
        <f t="shared" si="42"/>
        <v>0</v>
      </c>
      <c r="BD99" s="98">
        <f t="shared" si="42"/>
        <v>18486.425323078998</v>
      </c>
      <c r="BE99" s="96"/>
      <c r="BF99" s="534" t="str">
        <f t="shared" si="30"/>
        <v>Other consumer goods</v>
      </c>
      <c r="BG99" s="541"/>
      <c r="BH99" s="544">
        <f t="shared" si="31"/>
        <v>0</v>
      </c>
      <c r="BI99" s="549">
        <f t="shared" si="32"/>
        <v>153944.64480295699</v>
      </c>
      <c r="BJ99" s="544">
        <f t="shared" si="16"/>
        <v>3426059.7442176077</v>
      </c>
      <c r="BK99" s="549">
        <f t="shared" si="17"/>
        <v>5452220.1682905667</v>
      </c>
      <c r="BL99" s="549">
        <f t="shared" si="18"/>
        <v>5192623.3246896677</v>
      </c>
      <c r="BM99" s="549">
        <f t="shared" si="19"/>
        <v>21685.859956402113</v>
      </c>
      <c r="BN99" s="552">
        <f t="shared" si="20"/>
        <v>14246533.741957201</v>
      </c>
      <c r="BO99" s="99">
        <f t="shared" si="33"/>
        <v>1.8280980997626376E-3</v>
      </c>
      <c r="BP99" s="43"/>
      <c r="BQ99" s="43"/>
      <c r="BR99" s="431" t="str">
        <f t="shared" si="21"/>
        <v>Other consumer goods</v>
      </c>
      <c r="BS99" s="205">
        <f t="shared" si="22"/>
        <v>443801.57222716603</v>
      </c>
      <c r="BT99" s="205">
        <f t="shared" si="23"/>
        <v>3447745.60417401</v>
      </c>
      <c r="BU99" s="205">
        <f t="shared" si="24"/>
        <v>5452220.1682905667</v>
      </c>
      <c r="BV99" s="206">
        <f t="shared" si="25"/>
        <v>4902766.3972654585</v>
      </c>
      <c r="BW99" s="43"/>
      <c r="BX99" s="43"/>
      <c r="BY99" s="204" t="str">
        <f t="shared" ref="BY99" si="43">BR99</f>
        <v>Other consumer goods</v>
      </c>
      <c r="BZ99" s="205">
        <f t="shared" si="35"/>
        <v>443801.57222716603</v>
      </c>
      <c r="CA99" s="205">
        <f t="shared" si="27"/>
        <v>3447745.60417401</v>
      </c>
      <c r="CB99" s="205">
        <f t="shared" si="28"/>
        <v>5452220.1682905667</v>
      </c>
      <c r="CC99" s="206">
        <f t="shared" si="36"/>
        <v>4902766.3972654585</v>
      </c>
    </row>
    <row r="100" spans="1:81" s="92" customFormat="1" ht="14.7" customHeight="1" thickBot="1" x14ac:dyDescent="0.3">
      <c r="A100" s="207"/>
      <c r="B100" s="207"/>
      <c r="C100" s="593" t="s">
        <v>77</v>
      </c>
      <c r="D100" s="594"/>
      <c r="E100" s="595"/>
      <c r="F100" s="208">
        <f>SUM(F91:F99)</f>
        <v>2186523029.6691961</v>
      </c>
      <c r="G100" s="209">
        <f t="shared" ref="G100:BD100" si="44">SUM(G91:G99)</f>
        <v>150247956.98621705</v>
      </c>
      <c r="H100" s="209">
        <f t="shared" si="44"/>
        <v>253145002.30111837</v>
      </c>
      <c r="I100" s="209">
        <f t="shared" si="44"/>
        <v>3878818672.5693998</v>
      </c>
      <c r="J100" s="209">
        <f t="shared" si="44"/>
        <v>28790428.031033985</v>
      </c>
      <c r="K100" s="209">
        <f t="shared" si="44"/>
        <v>430340382.03058338</v>
      </c>
      <c r="L100" s="209">
        <f t="shared" si="44"/>
        <v>572521175.77157986</v>
      </c>
      <c r="M100" s="209">
        <f t="shared" si="44"/>
        <v>1062929.5111389982</v>
      </c>
      <c r="N100" s="209">
        <f t="shared" si="44"/>
        <v>164623697.66736567</v>
      </c>
      <c r="O100" s="209">
        <f>SUM(O91:O99)</f>
        <v>2563415.7699376545</v>
      </c>
      <c r="P100" s="209">
        <f t="shared" si="44"/>
        <v>4880865.2181054112</v>
      </c>
      <c r="Q100" s="209">
        <f t="shared" si="44"/>
        <v>6996.324967880596</v>
      </c>
      <c r="R100" s="209">
        <f t="shared" si="44"/>
        <v>342024.17985757388</v>
      </c>
      <c r="S100" s="209">
        <f t="shared" ref="S100" si="45">SUM(S91:S99)</f>
        <v>137278.50843640638</v>
      </c>
      <c r="T100" s="209">
        <f t="shared" si="44"/>
        <v>2227891.8298934391</v>
      </c>
      <c r="U100" s="209">
        <f t="shared" si="44"/>
        <v>50092508.995866664</v>
      </c>
      <c r="V100" s="209">
        <f t="shared" si="44"/>
        <v>4303309.3180685034</v>
      </c>
      <c r="W100" s="209">
        <f t="shared" si="44"/>
        <v>1565409.7652857089</v>
      </c>
      <c r="X100" s="209">
        <f t="shared" si="44"/>
        <v>13023164.48799132</v>
      </c>
      <c r="Y100" s="209">
        <f t="shared" si="44"/>
        <v>23460869.87145593</v>
      </c>
      <c r="Z100" s="209">
        <f t="shared" si="44"/>
        <v>8558429.6341494434</v>
      </c>
      <c r="AA100" s="209">
        <f t="shared" si="44"/>
        <v>6492618.0855262252</v>
      </c>
      <c r="AB100" s="209">
        <f t="shared" si="44"/>
        <v>7564504.7617518958</v>
      </c>
      <c r="AC100" s="209">
        <f t="shared" si="44"/>
        <v>1720788.0252661495</v>
      </c>
      <c r="AD100" s="209">
        <f t="shared" si="44"/>
        <v>135.65574517805763</v>
      </c>
      <c r="AE100" s="209">
        <f t="shared" si="44"/>
        <v>32.899445171165311</v>
      </c>
      <c r="AF100" s="209">
        <f t="shared" si="44"/>
        <v>20.048498914126501</v>
      </c>
      <c r="AG100" s="209">
        <f t="shared" si="44"/>
        <v>171.31534852837115</v>
      </c>
      <c r="AH100" s="209">
        <f t="shared" si="44"/>
        <v>2.2001750180377888</v>
      </c>
      <c r="AI100" s="209">
        <f t="shared" si="44"/>
        <v>13.005007713854527</v>
      </c>
      <c r="AJ100" s="209">
        <f t="shared" si="44"/>
        <v>118.04849510099977</v>
      </c>
      <c r="AK100" s="209">
        <f t="shared" si="44"/>
        <v>2153.7390701098584</v>
      </c>
      <c r="AL100" s="209">
        <f t="shared" si="44"/>
        <v>0.7260035223057224</v>
      </c>
      <c r="AM100" s="209">
        <f t="shared" si="44"/>
        <v>42859.81379395759</v>
      </c>
      <c r="AN100" s="209">
        <f t="shared" si="44"/>
        <v>4.3137513125253113</v>
      </c>
      <c r="AO100" s="209">
        <f t="shared" si="44"/>
        <v>3050.2519794213085</v>
      </c>
      <c r="AP100" s="209">
        <f t="shared" si="44"/>
        <v>8.3759830144480372</v>
      </c>
      <c r="AQ100" s="209">
        <f t="shared" si="44"/>
        <v>46.028807710622367</v>
      </c>
      <c r="AR100" s="209">
        <f t="shared" si="44"/>
        <v>406.23753550117425</v>
      </c>
      <c r="AS100" s="209">
        <f t="shared" si="44"/>
        <v>6307.4222600332168</v>
      </c>
      <c r="AT100" s="209">
        <f t="shared" si="44"/>
        <v>1438.4601319177402</v>
      </c>
      <c r="AU100" s="209">
        <f t="shared" si="44"/>
        <v>699.49111360032975</v>
      </c>
      <c r="AV100" s="209">
        <f t="shared" si="44"/>
        <v>626</v>
      </c>
      <c r="AW100" s="209">
        <f t="shared" si="44"/>
        <v>381.09290656477191</v>
      </c>
      <c r="AX100" s="209">
        <f t="shared" si="44"/>
        <v>3.2549999999999999</v>
      </c>
      <c r="AY100" s="209">
        <f t="shared" si="44"/>
        <v>5.8880918197781962E-2</v>
      </c>
      <c r="AZ100" s="209">
        <f t="shared" si="44"/>
        <v>11.196724095530834</v>
      </c>
      <c r="BA100" s="209">
        <f t="shared" si="44"/>
        <v>35.252847962318185</v>
      </c>
      <c r="BB100" s="209">
        <f t="shared" si="44"/>
        <v>3.0655823678450913</v>
      </c>
      <c r="BC100" s="209">
        <f t="shared" si="44"/>
        <v>0.24161863826801072</v>
      </c>
      <c r="BD100" s="210">
        <f t="shared" si="44"/>
        <v>18517.258935567392</v>
      </c>
      <c r="BE100" s="211"/>
      <c r="BF100" s="535" t="s">
        <v>79</v>
      </c>
      <c r="BG100" s="336"/>
      <c r="BH100" s="545">
        <f>SUM(BH91:BH99)</f>
        <v>4337949482.6310177</v>
      </c>
      <c r="BI100" s="546">
        <f>SUM(BI91:BI99)</f>
        <v>3163500094.2392497</v>
      </c>
      <c r="BJ100" s="537">
        <f t="shared" ref="BJ100:BO100" si="46">SUM(BJ91:BJ99)</f>
        <v>174782169.49856403</v>
      </c>
      <c r="BK100" s="546">
        <f t="shared" si="46"/>
        <v>55961228.079220876</v>
      </c>
      <c r="BL100" s="546">
        <f t="shared" si="46"/>
        <v>60820374.866140977</v>
      </c>
      <c r="BM100" s="546">
        <f t="shared" si="46"/>
        <v>77045.455641840061</v>
      </c>
      <c r="BN100" s="553">
        <f t="shared" si="46"/>
        <v>7793090394.7698364</v>
      </c>
      <c r="BO100" s="554">
        <f t="shared" si="46"/>
        <v>0.99999999999999989</v>
      </c>
      <c r="BP100" s="212"/>
      <c r="BQ100" s="212"/>
      <c r="BR100" s="432"/>
      <c r="BS100" s="212"/>
      <c r="BT100" s="212"/>
      <c r="BU100" s="212"/>
      <c r="BV100" s="212"/>
      <c r="BW100" s="212"/>
      <c r="BX100" s="212"/>
      <c r="BY100" s="212"/>
      <c r="BZ100" s="212"/>
      <c r="CA100" s="212"/>
      <c r="CB100" s="212"/>
      <c r="CC100" s="212"/>
    </row>
    <row r="101" spans="1:81" s="17" customFormat="1" ht="15.45" customHeight="1" thickBot="1" x14ac:dyDescent="0.3">
      <c r="A101" s="180"/>
      <c r="B101" s="21"/>
      <c r="C101" s="21"/>
      <c r="D101" s="21"/>
      <c r="E101" s="32"/>
      <c r="F101" s="32"/>
      <c r="G101" s="32"/>
      <c r="H101" s="32"/>
      <c r="I101" s="32"/>
      <c r="J101" s="32"/>
      <c r="K101" s="32"/>
      <c r="L101" s="32"/>
      <c r="M101" s="32"/>
      <c r="N101" s="32"/>
      <c r="O101" s="32"/>
      <c r="P101" s="32"/>
      <c r="Q101" s="32"/>
      <c r="R101" s="32"/>
      <c r="S101" s="32"/>
      <c r="T101" s="32"/>
      <c r="U101" s="32"/>
      <c r="V101" s="32"/>
      <c r="W101" s="32"/>
      <c r="X101" s="32"/>
      <c r="Y101" s="32"/>
      <c r="Z101" s="32"/>
      <c r="AA101" s="32"/>
      <c r="AB101" s="589"/>
      <c r="AC101" s="590"/>
      <c r="AD101" s="467"/>
      <c r="AE101" s="467"/>
      <c r="AF101" s="467"/>
      <c r="AG101" s="468"/>
      <c r="AH101" s="468"/>
      <c r="AI101" s="468"/>
      <c r="AJ101" s="468"/>
      <c r="AK101" s="468"/>
      <c r="AL101" s="469"/>
      <c r="AM101" s="470"/>
      <c r="AN101" s="468"/>
      <c r="AO101" s="468"/>
      <c r="AP101" s="468"/>
      <c r="AQ101" s="468"/>
      <c r="AR101" s="468"/>
      <c r="AS101" s="468"/>
      <c r="AT101" s="468"/>
      <c r="AU101" s="468"/>
      <c r="AV101" s="468"/>
      <c r="AW101" s="468"/>
      <c r="AX101" s="468"/>
      <c r="AY101" s="468"/>
      <c r="AZ101" s="468"/>
      <c r="BA101" s="468"/>
      <c r="BB101" s="468"/>
      <c r="BC101" s="468"/>
      <c r="BD101" s="471"/>
      <c r="BE101" s="149"/>
      <c r="BF101" s="536" t="s">
        <v>460</v>
      </c>
      <c r="BG101" s="527"/>
      <c r="BH101" s="528">
        <f t="shared" ref="BH101:BN101" si="47">BH100/$BN100</f>
        <v>0.55664046775876463</v>
      </c>
      <c r="BI101" s="528">
        <f t="shared" si="47"/>
        <v>0.40593653274731217</v>
      </c>
      <c r="BJ101" s="528">
        <f t="shared" si="47"/>
        <v>2.2427838077672665E-2</v>
      </c>
      <c r="BK101" s="528">
        <f t="shared" si="47"/>
        <v>7.1808775780116754E-3</v>
      </c>
      <c r="BL101" s="528">
        <f t="shared" si="47"/>
        <v>7.8043974579018426E-3</v>
      </c>
      <c r="BM101" s="529">
        <f t="shared" si="47"/>
        <v>9.8863803368105992E-6</v>
      </c>
      <c r="BN101" s="530">
        <f t="shared" si="47"/>
        <v>1</v>
      </c>
      <c r="BO101" s="531"/>
      <c r="BP101" s="21"/>
      <c r="BQ101" s="21"/>
      <c r="BR101" s="433"/>
      <c r="BS101" s="21"/>
      <c r="BT101" s="21"/>
      <c r="BU101" s="21"/>
      <c r="BV101" s="21"/>
      <c r="BW101" s="21"/>
      <c r="BX101" s="21"/>
      <c r="BY101" s="21"/>
      <c r="BZ101" s="21"/>
      <c r="CA101" s="21"/>
      <c r="CB101" s="21"/>
      <c r="CC101" s="21"/>
    </row>
    <row r="102" spans="1:81" s="17" customFormat="1" ht="14.7" customHeight="1" thickBot="1" x14ac:dyDescent="0.3">
      <c r="A102" s="180"/>
      <c r="B102" s="21"/>
      <c r="C102" s="21"/>
      <c r="D102" s="21"/>
      <c r="E102" s="32"/>
      <c r="F102" s="32"/>
      <c r="G102" s="32"/>
      <c r="H102" s="105"/>
      <c r="I102" s="32"/>
      <c r="J102" s="32"/>
      <c r="K102" s="32"/>
      <c r="L102" s="32"/>
      <c r="M102" s="32"/>
      <c r="N102" s="32"/>
      <c r="O102" s="32"/>
      <c r="P102" s="32"/>
      <c r="Q102" s="32"/>
      <c r="R102" s="32"/>
      <c r="S102" s="32"/>
      <c r="T102" s="32"/>
      <c r="U102" s="105"/>
      <c r="V102" s="32"/>
      <c r="W102" s="32"/>
      <c r="X102" s="32"/>
      <c r="Y102" s="32"/>
      <c r="Z102" s="32"/>
      <c r="AA102" s="32"/>
      <c r="AB102" s="591"/>
      <c r="AC102" s="592"/>
      <c r="AD102" s="472"/>
      <c r="AE102" s="472"/>
      <c r="AF102" s="472"/>
      <c r="AG102" s="472"/>
      <c r="AH102" s="472"/>
      <c r="AI102" s="472"/>
      <c r="AJ102" s="472"/>
      <c r="AK102" s="472"/>
      <c r="AL102" s="472"/>
      <c r="AM102" s="472"/>
      <c r="AN102" s="472"/>
      <c r="AO102" s="472"/>
      <c r="AP102" s="472"/>
      <c r="AQ102" s="472"/>
      <c r="AR102" s="472"/>
      <c r="AS102" s="472"/>
      <c r="AT102" s="472"/>
      <c r="AU102" s="472"/>
      <c r="AV102" s="472"/>
      <c r="AW102" s="472"/>
      <c r="AX102" s="472"/>
      <c r="AY102" s="472"/>
      <c r="AZ102" s="472"/>
      <c r="BA102" s="472"/>
      <c r="BB102" s="472"/>
      <c r="BC102" s="472"/>
      <c r="BD102" s="473"/>
      <c r="BE102" s="186"/>
      <c r="BF102" s="181"/>
      <c r="BG102" s="181"/>
      <c r="BH102" s="181"/>
      <c r="BI102" s="181"/>
      <c r="BJ102" s="181"/>
      <c r="BK102" s="181"/>
      <c r="BL102" s="181"/>
      <c r="BM102" s="21"/>
      <c r="BN102" s="21"/>
      <c r="BO102" s="21"/>
      <c r="BP102" s="21"/>
      <c r="BQ102" s="434"/>
      <c r="BR102" s="435"/>
      <c r="BS102" s="435"/>
      <c r="BT102" s="435"/>
      <c r="BU102" s="435"/>
      <c r="BV102" s="435"/>
      <c r="BW102" s="435"/>
      <c r="BX102" s="435"/>
      <c r="BY102" s="435"/>
      <c r="BZ102" s="435"/>
      <c r="CA102" s="435"/>
      <c r="CB102" s="435"/>
      <c r="CC102" s="435"/>
    </row>
    <row r="103" spans="1:81" s="65" customFormat="1" ht="18.899999999999999" customHeight="1" thickBot="1" x14ac:dyDescent="0.35">
      <c r="A103" s="596"/>
      <c r="B103" s="597"/>
      <c r="C103" s="597"/>
      <c r="D103" s="597"/>
      <c r="E103" s="597"/>
      <c r="F103" s="597"/>
      <c r="G103" s="597"/>
      <c r="H103" s="597"/>
      <c r="I103" s="597"/>
      <c r="J103" s="597"/>
      <c r="K103" s="597"/>
      <c r="L103" s="597"/>
      <c r="M103" s="597"/>
      <c r="N103" s="597"/>
      <c r="O103" s="597"/>
      <c r="P103" s="597"/>
      <c r="Q103" s="597"/>
      <c r="R103" s="597"/>
      <c r="S103" s="597"/>
      <c r="T103" s="597"/>
      <c r="U103" s="597"/>
      <c r="V103" s="597"/>
      <c r="W103" s="66"/>
      <c r="X103" s="66"/>
      <c r="Y103" s="66"/>
      <c r="Z103" s="66"/>
      <c r="AA103" s="66"/>
      <c r="AB103" s="66"/>
      <c r="AC103" s="66"/>
      <c r="AD103" s="66"/>
      <c r="AE103" s="66"/>
      <c r="AF103" s="66"/>
      <c r="AG103" s="66"/>
      <c r="AH103" s="66"/>
      <c r="AI103" s="66"/>
      <c r="AJ103" s="66"/>
      <c r="AK103" s="66"/>
      <c r="AL103" s="66"/>
      <c r="AM103" s="66"/>
      <c r="AN103" s="66"/>
      <c r="AO103" s="66"/>
      <c r="AP103" s="116"/>
      <c r="AQ103" s="116"/>
      <c r="AR103" s="116"/>
      <c r="AS103" s="116"/>
      <c r="AT103" s="66"/>
      <c r="AU103" s="66"/>
      <c r="AV103" s="66"/>
      <c r="AW103" s="66"/>
      <c r="AX103" s="66"/>
      <c r="AY103" s="66"/>
      <c r="AZ103" s="66"/>
      <c r="BA103" s="66"/>
      <c r="BB103" s="66"/>
      <c r="BC103" s="66"/>
      <c r="BD103" s="66"/>
      <c r="BE103" s="72"/>
      <c r="BF103" s="67"/>
      <c r="BG103" s="68"/>
      <c r="BH103" s="68"/>
      <c r="BI103" s="68"/>
      <c r="BJ103" s="68"/>
      <c r="BK103" s="69"/>
      <c r="BL103" s="69"/>
    </row>
    <row r="104" spans="1:81" s="63" customFormat="1" ht="15.45" customHeight="1" x14ac:dyDescent="0.25">
      <c r="A104" s="584" t="s">
        <v>149</v>
      </c>
      <c r="B104" s="61"/>
      <c r="C104" s="61"/>
      <c r="D104" s="61"/>
      <c r="E104" s="62"/>
      <c r="F104" s="62"/>
      <c r="G104" s="62"/>
      <c r="H104" s="62"/>
      <c r="I104" s="62"/>
      <c r="J104" s="62"/>
      <c r="K104" s="62"/>
      <c r="L104" s="62"/>
      <c r="M104" s="62"/>
      <c r="N104" s="62"/>
      <c r="O104" s="62"/>
      <c r="P104" s="62"/>
      <c r="Q104" s="62"/>
      <c r="R104" s="62"/>
      <c r="S104" s="62"/>
      <c r="T104" s="62"/>
      <c r="U104" s="62"/>
      <c r="V104" s="62"/>
      <c r="W104" s="62"/>
      <c r="X104" s="62"/>
      <c r="Y104" s="62"/>
      <c r="Z104" s="62"/>
      <c r="AA104" s="62"/>
      <c r="AB104" s="62"/>
      <c r="AC104" s="62"/>
      <c r="AD104" s="126" t="s">
        <v>425</v>
      </c>
      <c r="AE104" s="62"/>
      <c r="AF104" s="62"/>
      <c r="AG104" s="62"/>
      <c r="AH104" s="62"/>
      <c r="AI104" s="62"/>
      <c r="AJ104" s="62"/>
      <c r="AK104" s="62"/>
      <c r="AL104" s="62"/>
      <c r="AM104" s="62"/>
      <c r="AN104" s="62"/>
      <c r="AO104" s="62"/>
      <c r="AP104" s="121"/>
      <c r="AQ104" s="576" t="s">
        <v>540</v>
      </c>
      <c r="AR104" s="578" t="s">
        <v>541</v>
      </c>
      <c r="AS104" s="582" t="s">
        <v>542</v>
      </c>
      <c r="AT104" s="62"/>
      <c r="AU104" s="62"/>
      <c r="AV104" s="62"/>
      <c r="AW104" s="62"/>
      <c r="AX104" s="62"/>
      <c r="AY104" s="62"/>
      <c r="AZ104" s="62"/>
      <c r="BA104" s="62"/>
      <c r="BB104" s="62"/>
      <c r="BC104" s="62"/>
      <c r="BD104" s="62"/>
      <c r="BE104" s="73"/>
      <c r="BF104" s="60"/>
      <c r="BG104" s="60"/>
      <c r="BH104" s="60"/>
      <c r="BI104" s="60"/>
      <c r="BJ104" s="60"/>
      <c r="BK104" s="60"/>
      <c r="BL104" s="60"/>
      <c r="BM104" s="60"/>
      <c r="BN104" s="60"/>
      <c r="BO104" s="60"/>
      <c r="BP104" s="60"/>
      <c r="BQ104" s="61"/>
      <c r="BR104" s="61"/>
      <c r="BS104" s="61"/>
      <c r="BT104" s="61"/>
      <c r="BU104" s="61"/>
      <c r="BV104" s="61"/>
      <c r="BW104" s="61"/>
      <c r="BX104" s="61"/>
      <c r="BY104" s="61"/>
      <c r="BZ104" s="61"/>
      <c r="CA104" s="61"/>
      <c r="CB104" s="61"/>
      <c r="CC104" s="61"/>
    </row>
    <row r="105" spans="1:81" s="17" customFormat="1" ht="14.7" customHeight="1" x14ac:dyDescent="0.3">
      <c r="A105" s="585"/>
      <c r="B105" s="21"/>
      <c r="C105" s="21"/>
      <c r="D105" s="21"/>
      <c r="E105" s="32"/>
      <c r="F105" s="32"/>
      <c r="G105" s="32"/>
      <c r="H105" s="32"/>
      <c r="I105" s="32"/>
      <c r="J105" s="32"/>
      <c r="K105" s="32"/>
      <c r="L105" s="32"/>
      <c r="M105" s="32"/>
      <c r="N105" s="32"/>
      <c r="O105" s="32"/>
      <c r="P105" s="32"/>
      <c r="Q105" s="32"/>
      <c r="R105" s="32"/>
      <c r="S105" s="32"/>
      <c r="T105" s="32"/>
      <c r="U105" s="32"/>
      <c r="V105" s="32"/>
      <c r="W105" s="32"/>
      <c r="X105" s="93"/>
      <c r="Y105" s="32"/>
      <c r="Z105" s="105"/>
      <c r="AA105" s="32"/>
      <c r="AB105" s="32"/>
      <c r="AC105" s="32"/>
      <c r="AD105" s="127" t="s">
        <v>426</v>
      </c>
      <c r="AE105" s="32"/>
      <c r="AF105" s="32"/>
      <c r="AG105" s="32"/>
      <c r="AH105" s="32"/>
      <c r="AI105" s="32"/>
      <c r="AJ105" s="32"/>
      <c r="AK105" s="32"/>
      <c r="AL105" s="32"/>
      <c r="AM105" s="32"/>
      <c r="AN105" s="32"/>
      <c r="AO105" s="32"/>
      <c r="AP105" s="122"/>
      <c r="AQ105" s="577"/>
      <c r="AR105" s="579"/>
      <c r="AS105" s="583"/>
      <c r="AT105" s="32"/>
      <c r="AU105" s="32"/>
      <c r="AV105" s="32"/>
      <c r="AW105" s="32"/>
      <c r="AX105" s="32"/>
      <c r="AY105" s="32"/>
      <c r="AZ105" s="32"/>
      <c r="BA105" s="32"/>
      <c r="BB105" s="32"/>
      <c r="BC105" s="32"/>
      <c r="BD105" s="32"/>
      <c r="BE105" s="70"/>
      <c r="BF105" s="22"/>
      <c r="BG105" s="22"/>
      <c r="BH105" s="22"/>
      <c r="BI105" s="22"/>
      <c r="BJ105" s="22"/>
      <c r="BK105" s="22"/>
      <c r="BL105" s="22"/>
      <c r="BM105" s="538"/>
      <c r="BN105" s="22"/>
      <c r="BO105" s="22"/>
      <c r="BP105" s="22"/>
      <c r="BQ105" s="21"/>
      <c r="BR105" s="21"/>
      <c r="BS105" s="21"/>
      <c r="BT105" s="21"/>
      <c r="BU105" s="21"/>
      <c r="BV105" s="21"/>
      <c r="BW105" s="21"/>
      <c r="BX105" s="21"/>
      <c r="BY105" s="21"/>
      <c r="BZ105" s="21"/>
      <c r="CA105" s="21"/>
      <c r="CB105" s="21"/>
      <c r="CC105" s="21"/>
    </row>
    <row r="106" spans="1:81" s="17" customFormat="1" ht="14.1" customHeight="1" x14ac:dyDescent="0.25">
      <c r="A106" s="585"/>
      <c r="B106" s="21"/>
      <c r="C106" s="21"/>
      <c r="D106" s="21"/>
      <c r="E106" s="32"/>
      <c r="F106" s="32"/>
      <c r="G106" s="32"/>
      <c r="H106" s="32"/>
      <c r="I106" s="32"/>
      <c r="J106" s="32"/>
      <c r="K106" s="32"/>
      <c r="L106" s="32"/>
      <c r="M106" s="32"/>
      <c r="N106" s="32"/>
      <c r="O106" s="32"/>
      <c r="P106" s="32"/>
      <c r="Q106" s="32"/>
      <c r="R106" s="32"/>
      <c r="S106" s="32"/>
      <c r="T106" s="32"/>
      <c r="U106" s="32"/>
      <c r="V106" s="32"/>
      <c r="W106" s="32"/>
      <c r="X106" s="93"/>
      <c r="Y106" s="32"/>
      <c r="Z106" s="105"/>
      <c r="AA106" s="32"/>
      <c r="AB106" s="32"/>
      <c r="AC106" s="32"/>
      <c r="AD106" s="128" t="s">
        <v>432</v>
      </c>
      <c r="AE106" s="32"/>
      <c r="AF106" s="32"/>
      <c r="AG106" s="32"/>
      <c r="AH106" s="32"/>
      <c r="AI106" s="32"/>
      <c r="AJ106" s="32"/>
      <c r="AK106" s="32"/>
      <c r="AL106" s="32"/>
      <c r="AM106" s="32"/>
      <c r="AN106" s="32"/>
      <c r="AO106" s="32"/>
      <c r="AP106" s="117" t="s">
        <v>9</v>
      </c>
      <c r="AQ106" s="108">
        <f>AD100</f>
        <v>135.65574517805763</v>
      </c>
      <c r="AR106" s="109">
        <f>AD101</f>
        <v>0</v>
      </c>
      <c r="AS106" s="123" t="e">
        <f>AQ106/AR106</f>
        <v>#DIV/0!</v>
      </c>
      <c r="AT106" s="32"/>
      <c r="AU106" s="32"/>
      <c r="AV106" s="32"/>
      <c r="AW106" s="32"/>
      <c r="AX106" s="32"/>
      <c r="AY106" s="32"/>
      <c r="AZ106" s="32"/>
      <c r="BA106" s="32"/>
      <c r="BB106" s="32"/>
      <c r="BC106" s="32"/>
      <c r="BD106" s="32"/>
      <c r="BE106" s="32"/>
      <c r="BF106" s="32"/>
      <c r="BG106" s="32"/>
      <c r="BH106" s="32"/>
      <c r="BI106" s="32"/>
      <c r="BJ106" s="32"/>
      <c r="BK106" s="32"/>
      <c r="BL106" s="32"/>
      <c r="BM106" s="22"/>
      <c r="BN106" s="22"/>
      <c r="BO106" s="21"/>
      <c r="BP106" s="21"/>
      <c r="BQ106" s="21"/>
      <c r="BR106" s="21"/>
      <c r="BS106" s="21"/>
      <c r="BT106" s="21"/>
      <c r="BU106" s="21"/>
      <c r="BV106" s="21"/>
      <c r="BW106" s="21"/>
      <c r="BX106" s="21"/>
      <c r="BY106" s="21"/>
      <c r="BZ106" s="21"/>
      <c r="CA106" s="21"/>
      <c r="CB106" s="21"/>
      <c r="CC106" s="21"/>
    </row>
    <row r="107" spans="1:81" s="17" customFormat="1" ht="14.1" customHeight="1" x14ac:dyDescent="0.3">
      <c r="A107" s="585"/>
      <c r="B107" s="21"/>
      <c r="C107" s="21"/>
      <c r="D107" s="21"/>
      <c r="E107" s="32"/>
      <c r="F107" s="32"/>
      <c r="G107" s="32"/>
      <c r="H107" s="32"/>
      <c r="I107" s="32"/>
      <c r="J107" s="32"/>
      <c r="K107" s="32"/>
      <c r="L107" s="32"/>
      <c r="M107" s="32"/>
      <c r="N107" s="32"/>
      <c r="O107" s="32"/>
      <c r="P107" s="32"/>
      <c r="Q107" s="32"/>
      <c r="R107" s="32"/>
      <c r="S107" s="32"/>
      <c r="T107" s="32"/>
      <c r="U107" s="32"/>
      <c r="V107" s="32"/>
      <c r="W107" s="32"/>
      <c r="X107" s="93"/>
      <c r="Y107" s="32"/>
      <c r="Z107" s="105"/>
      <c r="AA107" s="32"/>
      <c r="AB107" s="32"/>
      <c r="AC107" s="32"/>
      <c r="AD107" s="129" t="s">
        <v>427</v>
      </c>
      <c r="AE107" s="32"/>
      <c r="AF107" s="32"/>
      <c r="AG107" s="32"/>
      <c r="AH107" s="32"/>
      <c r="AI107" s="32"/>
      <c r="AJ107" s="32"/>
      <c r="AK107" s="32"/>
      <c r="AL107" s="32"/>
      <c r="AM107" s="32"/>
      <c r="AN107" s="32"/>
      <c r="AO107" s="32"/>
      <c r="AP107" s="118" t="s">
        <v>10</v>
      </c>
      <c r="AQ107" s="110">
        <f>AE100</f>
        <v>32.899445171165311</v>
      </c>
      <c r="AR107" s="111">
        <f>AE101</f>
        <v>0</v>
      </c>
      <c r="AS107" s="124" t="e">
        <f t="shared" ref="AS107:AS127" si="48">AQ107/AR107</f>
        <v>#DIV/0!</v>
      </c>
      <c r="AT107" s="32"/>
      <c r="AU107" s="32"/>
      <c r="AV107" s="32"/>
      <c r="AW107" s="32"/>
      <c r="AX107" s="32"/>
      <c r="AY107" s="32"/>
      <c r="AZ107" s="32"/>
      <c r="BA107" s="32"/>
      <c r="BB107" s="32"/>
      <c r="BC107" s="32"/>
      <c r="BD107" s="32"/>
      <c r="BE107" s="70"/>
      <c r="BF107" s="22"/>
      <c r="BG107" s="22"/>
      <c r="BH107" s="22"/>
      <c r="BI107" s="22"/>
      <c r="BJ107" s="22"/>
      <c r="BK107" s="22"/>
      <c r="BL107" s="22"/>
      <c r="BM107" s="21"/>
      <c r="BN107" s="21"/>
      <c r="BO107" s="21"/>
      <c r="BP107" s="21"/>
      <c r="BQ107" s="21"/>
      <c r="BR107" s="21"/>
      <c r="BS107" s="21"/>
      <c r="BT107" s="21"/>
      <c r="BU107" s="21"/>
      <c r="BV107" s="21"/>
      <c r="BW107" s="21"/>
      <c r="BX107" s="21"/>
      <c r="BY107" s="21"/>
      <c r="BZ107" s="21"/>
      <c r="CA107" s="21"/>
      <c r="CB107" s="21"/>
      <c r="CC107" s="21"/>
    </row>
    <row r="108" spans="1:81" ht="14.1" customHeight="1" x14ac:dyDescent="0.3">
      <c r="A108" s="585"/>
      <c r="B108" s="21"/>
      <c r="C108" s="19"/>
      <c r="D108" s="19"/>
      <c r="E108" s="22"/>
      <c r="F108" s="22"/>
      <c r="G108" s="22"/>
      <c r="H108" s="22"/>
      <c r="I108" s="22"/>
      <c r="J108" s="22"/>
      <c r="K108" s="22"/>
      <c r="L108" s="22"/>
      <c r="M108" s="22"/>
      <c r="N108" s="22"/>
      <c r="O108" s="22"/>
      <c r="P108" s="22"/>
      <c r="Q108" s="22"/>
      <c r="R108" s="22"/>
      <c r="S108" s="22"/>
      <c r="T108" s="22"/>
      <c r="U108" s="22"/>
      <c r="V108" s="22"/>
      <c r="W108" s="22"/>
      <c r="X108" s="93"/>
      <c r="Y108" s="22"/>
      <c r="Z108" s="105"/>
      <c r="AA108" s="22"/>
      <c r="AB108" s="22"/>
      <c r="AC108" s="22"/>
      <c r="AD108" s="22"/>
      <c r="AE108" s="22"/>
      <c r="AF108" s="22"/>
      <c r="AG108" s="22"/>
      <c r="AH108" s="22"/>
      <c r="AI108" s="22"/>
      <c r="AJ108" s="22"/>
      <c r="AK108" s="22"/>
      <c r="AL108" s="22"/>
      <c r="AM108" s="22"/>
      <c r="AN108" s="22"/>
      <c r="AO108" s="22"/>
      <c r="AP108" s="118" t="s">
        <v>11</v>
      </c>
      <c r="AQ108" s="110">
        <f>AF100</f>
        <v>20.048498914126501</v>
      </c>
      <c r="AR108" s="111">
        <f>AF101</f>
        <v>0</v>
      </c>
      <c r="AS108" s="124" t="e">
        <f t="shared" si="48"/>
        <v>#DIV/0!</v>
      </c>
      <c r="AT108" s="22"/>
      <c r="AU108" s="22"/>
      <c r="AV108" s="22"/>
      <c r="AW108" s="22"/>
      <c r="AX108" s="22"/>
      <c r="AY108" s="22"/>
      <c r="AZ108" s="22"/>
      <c r="BA108" s="22"/>
      <c r="BB108" s="22"/>
      <c r="BC108" s="22"/>
      <c r="BD108" s="22"/>
      <c r="BE108" s="71"/>
      <c r="BF108" s="22"/>
      <c r="BG108" s="22"/>
      <c r="BH108" s="22"/>
      <c r="BI108" s="22"/>
      <c r="BJ108" s="22"/>
      <c r="BK108" s="22"/>
      <c r="BL108" s="22"/>
    </row>
    <row r="109" spans="1:81" ht="14.1" customHeight="1" x14ac:dyDescent="0.3">
      <c r="A109" s="585"/>
      <c r="B109" s="21"/>
      <c r="C109" s="19"/>
      <c r="D109" s="19"/>
      <c r="E109" s="22"/>
      <c r="F109" s="22"/>
      <c r="G109" s="22"/>
      <c r="H109" s="22"/>
      <c r="I109" s="22"/>
      <c r="J109" s="22"/>
      <c r="K109" s="22"/>
      <c r="L109" s="22"/>
      <c r="M109" s="22"/>
      <c r="N109" s="22"/>
      <c r="O109" s="22"/>
      <c r="P109" s="22"/>
      <c r="Q109" s="22"/>
      <c r="R109" s="22"/>
      <c r="S109" s="22"/>
      <c r="T109" s="22"/>
      <c r="U109" s="22"/>
      <c r="V109" s="22"/>
      <c r="W109" s="22"/>
      <c r="X109" s="93"/>
      <c r="Y109" s="22"/>
      <c r="Z109" s="105"/>
      <c r="AA109" s="22"/>
      <c r="AB109" s="22"/>
      <c r="AC109" s="22"/>
      <c r="AD109" s="22"/>
      <c r="AE109" s="22"/>
      <c r="AF109" s="22"/>
      <c r="AG109" s="22"/>
      <c r="AH109" s="22"/>
      <c r="AI109" s="22"/>
      <c r="AJ109" s="22"/>
      <c r="AK109" s="22"/>
      <c r="AL109" s="22"/>
      <c r="AM109" s="22"/>
      <c r="AN109" s="22"/>
      <c r="AO109" s="22"/>
      <c r="AP109" s="118" t="s">
        <v>12</v>
      </c>
      <c r="AQ109" s="110">
        <f>AG100</f>
        <v>171.31534852837115</v>
      </c>
      <c r="AR109" s="111">
        <f>AG101</f>
        <v>0</v>
      </c>
      <c r="AS109" s="124" t="e">
        <f t="shared" si="48"/>
        <v>#DIV/0!</v>
      </c>
      <c r="AT109" s="22"/>
      <c r="AU109" s="22"/>
      <c r="AV109" s="22"/>
      <c r="AW109" s="22"/>
      <c r="AX109" s="22"/>
      <c r="AY109" s="22"/>
      <c r="AZ109" s="22"/>
      <c r="BA109" s="22"/>
      <c r="BB109" s="22"/>
      <c r="BC109" s="22"/>
      <c r="BD109" s="22"/>
      <c r="BE109" s="70"/>
      <c r="BF109" s="22"/>
      <c r="BG109" s="22"/>
      <c r="BH109" s="22"/>
      <c r="BI109" s="22"/>
      <c r="BJ109" s="22"/>
      <c r="BK109" s="22"/>
      <c r="BL109" s="22"/>
    </row>
    <row r="110" spans="1:81" ht="14.1" customHeight="1" x14ac:dyDescent="0.3">
      <c r="A110" s="585"/>
      <c r="B110" s="21"/>
      <c r="C110" s="19"/>
      <c r="D110" s="19"/>
      <c r="E110" s="22"/>
      <c r="F110" s="22"/>
      <c r="G110" s="22"/>
      <c r="H110" s="22"/>
      <c r="I110" s="22"/>
      <c r="J110" s="22"/>
      <c r="K110" s="22"/>
      <c r="L110" s="22"/>
      <c r="M110" s="22"/>
      <c r="N110" s="22"/>
      <c r="O110" s="22"/>
      <c r="P110" s="22"/>
      <c r="Q110" s="22"/>
      <c r="R110" s="22"/>
      <c r="S110" s="22"/>
      <c r="T110" s="22"/>
      <c r="U110" s="22"/>
      <c r="V110" s="22"/>
      <c r="W110" s="22"/>
      <c r="X110" s="93"/>
      <c r="Y110" s="22"/>
      <c r="Z110" s="105"/>
      <c r="AA110" s="22"/>
      <c r="AB110" s="22"/>
      <c r="AC110" s="22"/>
      <c r="AD110" s="22"/>
      <c r="AE110" s="22"/>
      <c r="AF110" s="22"/>
      <c r="AG110" s="22"/>
      <c r="AH110" s="22"/>
      <c r="AI110" s="22"/>
      <c r="AJ110" s="22"/>
      <c r="AK110" s="22"/>
      <c r="AL110" s="22"/>
      <c r="AM110" s="22"/>
      <c r="AN110" s="22"/>
      <c r="AO110" s="22"/>
      <c r="AP110" s="118" t="s">
        <v>13</v>
      </c>
      <c r="AQ110" s="110">
        <f>AH100</f>
        <v>2.2001750180377888</v>
      </c>
      <c r="AR110" s="111">
        <f>AH101</f>
        <v>0</v>
      </c>
      <c r="AS110" s="124" t="e">
        <f t="shared" si="48"/>
        <v>#DIV/0!</v>
      </c>
      <c r="AT110" s="22"/>
      <c r="AU110" s="22"/>
      <c r="AV110" s="22"/>
      <c r="AW110" s="22"/>
      <c r="AX110" s="22"/>
      <c r="AY110" s="22"/>
      <c r="AZ110" s="22"/>
      <c r="BA110" s="22"/>
      <c r="BB110" s="22"/>
      <c r="BC110" s="22"/>
      <c r="BD110" s="22"/>
      <c r="BE110" s="71"/>
      <c r="BF110" s="22"/>
      <c r="BG110" s="22"/>
      <c r="BH110" s="22"/>
      <c r="BI110" s="22"/>
      <c r="BJ110" s="22"/>
      <c r="BK110" s="22"/>
      <c r="BL110" s="22"/>
    </row>
    <row r="111" spans="1:81" ht="14.1" customHeight="1" x14ac:dyDescent="0.3">
      <c r="A111" s="585"/>
      <c r="B111" s="21"/>
      <c r="C111" s="19"/>
      <c r="D111" s="19"/>
      <c r="E111" s="22"/>
      <c r="F111" s="22"/>
      <c r="G111" s="22"/>
      <c r="H111" s="22"/>
      <c r="I111" s="22"/>
      <c r="J111" s="22"/>
      <c r="K111" s="22"/>
      <c r="L111" s="22"/>
      <c r="M111" s="22"/>
      <c r="N111" s="22"/>
      <c r="O111" s="22"/>
      <c r="P111" s="22"/>
      <c r="Q111" s="22"/>
      <c r="R111" s="22"/>
      <c r="S111" s="22"/>
      <c r="T111" s="22"/>
      <c r="U111" s="22"/>
      <c r="V111" s="22"/>
      <c r="W111" s="22"/>
      <c r="X111" s="93"/>
      <c r="Y111" s="22"/>
      <c r="Z111" s="105"/>
      <c r="AA111" s="22"/>
      <c r="AB111" s="22"/>
      <c r="AC111" s="22"/>
      <c r="AD111" s="22"/>
      <c r="AE111" s="22"/>
      <c r="AF111" s="22"/>
      <c r="AG111" s="22"/>
      <c r="AH111" s="22"/>
      <c r="AI111" s="22"/>
      <c r="AJ111" s="22"/>
      <c r="AK111" s="22"/>
      <c r="AL111" s="22"/>
      <c r="AM111" s="22"/>
      <c r="AN111" s="22"/>
      <c r="AO111" s="22"/>
      <c r="AP111" s="118" t="s">
        <v>14</v>
      </c>
      <c r="AQ111" s="110">
        <f>AI100</f>
        <v>13.005007713854527</v>
      </c>
      <c r="AR111" s="111">
        <f>AI101</f>
        <v>0</v>
      </c>
      <c r="AS111" s="124" t="e">
        <f t="shared" si="48"/>
        <v>#DIV/0!</v>
      </c>
      <c r="AT111" s="22"/>
      <c r="AU111" s="22"/>
      <c r="AV111" s="22"/>
      <c r="AW111" s="22"/>
      <c r="AX111" s="22"/>
      <c r="AY111" s="22"/>
      <c r="AZ111" s="22"/>
      <c r="BA111" s="22"/>
      <c r="BB111" s="22"/>
      <c r="BC111" s="22"/>
      <c r="BD111" s="22"/>
      <c r="BE111" s="70"/>
      <c r="BF111" s="22"/>
      <c r="BG111" s="22"/>
      <c r="BH111" s="22"/>
      <c r="BI111" s="22"/>
      <c r="BJ111" s="22"/>
      <c r="BK111" s="22"/>
      <c r="BL111" s="22"/>
    </row>
    <row r="112" spans="1:81" ht="14.1" customHeight="1" x14ac:dyDescent="0.3">
      <c r="A112" s="585"/>
      <c r="B112" s="21"/>
      <c r="C112" s="19"/>
      <c r="D112" s="19"/>
      <c r="E112" s="22"/>
      <c r="F112" s="19"/>
      <c r="G112" s="19"/>
      <c r="H112" s="19"/>
      <c r="I112" s="19"/>
      <c r="J112" s="19"/>
      <c r="K112" s="19"/>
      <c r="L112" s="19"/>
      <c r="M112" s="19"/>
      <c r="N112" s="19"/>
      <c r="O112" s="19"/>
      <c r="P112" s="19"/>
      <c r="Q112" s="19"/>
      <c r="R112" s="19"/>
      <c r="S112" s="19"/>
      <c r="T112" s="19"/>
      <c r="U112" s="19"/>
      <c r="V112" s="19"/>
      <c r="W112" s="19"/>
      <c r="X112" s="93"/>
      <c r="Y112" s="19"/>
      <c r="Z112" s="105"/>
      <c r="AA112" s="19"/>
      <c r="AB112" s="19"/>
      <c r="AC112" s="19"/>
      <c r="AD112" s="19"/>
      <c r="AE112" s="19"/>
      <c r="AF112" s="19"/>
      <c r="AG112" s="19"/>
      <c r="AH112" s="19"/>
      <c r="AI112" s="19"/>
      <c r="AJ112" s="19"/>
      <c r="AK112" s="58"/>
      <c r="AL112" s="58"/>
      <c r="AM112" s="58"/>
      <c r="AN112" s="58"/>
      <c r="AO112" s="58"/>
      <c r="AP112" s="118" t="s">
        <v>15</v>
      </c>
      <c r="AQ112" s="112">
        <f>AJ100</f>
        <v>118.04849510099977</v>
      </c>
      <c r="AR112" s="113">
        <f>AJ101</f>
        <v>0</v>
      </c>
      <c r="AS112" s="124" t="e">
        <f t="shared" si="48"/>
        <v>#DIV/0!</v>
      </c>
      <c r="AT112" s="58"/>
      <c r="AU112" s="58"/>
      <c r="AV112" s="58"/>
      <c r="AW112" s="58"/>
      <c r="AX112" s="58"/>
      <c r="AY112" s="58"/>
      <c r="AZ112" s="58"/>
      <c r="BA112" s="58"/>
      <c r="BB112" s="58"/>
      <c r="BC112" s="58"/>
      <c r="BD112" s="58"/>
      <c r="BE112" s="71"/>
      <c r="BF112" s="22"/>
      <c r="BG112" s="22"/>
      <c r="BH112" s="22"/>
      <c r="BI112" s="22"/>
      <c r="BJ112" s="22"/>
      <c r="BK112" s="22"/>
      <c r="BL112" s="22"/>
    </row>
    <row r="113" spans="1:45" x14ac:dyDescent="0.3">
      <c r="A113" s="585"/>
      <c r="B113" s="21"/>
      <c r="C113" s="19"/>
      <c r="D113" s="19"/>
      <c r="E113" s="22"/>
      <c r="F113" s="19"/>
      <c r="G113" s="19"/>
      <c r="H113" s="19"/>
      <c r="I113" s="19"/>
      <c r="J113" s="19"/>
      <c r="K113" s="19"/>
      <c r="L113" s="19"/>
      <c r="M113" s="19"/>
      <c r="N113" s="19"/>
      <c r="O113" s="19"/>
      <c r="P113" s="19"/>
      <c r="Q113" s="19"/>
      <c r="R113" s="19"/>
      <c r="S113" s="19"/>
      <c r="T113" s="19"/>
      <c r="U113" s="19"/>
      <c r="V113" s="19"/>
      <c r="W113" s="19"/>
      <c r="X113" s="93"/>
      <c r="Y113" s="19"/>
      <c r="Z113" s="105"/>
      <c r="AA113" s="19"/>
      <c r="AB113" s="19"/>
      <c r="AC113" s="19"/>
      <c r="AD113" s="19"/>
      <c r="AE113" s="19"/>
      <c r="AF113" s="19"/>
      <c r="AG113" s="19"/>
      <c r="AH113" s="19"/>
      <c r="AI113" s="19"/>
      <c r="AJ113" s="19"/>
      <c r="AK113" s="58"/>
      <c r="AL113" s="58"/>
      <c r="AM113" s="58"/>
      <c r="AN113" s="58"/>
      <c r="AO113" s="58"/>
      <c r="AP113" s="118" t="s">
        <v>16</v>
      </c>
      <c r="AQ113" s="112">
        <f>AK100</f>
        <v>2153.7390701098584</v>
      </c>
      <c r="AR113" s="113">
        <f>AK101</f>
        <v>0</v>
      </c>
      <c r="AS113" s="124" t="e">
        <f t="shared" si="48"/>
        <v>#DIV/0!</v>
      </c>
    </row>
    <row r="114" spans="1:45" ht="14.1" customHeight="1" x14ac:dyDescent="0.3">
      <c r="A114" s="585"/>
      <c r="B114" s="19"/>
      <c r="C114" s="19"/>
      <c r="D114" s="19"/>
      <c r="E114" s="22"/>
      <c r="F114" s="19"/>
      <c r="G114" s="19"/>
      <c r="H114" s="19"/>
      <c r="I114" s="19"/>
      <c r="J114" s="19"/>
      <c r="K114" s="19"/>
      <c r="L114" s="19"/>
      <c r="M114" s="19"/>
      <c r="N114" s="19"/>
      <c r="O114" s="19"/>
      <c r="P114" s="19"/>
      <c r="Q114" s="19"/>
      <c r="R114" s="19"/>
      <c r="S114" s="19"/>
      <c r="T114" s="19"/>
      <c r="U114" s="19"/>
      <c r="V114" s="19"/>
      <c r="W114" s="19"/>
      <c r="X114" s="93"/>
      <c r="Y114" s="19"/>
      <c r="Z114" s="105"/>
      <c r="AA114" s="19"/>
      <c r="AB114" s="19"/>
      <c r="AC114" s="19"/>
      <c r="AD114" s="19"/>
      <c r="AE114" s="19"/>
      <c r="AF114" s="19"/>
      <c r="AG114" s="19"/>
      <c r="AH114" s="19"/>
      <c r="AI114" s="19"/>
      <c r="AJ114" s="19"/>
      <c r="AK114" s="19"/>
      <c r="AL114" s="19"/>
      <c r="AM114" s="19"/>
      <c r="AN114" s="54"/>
      <c r="AO114" s="19"/>
      <c r="AP114" s="118" t="s">
        <v>17</v>
      </c>
      <c r="AQ114" s="112">
        <f>AL100</f>
        <v>0.7260035223057224</v>
      </c>
      <c r="AR114" s="113">
        <f>AL101</f>
        <v>0</v>
      </c>
      <c r="AS114" s="124" t="e">
        <f t="shared" si="48"/>
        <v>#DIV/0!</v>
      </c>
    </row>
    <row r="115" spans="1:45" ht="14.1" customHeight="1" x14ac:dyDescent="0.3">
      <c r="A115" s="585"/>
      <c r="B115" s="19"/>
      <c r="C115" s="19"/>
      <c r="D115" s="19"/>
      <c r="E115" s="22"/>
      <c r="F115" s="19"/>
      <c r="G115" s="19"/>
      <c r="H115" s="19"/>
      <c r="I115" s="19"/>
      <c r="J115" s="19"/>
      <c r="K115" s="19"/>
      <c r="L115" s="19"/>
      <c r="M115" s="19"/>
      <c r="N115" s="19"/>
      <c r="O115" s="19"/>
      <c r="P115" s="19"/>
      <c r="Q115" s="19"/>
      <c r="R115" s="19"/>
      <c r="S115" s="19"/>
      <c r="T115" s="19"/>
      <c r="U115" s="19"/>
      <c r="V115" s="19"/>
      <c r="W115" s="19"/>
      <c r="X115" s="19"/>
      <c r="Y115" s="19"/>
      <c r="Z115" s="19"/>
      <c r="AA115" s="19"/>
      <c r="AB115" s="19"/>
      <c r="AC115" s="19"/>
      <c r="AD115" s="19"/>
      <c r="AE115" s="19"/>
      <c r="AF115" s="19"/>
      <c r="AG115" s="19"/>
      <c r="AH115" s="19"/>
      <c r="AI115" s="19"/>
      <c r="AJ115" s="19"/>
      <c r="AK115" s="19"/>
      <c r="AL115" s="19"/>
      <c r="AM115" s="19"/>
      <c r="AN115" s="54"/>
      <c r="AO115" s="19"/>
      <c r="AP115" s="118" t="s">
        <v>18</v>
      </c>
      <c r="AQ115" s="112">
        <f>AM100</f>
        <v>42859.81379395759</v>
      </c>
      <c r="AR115" s="113">
        <f>AM101</f>
        <v>0</v>
      </c>
      <c r="AS115" s="130" t="e">
        <f t="shared" si="48"/>
        <v>#DIV/0!</v>
      </c>
    </row>
    <row r="116" spans="1:45" ht="14.1" customHeight="1" x14ac:dyDescent="0.3">
      <c r="A116" s="585"/>
      <c r="B116" s="19"/>
      <c r="C116" s="19"/>
      <c r="D116" s="19"/>
      <c r="E116" s="22"/>
      <c r="F116" s="19"/>
      <c r="G116" s="19"/>
      <c r="H116" s="19"/>
      <c r="I116" s="19"/>
      <c r="J116" s="19"/>
      <c r="K116" s="19"/>
      <c r="L116" s="19"/>
      <c r="M116" s="19"/>
      <c r="N116" s="19"/>
      <c r="O116" s="19"/>
      <c r="P116" s="19"/>
      <c r="Q116" s="19"/>
      <c r="R116" s="19"/>
      <c r="S116" s="19"/>
      <c r="T116" s="19"/>
      <c r="U116" s="19"/>
      <c r="V116" s="19"/>
      <c r="W116" s="19"/>
      <c r="X116" s="19"/>
      <c r="Y116" s="19"/>
      <c r="Z116" s="19"/>
      <c r="AA116" s="19"/>
      <c r="AB116" s="19"/>
      <c r="AC116" s="19"/>
      <c r="AD116" s="19"/>
      <c r="AE116" s="19"/>
      <c r="AF116" s="19"/>
      <c r="AG116" s="19"/>
      <c r="AH116" s="19"/>
      <c r="AI116" s="19"/>
      <c r="AJ116" s="19"/>
      <c r="AK116" s="19"/>
      <c r="AL116" s="19"/>
      <c r="AM116" s="19"/>
      <c r="AN116" s="54"/>
      <c r="AO116" s="19"/>
      <c r="AP116" s="118" t="s">
        <v>19</v>
      </c>
      <c r="AQ116" s="112">
        <f>AN100</f>
        <v>4.3137513125253113</v>
      </c>
      <c r="AR116" s="113">
        <f>AN101</f>
        <v>0</v>
      </c>
      <c r="AS116" s="124" t="e">
        <f t="shared" si="48"/>
        <v>#DIV/0!</v>
      </c>
    </row>
    <row r="117" spans="1:45" ht="14.1" customHeight="1" x14ac:dyDescent="0.3">
      <c r="A117" s="585"/>
      <c r="B117" s="19"/>
      <c r="C117" s="19"/>
      <c r="D117" s="19"/>
      <c r="E117" s="22"/>
      <c r="F117" s="19"/>
      <c r="G117" s="19"/>
      <c r="H117" s="19"/>
      <c r="I117" s="19"/>
      <c r="J117" s="19"/>
      <c r="K117" s="19"/>
      <c r="L117" s="19"/>
      <c r="M117" s="19"/>
      <c r="N117" s="19"/>
      <c r="O117" s="19"/>
      <c r="P117" s="19"/>
      <c r="Q117" s="19"/>
      <c r="R117" s="19"/>
      <c r="S117" s="19"/>
      <c r="T117" s="19"/>
      <c r="U117" s="19"/>
      <c r="V117" s="19"/>
      <c r="W117" s="19"/>
      <c r="X117" s="19"/>
      <c r="Y117" s="19"/>
      <c r="Z117" s="19"/>
      <c r="AA117" s="19"/>
      <c r="AB117" s="19"/>
      <c r="AC117" s="19"/>
      <c r="AD117" s="19"/>
      <c r="AE117" s="19"/>
      <c r="AF117" s="19"/>
      <c r="AG117" s="19"/>
      <c r="AH117" s="19"/>
      <c r="AI117" s="19"/>
      <c r="AJ117" s="19"/>
      <c r="AK117" s="19"/>
      <c r="AL117" s="19"/>
      <c r="AM117" s="19"/>
      <c r="AN117" s="54"/>
      <c r="AO117" s="19"/>
      <c r="AP117" s="118" t="s">
        <v>20</v>
      </c>
      <c r="AQ117" s="112">
        <f>AO100</f>
        <v>3050.2519794213085</v>
      </c>
      <c r="AR117" s="113">
        <f>AO101</f>
        <v>0</v>
      </c>
      <c r="AS117" s="124" t="e">
        <f t="shared" si="48"/>
        <v>#DIV/0!</v>
      </c>
    </row>
    <row r="118" spans="1:45" ht="14.1" customHeight="1" x14ac:dyDescent="0.3">
      <c r="A118" s="585"/>
      <c r="B118" s="19"/>
      <c r="C118" s="19"/>
      <c r="D118" s="19"/>
      <c r="E118" s="22"/>
      <c r="F118" s="19"/>
      <c r="G118" s="19"/>
      <c r="H118" s="19"/>
      <c r="I118" s="19"/>
      <c r="J118" s="19"/>
      <c r="K118" s="19"/>
      <c r="L118" s="19"/>
      <c r="M118" s="19"/>
      <c r="N118" s="19"/>
      <c r="O118" s="19"/>
      <c r="P118" s="19"/>
      <c r="Q118" s="19"/>
      <c r="R118" s="19"/>
      <c r="S118" s="19"/>
      <c r="T118" s="19"/>
      <c r="U118" s="19"/>
      <c r="V118" s="19"/>
      <c r="W118" s="19"/>
      <c r="X118" s="19"/>
      <c r="Y118" s="19"/>
      <c r="Z118" s="19"/>
      <c r="AA118" s="19"/>
      <c r="AB118" s="19"/>
      <c r="AC118" s="19"/>
      <c r="AD118" s="19"/>
      <c r="AE118" s="19"/>
      <c r="AF118" s="19"/>
      <c r="AG118" s="19"/>
      <c r="AH118" s="19"/>
      <c r="AI118" s="19"/>
      <c r="AJ118" s="19"/>
      <c r="AK118" s="19"/>
      <c r="AL118" s="19"/>
      <c r="AM118" s="19"/>
      <c r="AN118" s="54"/>
      <c r="AO118" s="19"/>
      <c r="AP118" s="118" t="s">
        <v>21</v>
      </c>
      <c r="AQ118" s="112">
        <f>AP100</f>
        <v>8.3759830144480372</v>
      </c>
      <c r="AR118" s="113">
        <f>AP101</f>
        <v>0</v>
      </c>
      <c r="AS118" s="124" t="e">
        <f t="shared" si="48"/>
        <v>#DIV/0!</v>
      </c>
    </row>
    <row r="119" spans="1:45" ht="14.1" customHeight="1" x14ac:dyDescent="0.3">
      <c r="A119" s="585"/>
      <c r="B119" s="19"/>
      <c r="C119" s="19"/>
      <c r="D119" s="19"/>
      <c r="E119" s="22"/>
      <c r="F119" s="19"/>
      <c r="G119" s="19"/>
      <c r="H119" s="19"/>
      <c r="I119" s="19"/>
      <c r="J119" s="19"/>
      <c r="K119" s="19"/>
      <c r="L119" s="19"/>
      <c r="M119" s="19"/>
      <c r="N119" s="19"/>
      <c r="O119" s="19"/>
      <c r="P119" s="19"/>
      <c r="Q119" s="19"/>
      <c r="R119" s="19"/>
      <c r="S119" s="19"/>
      <c r="T119" s="19"/>
      <c r="U119" s="19"/>
      <c r="V119" s="19"/>
      <c r="W119" s="19"/>
      <c r="X119" s="19"/>
      <c r="Y119" s="19"/>
      <c r="Z119" s="19"/>
      <c r="AA119" s="19"/>
      <c r="AB119" s="19"/>
      <c r="AC119" s="19"/>
      <c r="AD119" s="19"/>
      <c r="AE119" s="19"/>
      <c r="AF119" s="19"/>
      <c r="AG119" s="19"/>
      <c r="AH119" s="19"/>
      <c r="AI119" s="19"/>
      <c r="AJ119" s="19"/>
      <c r="AK119" s="19"/>
      <c r="AL119" s="19"/>
      <c r="AM119" s="19"/>
      <c r="AN119" s="54"/>
      <c r="AO119" s="19"/>
      <c r="AP119" s="118" t="s">
        <v>22</v>
      </c>
      <c r="AQ119" s="112">
        <f>AQ100</f>
        <v>46.028807710622367</v>
      </c>
      <c r="AR119" s="113">
        <f>AQ101</f>
        <v>0</v>
      </c>
      <c r="AS119" s="124" t="e">
        <f t="shared" si="48"/>
        <v>#DIV/0!</v>
      </c>
    </row>
    <row r="120" spans="1:45" ht="14.1" customHeight="1" x14ac:dyDescent="0.3">
      <c r="A120" s="585"/>
      <c r="B120" s="19"/>
      <c r="C120" s="19"/>
      <c r="D120" s="19"/>
      <c r="E120" s="22"/>
      <c r="F120" s="19"/>
      <c r="G120" s="19"/>
      <c r="H120" s="19"/>
      <c r="I120" s="19"/>
      <c r="J120" s="19"/>
      <c r="K120" s="19"/>
      <c r="L120" s="19"/>
      <c r="M120" s="19"/>
      <c r="N120" s="19"/>
      <c r="O120" s="19"/>
      <c r="P120" s="19"/>
      <c r="Q120" s="19"/>
      <c r="R120" s="19"/>
      <c r="S120" s="19"/>
      <c r="T120" s="19"/>
      <c r="U120" s="19"/>
      <c r="V120" s="19"/>
      <c r="W120" s="19"/>
      <c r="X120" s="19"/>
      <c r="Y120" s="19"/>
      <c r="Z120" s="19"/>
      <c r="AA120" s="19"/>
      <c r="AB120" s="19"/>
      <c r="AC120" s="19"/>
      <c r="AD120" s="19"/>
      <c r="AE120" s="19"/>
      <c r="AF120" s="19"/>
      <c r="AG120" s="19"/>
      <c r="AH120" s="19"/>
      <c r="AI120" s="19"/>
      <c r="AJ120" s="19"/>
      <c r="AK120" s="19"/>
      <c r="AL120" s="19"/>
      <c r="AM120" s="19"/>
      <c r="AN120" s="54"/>
      <c r="AO120" s="19"/>
      <c r="AP120" s="118" t="s">
        <v>23</v>
      </c>
      <c r="AQ120" s="112">
        <f>AR100</f>
        <v>406.23753550117425</v>
      </c>
      <c r="AR120" s="113">
        <f>AR101</f>
        <v>0</v>
      </c>
      <c r="AS120" s="124" t="e">
        <f t="shared" si="48"/>
        <v>#DIV/0!</v>
      </c>
    </row>
    <row r="121" spans="1:45" ht="14.1" customHeight="1" x14ac:dyDescent="0.3">
      <c r="A121" s="585"/>
      <c r="B121" s="19"/>
      <c r="C121" s="19"/>
      <c r="D121" s="19"/>
      <c r="E121" s="22"/>
      <c r="F121" s="19"/>
      <c r="G121" s="19"/>
      <c r="H121" s="19"/>
      <c r="I121" s="19"/>
      <c r="J121" s="19"/>
      <c r="K121" s="19"/>
      <c r="L121" s="19"/>
      <c r="M121" s="19"/>
      <c r="N121" s="19"/>
      <c r="O121" s="19"/>
      <c r="P121" s="19"/>
      <c r="Q121" s="19"/>
      <c r="R121" s="19"/>
      <c r="S121" s="19"/>
      <c r="T121" s="19"/>
      <c r="U121" s="19"/>
      <c r="V121" s="19"/>
      <c r="W121" s="19"/>
      <c r="X121" s="19"/>
      <c r="Y121" s="19"/>
      <c r="Z121" s="19"/>
      <c r="AA121" s="19"/>
      <c r="AB121" s="19"/>
      <c r="AC121" s="19"/>
      <c r="AD121" s="19"/>
      <c r="AE121" s="19"/>
      <c r="AF121" s="19"/>
      <c r="AG121" s="19"/>
      <c r="AH121" s="19"/>
      <c r="AI121" s="19"/>
      <c r="AJ121" s="19"/>
      <c r="AK121" s="19"/>
      <c r="AL121" s="19"/>
      <c r="AM121" s="19"/>
      <c r="AN121" s="54"/>
      <c r="AO121" s="19"/>
      <c r="AP121" s="118" t="s">
        <v>24</v>
      </c>
      <c r="AQ121" s="112">
        <f>AS100</f>
        <v>6307.4222600332168</v>
      </c>
      <c r="AR121" s="113">
        <f>AS101</f>
        <v>0</v>
      </c>
      <c r="AS121" s="124" t="e">
        <f t="shared" si="48"/>
        <v>#DIV/0!</v>
      </c>
    </row>
    <row r="122" spans="1:45" ht="14.1" customHeight="1" x14ac:dyDescent="0.3">
      <c r="A122" s="585"/>
      <c r="B122" s="19"/>
      <c r="C122" s="19"/>
      <c r="D122" s="19"/>
      <c r="E122" s="22"/>
      <c r="F122" s="19"/>
      <c r="G122" s="19"/>
      <c r="H122" s="19"/>
      <c r="I122" s="19"/>
      <c r="J122" s="19"/>
      <c r="K122" s="19"/>
      <c r="L122" s="19"/>
      <c r="M122" s="19"/>
      <c r="N122" s="19"/>
      <c r="O122" s="19"/>
      <c r="P122" s="19"/>
      <c r="Q122" s="19"/>
      <c r="R122" s="19"/>
      <c r="S122" s="19"/>
      <c r="T122" s="19"/>
      <c r="U122" s="19"/>
      <c r="V122" s="19"/>
      <c r="W122" s="19"/>
      <c r="X122" s="19"/>
      <c r="Y122" s="19"/>
      <c r="Z122" s="19"/>
      <c r="AA122" s="19"/>
      <c r="AB122" s="19"/>
      <c r="AC122" s="19"/>
      <c r="AD122" s="19"/>
      <c r="AE122" s="19"/>
      <c r="AF122" s="19"/>
      <c r="AG122" s="19"/>
      <c r="AH122" s="19"/>
      <c r="AI122" s="19"/>
      <c r="AJ122" s="19"/>
      <c r="AK122" s="19"/>
      <c r="AL122" s="19"/>
      <c r="AM122" s="19"/>
      <c r="AN122" s="54"/>
      <c r="AO122" s="19"/>
      <c r="AP122" s="118" t="s">
        <v>25</v>
      </c>
      <c r="AQ122" s="112">
        <f>AT100</f>
        <v>1438.4601319177402</v>
      </c>
      <c r="AR122" s="113">
        <f>AT101</f>
        <v>0</v>
      </c>
      <c r="AS122" s="124" t="e">
        <f t="shared" si="48"/>
        <v>#DIV/0!</v>
      </c>
    </row>
    <row r="123" spans="1:45" ht="14.1" customHeight="1" x14ac:dyDescent="0.3">
      <c r="A123" s="585"/>
      <c r="B123" s="19"/>
      <c r="C123" s="19"/>
      <c r="D123" s="19"/>
      <c r="E123" s="22"/>
      <c r="F123" s="19"/>
      <c r="G123" s="19"/>
      <c r="H123" s="19"/>
      <c r="I123" s="19"/>
      <c r="J123" s="19"/>
      <c r="K123" s="19"/>
      <c r="L123" s="19"/>
      <c r="M123" s="19"/>
      <c r="N123" s="19"/>
      <c r="O123" s="19"/>
      <c r="P123" s="19"/>
      <c r="Q123" s="19"/>
      <c r="R123" s="19"/>
      <c r="S123" s="19"/>
      <c r="T123" s="19"/>
      <c r="U123" s="19"/>
      <c r="V123" s="19"/>
      <c r="W123" s="19"/>
      <c r="X123" s="19"/>
      <c r="Y123" s="19"/>
      <c r="Z123" s="19"/>
      <c r="AA123" s="19"/>
      <c r="AB123" s="19"/>
      <c r="AC123" s="19"/>
      <c r="AD123" s="19"/>
      <c r="AE123" s="19"/>
      <c r="AF123" s="19"/>
      <c r="AG123" s="19"/>
      <c r="AH123" s="19"/>
      <c r="AI123" s="19"/>
      <c r="AJ123" s="19"/>
      <c r="AK123" s="19"/>
      <c r="AL123" s="19"/>
      <c r="AM123" s="19"/>
      <c r="AN123" s="54"/>
      <c r="AO123" s="19"/>
      <c r="AP123" s="118" t="s">
        <v>26</v>
      </c>
      <c r="AQ123" s="112">
        <f>AU100</f>
        <v>699.49111360032975</v>
      </c>
      <c r="AR123" s="113">
        <f>AU101</f>
        <v>0</v>
      </c>
      <c r="AS123" s="124" t="e">
        <f t="shared" si="48"/>
        <v>#DIV/0!</v>
      </c>
    </row>
    <row r="124" spans="1:45" ht="14.1" customHeight="1" x14ac:dyDescent="0.3">
      <c r="A124" s="585"/>
      <c r="B124" s="19"/>
      <c r="C124" s="19"/>
      <c r="D124" s="19"/>
      <c r="E124" s="22"/>
      <c r="F124" s="19"/>
      <c r="G124" s="19"/>
      <c r="H124" s="19"/>
      <c r="I124" s="19"/>
      <c r="J124" s="19"/>
      <c r="K124" s="19"/>
      <c r="L124" s="19"/>
      <c r="M124" s="19"/>
      <c r="N124" s="19"/>
      <c r="O124" s="19"/>
      <c r="P124" s="19"/>
      <c r="Q124" s="19"/>
      <c r="R124" s="19"/>
      <c r="S124" s="19"/>
      <c r="T124" s="19"/>
      <c r="U124" s="19"/>
      <c r="V124" s="19"/>
      <c r="W124" s="19"/>
      <c r="X124" s="19"/>
      <c r="Y124" s="19"/>
      <c r="Z124" s="19"/>
      <c r="AA124" s="19"/>
      <c r="AB124" s="19"/>
      <c r="AC124" s="19"/>
      <c r="AD124" s="19"/>
      <c r="AE124" s="19"/>
      <c r="AF124" s="19"/>
      <c r="AG124" s="19"/>
      <c r="AH124" s="19"/>
      <c r="AI124" s="19"/>
      <c r="AJ124" s="19"/>
      <c r="AK124" s="19"/>
      <c r="AL124" s="19"/>
      <c r="AM124" s="19"/>
      <c r="AN124" s="54"/>
      <c r="AO124" s="19"/>
      <c r="AP124" s="118" t="s">
        <v>27</v>
      </c>
      <c r="AQ124" s="112">
        <f>AV100</f>
        <v>626</v>
      </c>
      <c r="AR124" s="113">
        <f>AV101</f>
        <v>0</v>
      </c>
      <c r="AS124" s="124" t="e">
        <f t="shared" si="48"/>
        <v>#DIV/0!</v>
      </c>
    </row>
    <row r="125" spans="1:45" ht="14.4" customHeight="1" x14ac:dyDescent="0.3">
      <c r="A125" s="585"/>
      <c r="B125" s="19"/>
      <c r="C125" s="19"/>
      <c r="D125" s="19"/>
      <c r="E125" s="22"/>
      <c r="F125" s="19"/>
      <c r="G125" s="19"/>
      <c r="H125" s="19"/>
      <c r="I125" s="19"/>
      <c r="J125" s="19"/>
      <c r="K125" s="19"/>
      <c r="L125" s="19"/>
      <c r="M125" s="19"/>
      <c r="N125" s="19"/>
      <c r="O125" s="19"/>
      <c r="P125" s="19"/>
      <c r="Q125" s="19"/>
      <c r="R125" s="19"/>
      <c r="S125" s="19"/>
      <c r="T125" s="19"/>
      <c r="U125" s="19"/>
      <c r="V125" s="19"/>
      <c r="W125" s="19"/>
      <c r="X125" s="19"/>
      <c r="Y125" s="19"/>
      <c r="Z125" s="19"/>
      <c r="AA125" s="19"/>
      <c r="AB125" s="19"/>
      <c r="AC125" s="19"/>
      <c r="AD125" s="19"/>
      <c r="AE125" s="19"/>
      <c r="AF125" s="19"/>
      <c r="AG125" s="19"/>
      <c r="AH125" s="19"/>
      <c r="AI125" s="19"/>
      <c r="AJ125" s="19"/>
      <c r="AK125" s="19"/>
      <c r="AL125" s="19"/>
      <c r="AM125" s="19"/>
      <c r="AN125" s="54"/>
      <c r="AO125" s="19"/>
      <c r="AP125" s="118" t="s">
        <v>28</v>
      </c>
      <c r="AQ125" s="112">
        <f>AW100</f>
        <v>381.09290656477191</v>
      </c>
      <c r="AR125" s="113">
        <f>AW101</f>
        <v>0</v>
      </c>
      <c r="AS125" s="124" t="e">
        <f t="shared" si="48"/>
        <v>#DIV/0!</v>
      </c>
    </row>
    <row r="126" spans="1:45" ht="14.4" customHeight="1" x14ac:dyDescent="0.3">
      <c r="A126" s="585"/>
      <c r="B126" s="19"/>
      <c r="C126" s="19"/>
      <c r="D126" s="19"/>
      <c r="E126" s="22"/>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c r="AE126" s="19"/>
      <c r="AF126" s="19"/>
      <c r="AG126" s="19"/>
      <c r="AH126" s="19"/>
      <c r="AI126" s="19"/>
      <c r="AJ126" s="19"/>
      <c r="AK126" s="19"/>
      <c r="AL126" s="19"/>
      <c r="AM126" s="19"/>
      <c r="AN126" s="54"/>
      <c r="AO126" s="19"/>
      <c r="AP126" s="119" t="str">
        <f>AZ90</f>
        <v>Nb</v>
      </c>
      <c r="AQ126" s="112">
        <f>AZ100</f>
        <v>11.196724095530834</v>
      </c>
      <c r="AR126" s="113">
        <f>AZ101</f>
        <v>0</v>
      </c>
      <c r="AS126" s="124" t="e">
        <f t="shared" si="48"/>
        <v>#DIV/0!</v>
      </c>
    </row>
    <row r="127" spans="1:45" s="2" customFormat="1" ht="14.4" customHeight="1" thickBot="1" x14ac:dyDescent="0.35">
      <c r="A127" s="586"/>
      <c r="B127" s="20"/>
      <c r="C127" s="20"/>
      <c r="D127" s="20"/>
      <c r="E127" s="59"/>
      <c r="F127" s="20"/>
      <c r="G127" s="20"/>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64"/>
      <c r="AO127" s="20"/>
      <c r="AP127" s="120" t="str">
        <f>BA90</f>
        <v>V</v>
      </c>
      <c r="AQ127" s="114">
        <f>BA100</f>
        <v>35.252847962318185</v>
      </c>
      <c r="AR127" s="115">
        <f>BA101</f>
        <v>0</v>
      </c>
      <c r="AS127" s="125" t="e">
        <f t="shared" si="48"/>
        <v>#DIV/0!</v>
      </c>
    </row>
    <row r="128" spans="1:45" x14ac:dyDescent="0.3">
      <c r="A128" s="584" t="s">
        <v>456</v>
      </c>
      <c r="B128" s="19"/>
      <c r="C128" s="19"/>
      <c r="D128" s="19"/>
      <c r="E128" s="22"/>
      <c r="F128" s="19"/>
      <c r="G128" s="19"/>
      <c r="H128" s="19"/>
      <c r="I128" s="19"/>
      <c r="J128" s="19"/>
      <c r="K128" s="19"/>
      <c r="L128" s="19"/>
      <c r="M128" s="19"/>
      <c r="N128" s="35"/>
      <c r="O128" s="19"/>
      <c r="P128" s="19"/>
      <c r="Q128" s="19"/>
      <c r="R128" s="19"/>
      <c r="S128" s="19"/>
      <c r="T128" s="36"/>
      <c r="U128" s="19"/>
      <c r="V128" s="19"/>
      <c r="W128" s="19"/>
      <c r="X128" s="35"/>
      <c r="Y128" s="19"/>
      <c r="Z128" s="19"/>
      <c r="AA128" s="19"/>
      <c r="AB128" s="19"/>
      <c r="AC128" s="36"/>
      <c r="AD128" s="19"/>
      <c r="AE128" s="19"/>
      <c r="AF128" s="19"/>
      <c r="AG128" s="19"/>
      <c r="AH128" s="19"/>
      <c r="AI128" s="19"/>
      <c r="AJ128" s="19"/>
      <c r="AK128" s="19"/>
      <c r="AL128" s="19"/>
      <c r="AM128" s="19"/>
      <c r="AN128" s="54"/>
      <c r="AO128" s="19"/>
      <c r="AP128" s="19"/>
      <c r="AQ128" s="54"/>
      <c r="AR128" s="19"/>
      <c r="AS128" s="54"/>
    </row>
    <row r="129" spans="1:1" x14ac:dyDescent="0.3">
      <c r="A129" s="585"/>
    </row>
    <row r="130" spans="1:1" x14ac:dyDescent="0.3">
      <c r="A130" s="585"/>
    </row>
    <row r="131" spans="1:1" x14ac:dyDescent="0.3">
      <c r="A131" s="585"/>
    </row>
    <row r="132" spans="1:1" x14ac:dyDescent="0.3">
      <c r="A132" s="585"/>
    </row>
    <row r="133" spans="1:1" x14ac:dyDescent="0.3">
      <c r="A133" s="585"/>
    </row>
    <row r="134" spans="1:1" x14ac:dyDescent="0.3">
      <c r="A134" s="585"/>
    </row>
    <row r="135" spans="1:1" x14ac:dyDescent="0.3">
      <c r="A135" s="585"/>
    </row>
    <row r="136" spans="1:1" x14ac:dyDescent="0.3">
      <c r="A136" s="585"/>
    </row>
    <row r="137" spans="1:1" x14ac:dyDescent="0.3">
      <c r="A137" s="585"/>
    </row>
    <row r="138" spans="1:1" x14ac:dyDescent="0.3">
      <c r="A138" s="585"/>
    </row>
    <row r="139" spans="1:1" x14ac:dyDescent="0.3">
      <c r="A139" s="585"/>
    </row>
    <row r="140" spans="1:1" x14ac:dyDescent="0.3">
      <c r="A140" s="585"/>
    </row>
    <row r="141" spans="1:1" x14ac:dyDescent="0.3">
      <c r="A141" s="585"/>
    </row>
    <row r="142" spans="1:1" x14ac:dyDescent="0.3">
      <c r="A142" s="585"/>
    </row>
    <row r="143" spans="1:1" x14ac:dyDescent="0.3">
      <c r="A143" s="585"/>
    </row>
    <row r="144" spans="1:1" x14ac:dyDescent="0.3">
      <c r="A144" s="585"/>
    </row>
    <row r="145" spans="1:1" x14ac:dyDescent="0.3">
      <c r="A145" s="585"/>
    </row>
    <row r="146" spans="1:1" x14ac:dyDescent="0.3">
      <c r="A146" s="585"/>
    </row>
    <row r="147" spans="1:1" x14ac:dyDescent="0.3">
      <c r="A147" s="585"/>
    </row>
    <row r="148" spans="1:1" x14ac:dyDescent="0.3">
      <c r="A148" s="585"/>
    </row>
    <row r="149" spans="1:1" x14ac:dyDescent="0.3">
      <c r="A149" s="585"/>
    </row>
    <row r="150" spans="1:1" x14ac:dyDescent="0.3">
      <c r="A150" s="585"/>
    </row>
    <row r="151" spans="1:1" ht="15" thickBot="1" x14ac:dyDescent="0.35">
      <c r="A151" s="586"/>
    </row>
    <row r="152" spans="1:1" s="1" customFormat="1" x14ac:dyDescent="0.3">
      <c r="A152" s="584" t="s">
        <v>457</v>
      </c>
    </row>
    <row r="153" spans="1:1" x14ac:dyDescent="0.3">
      <c r="A153" s="585"/>
    </row>
    <row r="154" spans="1:1" x14ac:dyDescent="0.3">
      <c r="A154" s="585"/>
    </row>
    <row r="155" spans="1:1" x14ac:dyDescent="0.3">
      <c r="A155" s="585"/>
    </row>
    <row r="156" spans="1:1" x14ac:dyDescent="0.3">
      <c r="A156" s="585"/>
    </row>
    <row r="157" spans="1:1" x14ac:dyDescent="0.3">
      <c r="A157" s="585"/>
    </row>
    <row r="158" spans="1:1" x14ac:dyDescent="0.3">
      <c r="A158" s="585"/>
    </row>
    <row r="159" spans="1:1" x14ac:dyDescent="0.3">
      <c r="A159" s="585"/>
    </row>
    <row r="160" spans="1:1" x14ac:dyDescent="0.3">
      <c r="A160" s="585"/>
    </row>
    <row r="161" spans="1:1" x14ac:dyDescent="0.3">
      <c r="A161" s="585"/>
    </row>
    <row r="162" spans="1:1" x14ac:dyDescent="0.3">
      <c r="A162" s="585"/>
    </row>
    <row r="163" spans="1:1" x14ac:dyDescent="0.3">
      <c r="A163" s="585"/>
    </row>
    <row r="164" spans="1:1" x14ac:dyDescent="0.3">
      <c r="A164" s="585"/>
    </row>
    <row r="165" spans="1:1" x14ac:dyDescent="0.3">
      <c r="A165" s="585"/>
    </row>
    <row r="166" spans="1:1" x14ac:dyDescent="0.3">
      <c r="A166" s="585"/>
    </row>
    <row r="167" spans="1:1" x14ac:dyDescent="0.3">
      <c r="A167" s="585"/>
    </row>
    <row r="168" spans="1:1" x14ac:dyDescent="0.3">
      <c r="A168" s="585"/>
    </row>
    <row r="169" spans="1:1" x14ac:dyDescent="0.3">
      <c r="A169" s="585"/>
    </row>
    <row r="170" spans="1:1" x14ac:dyDescent="0.3">
      <c r="A170" s="585"/>
    </row>
    <row r="171" spans="1:1" x14ac:dyDescent="0.3">
      <c r="A171" s="585"/>
    </row>
    <row r="172" spans="1:1" x14ac:dyDescent="0.3">
      <c r="A172" s="585"/>
    </row>
    <row r="173" spans="1:1" x14ac:dyDescent="0.3">
      <c r="A173" s="585"/>
    </row>
    <row r="174" spans="1:1" x14ac:dyDescent="0.3">
      <c r="A174" s="585"/>
    </row>
    <row r="175" spans="1:1" s="2" customFormat="1" ht="15" thickBot="1" x14ac:dyDescent="0.35">
      <c r="A175" s="586"/>
    </row>
    <row r="176" spans="1:1" s="1" customFormat="1" x14ac:dyDescent="0.3">
      <c r="A176" s="584" t="s">
        <v>458</v>
      </c>
    </row>
    <row r="177" spans="1:1" x14ac:dyDescent="0.3">
      <c r="A177" s="585"/>
    </row>
    <row r="178" spans="1:1" x14ac:dyDescent="0.3">
      <c r="A178" s="585"/>
    </row>
    <row r="179" spans="1:1" x14ac:dyDescent="0.3">
      <c r="A179" s="585"/>
    </row>
    <row r="180" spans="1:1" x14ac:dyDescent="0.3">
      <c r="A180" s="585"/>
    </row>
    <row r="181" spans="1:1" x14ac:dyDescent="0.3">
      <c r="A181" s="585"/>
    </row>
    <row r="182" spans="1:1" x14ac:dyDescent="0.3">
      <c r="A182" s="585"/>
    </row>
    <row r="183" spans="1:1" x14ac:dyDescent="0.3">
      <c r="A183" s="585"/>
    </row>
    <row r="184" spans="1:1" x14ac:dyDescent="0.3">
      <c r="A184" s="585"/>
    </row>
    <row r="185" spans="1:1" x14ac:dyDescent="0.3">
      <c r="A185" s="585"/>
    </row>
    <row r="186" spans="1:1" x14ac:dyDescent="0.3">
      <c r="A186" s="585"/>
    </row>
    <row r="187" spans="1:1" x14ac:dyDescent="0.3">
      <c r="A187" s="585"/>
    </row>
    <row r="188" spans="1:1" x14ac:dyDescent="0.3">
      <c r="A188" s="585"/>
    </row>
    <row r="189" spans="1:1" x14ac:dyDescent="0.3">
      <c r="A189" s="585"/>
    </row>
    <row r="190" spans="1:1" x14ac:dyDescent="0.3">
      <c r="A190" s="585"/>
    </row>
    <row r="191" spans="1:1" x14ac:dyDescent="0.3">
      <c r="A191" s="585"/>
    </row>
    <row r="192" spans="1:1" x14ac:dyDescent="0.3">
      <c r="A192" s="585"/>
    </row>
    <row r="193" spans="1:1" x14ac:dyDescent="0.3">
      <c r="A193" s="585"/>
    </row>
    <row r="194" spans="1:1" x14ac:dyDescent="0.3">
      <c r="A194" s="585"/>
    </row>
    <row r="195" spans="1:1" x14ac:dyDescent="0.3">
      <c r="A195" s="585"/>
    </row>
    <row r="196" spans="1:1" x14ac:dyDescent="0.3">
      <c r="A196" s="585"/>
    </row>
    <row r="197" spans="1:1" x14ac:dyDescent="0.3">
      <c r="A197" s="585"/>
    </row>
    <row r="198" spans="1:1" x14ac:dyDescent="0.3">
      <c r="A198" s="585"/>
    </row>
    <row r="199" spans="1:1" s="2" customFormat="1" ht="15" thickBot="1" x14ac:dyDescent="0.35">
      <c r="A199" s="586"/>
    </row>
    <row r="200" spans="1:1" s="1" customFormat="1" x14ac:dyDescent="0.3">
      <c r="A200" s="584" t="s">
        <v>452</v>
      </c>
    </row>
    <row r="201" spans="1:1" x14ac:dyDescent="0.3">
      <c r="A201" s="585"/>
    </row>
    <row r="202" spans="1:1" x14ac:dyDescent="0.3">
      <c r="A202" s="585"/>
    </row>
    <row r="203" spans="1:1" x14ac:dyDescent="0.3">
      <c r="A203" s="585"/>
    </row>
    <row r="204" spans="1:1" x14ac:dyDescent="0.3">
      <c r="A204" s="585"/>
    </row>
    <row r="205" spans="1:1" x14ac:dyDescent="0.3">
      <c r="A205" s="585"/>
    </row>
    <row r="206" spans="1:1" x14ac:dyDescent="0.3">
      <c r="A206" s="585"/>
    </row>
    <row r="207" spans="1:1" x14ac:dyDescent="0.3">
      <c r="A207" s="585"/>
    </row>
    <row r="208" spans="1:1" x14ac:dyDescent="0.3">
      <c r="A208" s="585"/>
    </row>
    <row r="209" spans="1:1" x14ac:dyDescent="0.3">
      <c r="A209" s="585"/>
    </row>
    <row r="210" spans="1:1" x14ac:dyDescent="0.3">
      <c r="A210" s="585"/>
    </row>
    <row r="211" spans="1:1" x14ac:dyDescent="0.3">
      <c r="A211" s="585"/>
    </row>
    <row r="212" spans="1:1" x14ac:dyDescent="0.3">
      <c r="A212" s="585"/>
    </row>
    <row r="213" spans="1:1" x14ac:dyDescent="0.3">
      <c r="A213" s="585"/>
    </row>
    <row r="214" spans="1:1" x14ac:dyDescent="0.3">
      <c r="A214" s="585"/>
    </row>
    <row r="215" spans="1:1" x14ac:dyDescent="0.3">
      <c r="A215" s="585"/>
    </row>
    <row r="216" spans="1:1" x14ac:dyDescent="0.3">
      <c r="A216" s="585"/>
    </row>
    <row r="217" spans="1:1" x14ac:dyDescent="0.3">
      <c r="A217" s="585"/>
    </row>
    <row r="218" spans="1:1" x14ac:dyDescent="0.3">
      <c r="A218" s="585"/>
    </row>
    <row r="219" spans="1:1" x14ac:dyDescent="0.3">
      <c r="A219" s="585"/>
    </row>
    <row r="220" spans="1:1" x14ac:dyDescent="0.3">
      <c r="A220" s="585"/>
    </row>
    <row r="221" spans="1:1" x14ac:dyDescent="0.3">
      <c r="A221" s="585"/>
    </row>
    <row r="222" spans="1:1" x14ac:dyDescent="0.3">
      <c r="A222" s="585"/>
    </row>
    <row r="223" spans="1:1" s="2" customFormat="1" ht="15" thickBot="1" x14ac:dyDescent="0.35">
      <c r="A223" s="586"/>
    </row>
    <row r="224" spans="1:1" s="1" customFormat="1" x14ac:dyDescent="0.3">
      <c r="A224" s="584" t="s">
        <v>78</v>
      </c>
    </row>
    <row r="225" spans="1:1" x14ac:dyDescent="0.3">
      <c r="A225" s="585"/>
    </row>
    <row r="226" spans="1:1" x14ac:dyDescent="0.3">
      <c r="A226" s="585"/>
    </row>
    <row r="227" spans="1:1" x14ac:dyDescent="0.3">
      <c r="A227" s="585"/>
    </row>
    <row r="228" spans="1:1" x14ac:dyDescent="0.3">
      <c r="A228" s="585"/>
    </row>
    <row r="229" spans="1:1" x14ac:dyDescent="0.3">
      <c r="A229" s="585"/>
    </row>
    <row r="230" spans="1:1" x14ac:dyDescent="0.3">
      <c r="A230" s="585"/>
    </row>
    <row r="231" spans="1:1" x14ac:dyDescent="0.3">
      <c r="A231" s="585"/>
    </row>
    <row r="232" spans="1:1" x14ac:dyDescent="0.3">
      <c r="A232" s="585"/>
    </row>
    <row r="233" spans="1:1" x14ac:dyDescent="0.3">
      <c r="A233" s="585"/>
    </row>
    <row r="234" spans="1:1" x14ac:dyDescent="0.3">
      <c r="A234" s="585"/>
    </row>
    <row r="235" spans="1:1" x14ac:dyDescent="0.3">
      <c r="A235" s="585"/>
    </row>
    <row r="236" spans="1:1" x14ac:dyDescent="0.3">
      <c r="A236" s="585"/>
    </row>
    <row r="237" spans="1:1" x14ac:dyDescent="0.3">
      <c r="A237" s="585"/>
    </row>
    <row r="238" spans="1:1" x14ac:dyDescent="0.3">
      <c r="A238" s="585"/>
    </row>
    <row r="239" spans="1:1" x14ac:dyDescent="0.3">
      <c r="A239" s="585"/>
    </row>
    <row r="240" spans="1:1" x14ac:dyDescent="0.3">
      <c r="A240" s="585"/>
    </row>
    <row r="241" spans="1:22" x14ac:dyDescent="0.3">
      <c r="A241" s="585"/>
      <c r="B241" s="19"/>
      <c r="C241" s="19"/>
      <c r="D241" s="19"/>
      <c r="E241" s="22"/>
      <c r="F241" s="19"/>
      <c r="G241" s="19"/>
      <c r="H241" s="19"/>
      <c r="I241" s="19"/>
      <c r="J241" s="19"/>
      <c r="K241" s="19"/>
      <c r="L241" s="19"/>
      <c r="M241" s="19"/>
      <c r="N241" s="35"/>
      <c r="O241" s="19"/>
      <c r="P241" s="19"/>
      <c r="Q241" s="19"/>
      <c r="R241" s="19"/>
      <c r="S241" s="19"/>
      <c r="T241" s="36"/>
      <c r="U241" s="19"/>
      <c r="V241" s="19"/>
    </row>
    <row r="242" spans="1:22" x14ac:dyDescent="0.3">
      <c r="A242" s="585"/>
      <c r="B242" s="19"/>
      <c r="C242" s="19"/>
      <c r="D242" s="19"/>
      <c r="E242" s="22"/>
      <c r="F242" s="19"/>
      <c r="G242" s="19"/>
      <c r="H242" s="19"/>
      <c r="I242" s="19"/>
      <c r="J242" s="19"/>
      <c r="K242" s="19"/>
      <c r="L242" s="19"/>
      <c r="M242" s="19"/>
      <c r="N242" s="35"/>
      <c r="O242" s="19"/>
      <c r="P242" s="19"/>
      <c r="Q242" s="19"/>
      <c r="R242" s="19"/>
      <c r="S242" s="19"/>
      <c r="T242" s="36"/>
      <c r="U242" s="19"/>
      <c r="V242" s="19"/>
    </row>
    <row r="243" spans="1:22" x14ac:dyDescent="0.3">
      <c r="A243" s="585"/>
      <c r="B243" s="19"/>
      <c r="C243" s="19"/>
      <c r="D243" s="19"/>
      <c r="E243" s="22"/>
      <c r="F243" s="19"/>
      <c r="G243" s="19"/>
      <c r="H243" s="19"/>
      <c r="I243" s="19"/>
      <c r="J243" s="19"/>
      <c r="K243" s="19"/>
      <c r="L243" s="19"/>
      <c r="M243" s="19"/>
      <c r="N243" s="35"/>
      <c r="O243" s="19"/>
      <c r="P243" s="19"/>
      <c r="Q243" s="19"/>
      <c r="R243" s="19"/>
      <c r="S243" s="19"/>
      <c r="T243" s="36"/>
      <c r="U243" s="19"/>
      <c r="V243" s="19"/>
    </row>
    <row r="244" spans="1:22" x14ac:dyDescent="0.3">
      <c r="A244" s="585"/>
      <c r="B244" s="19"/>
      <c r="C244" s="19"/>
      <c r="D244" s="19"/>
      <c r="E244" s="22"/>
      <c r="F244" s="19"/>
      <c r="G244" s="19"/>
      <c r="H244" s="19"/>
      <c r="I244" s="19"/>
      <c r="J244" s="19"/>
      <c r="K244" s="19"/>
      <c r="L244" s="19"/>
      <c r="M244" s="19"/>
      <c r="N244" s="35"/>
      <c r="O244" s="19"/>
      <c r="P244" s="19"/>
      <c r="Q244" s="19"/>
      <c r="R244" s="19"/>
      <c r="S244" s="19"/>
      <c r="T244" s="36"/>
      <c r="U244" s="19"/>
      <c r="V244" s="19"/>
    </row>
    <row r="245" spans="1:22" x14ac:dyDescent="0.3">
      <c r="A245" s="585"/>
      <c r="B245" s="19"/>
      <c r="C245" s="19"/>
      <c r="D245" s="19"/>
      <c r="E245" s="22"/>
      <c r="F245" s="19"/>
      <c r="G245" s="19"/>
      <c r="H245" s="19"/>
      <c r="I245" s="19"/>
      <c r="J245" s="19"/>
      <c r="K245" s="19"/>
      <c r="L245" s="19"/>
      <c r="M245" s="19"/>
      <c r="N245" s="35"/>
      <c r="O245" s="19"/>
      <c r="P245" s="19"/>
      <c r="Q245" s="19"/>
      <c r="R245" s="19"/>
      <c r="S245" s="19"/>
      <c r="T245" s="36"/>
      <c r="U245" s="19"/>
      <c r="V245" s="19"/>
    </row>
    <row r="246" spans="1:22" x14ac:dyDescent="0.3">
      <c r="A246" s="585"/>
      <c r="B246" s="19"/>
      <c r="C246" s="19"/>
      <c r="D246" s="19"/>
      <c r="E246" s="22"/>
      <c r="F246" s="19"/>
      <c r="G246" s="19"/>
      <c r="H246" s="19"/>
      <c r="I246" s="19"/>
      <c r="J246" s="19"/>
      <c r="K246" s="19"/>
      <c r="L246" s="19"/>
      <c r="M246" s="19"/>
      <c r="N246" s="35"/>
      <c r="O246" s="19"/>
      <c r="P246" s="19"/>
      <c r="Q246" s="19"/>
      <c r="R246" s="19"/>
      <c r="S246" s="19"/>
      <c r="T246" s="36"/>
      <c r="U246" s="19"/>
      <c r="V246" s="19"/>
    </row>
    <row r="247" spans="1:22" ht="15" thickBot="1" x14ac:dyDescent="0.35">
      <c r="A247" s="586"/>
      <c r="B247" s="19"/>
      <c r="C247" s="19"/>
      <c r="D247" s="19"/>
      <c r="E247" s="22"/>
      <c r="F247" s="19"/>
      <c r="G247" s="19"/>
      <c r="H247" s="19"/>
      <c r="I247" s="19"/>
      <c r="J247" s="19"/>
      <c r="K247" s="19"/>
      <c r="L247" s="19"/>
      <c r="M247" s="19"/>
      <c r="N247" s="35"/>
      <c r="O247" s="19"/>
      <c r="P247" s="19"/>
      <c r="Q247" s="19"/>
      <c r="R247" s="19"/>
      <c r="S247" s="19"/>
      <c r="T247" s="36"/>
      <c r="U247" s="19"/>
      <c r="V247" s="19"/>
    </row>
    <row r="248" spans="1:22" x14ac:dyDescent="0.3">
      <c r="A248" s="38"/>
      <c r="B248" s="19"/>
      <c r="C248" s="19"/>
      <c r="D248" s="19"/>
      <c r="E248" s="22"/>
      <c r="F248" s="19"/>
      <c r="G248" s="19"/>
      <c r="H248" s="19"/>
      <c r="I248" s="19"/>
      <c r="J248" s="19"/>
      <c r="K248" s="19"/>
      <c r="L248" s="19"/>
      <c r="M248" s="19"/>
      <c r="N248" s="19"/>
      <c r="O248" s="19"/>
      <c r="P248" s="19"/>
      <c r="Q248" s="19"/>
      <c r="R248" s="19"/>
      <c r="S248" s="19"/>
      <c r="T248" s="19"/>
      <c r="U248" s="19"/>
      <c r="V248" s="19"/>
    </row>
    <row r="249" spans="1:22" x14ac:dyDescent="0.3">
      <c r="A249" s="38"/>
      <c r="B249" s="19"/>
      <c r="C249" s="19"/>
      <c r="D249" s="19"/>
      <c r="E249" s="22"/>
      <c r="F249" s="19"/>
      <c r="G249" s="19"/>
      <c r="H249" s="19"/>
      <c r="I249" s="19"/>
      <c r="J249" s="19"/>
      <c r="K249" s="19"/>
      <c r="L249" s="19"/>
      <c r="M249" s="19"/>
      <c r="N249" s="19"/>
      <c r="O249" s="19"/>
      <c r="P249" s="19"/>
      <c r="Q249" s="19"/>
      <c r="R249" s="19"/>
      <c r="S249" s="19"/>
      <c r="T249" s="19"/>
      <c r="U249" s="19"/>
      <c r="V249" s="19"/>
    </row>
    <row r="250" spans="1:22" ht="15" thickBot="1" x14ac:dyDescent="0.35">
      <c r="A250" s="38"/>
      <c r="B250" s="19"/>
      <c r="C250" s="19"/>
      <c r="D250" s="19"/>
      <c r="E250" s="22"/>
      <c r="F250" s="19"/>
      <c r="G250" s="19"/>
      <c r="H250" s="19"/>
      <c r="I250" s="19"/>
      <c r="J250" s="19"/>
      <c r="K250" s="19"/>
      <c r="L250" s="19"/>
      <c r="M250" s="19"/>
      <c r="N250" s="19"/>
      <c r="O250" s="19"/>
      <c r="P250" s="19"/>
      <c r="Q250" s="19"/>
      <c r="R250" s="19"/>
      <c r="S250" s="19"/>
      <c r="T250" s="19"/>
      <c r="U250" s="19"/>
      <c r="V250" s="19"/>
    </row>
    <row r="251" spans="1:22" s="460" customFormat="1" ht="12.6" thickBot="1" x14ac:dyDescent="0.3">
      <c r="A251" s="627"/>
      <c r="B251" s="628"/>
      <c r="C251" s="628"/>
      <c r="D251" s="628"/>
      <c r="E251" s="628"/>
      <c r="F251" s="628"/>
      <c r="G251" s="628"/>
      <c r="H251" s="628"/>
      <c r="I251" s="628"/>
      <c r="J251" s="628"/>
      <c r="K251" s="628"/>
      <c r="L251" s="628"/>
      <c r="M251" s="628"/>
      <c r="N251" s="628"/>
      <c r="O251" s="628"/>
      <c r="P251" s="628"/>
      <c r="Q251" s="628"/>
      <c r="R251" s="628"/>
      <c r="S251" s="628"/>
      <c r="T251" s="628"/>
      <c r="U251" s="628"/>
      <c r="V251" s="628"/>
    </row>
    <row r="252" spans="1:22" ht="13.95" customHeight="1" x14ac:dyDescent="0.3">
      <c r="A252" s="629" t="s">
        <v>433</v>
      </c>
      <c r="B252" s="19"/>
      <c r="C252" s="19"/>
      <c r="D252" s="19"/>
      <c r="E252" s="22"/>
      <c r="F252" s="19"/>
      <c r="G252" s="19"/>
      <c r="H252" s="19"/>
      <c r="I252" s="19"/>
      <c r="J252" s="19"/>
      <c r="K252" s="19"/>
      <c r="L252" s="19"/>
      <c r="M252" s="19"/>
      <c r="N252" s="35"/>
      <c r="O252" s="19"/>
      <c r="P252" s="19"/>
      <c r="Q252" s="19"/>
      <c r="R252" s="19"/>
      <c r="S252" s="19"/>
      <c r="T252" s="36"/>
      <c r="U252" s="19"/>
      <c r="V252" s="19"/>
    </row>
    <row r="253" spans="1:22" ht="13.95" customHeight="1" x14ac:dyDescent="0.3">
      <c r="A253" s="630"/>
      <c r="B253" s="19"/>
      <c r="C253" s="19"/>
      <c r="D253" s="19"/>
      <c r="E253" s="22"/>
      <c r="F253" s="19"/>
      <c r="G253" s="19"/>
      <c r="H253" s="19"/>
      <c r="I253" s="19"/>
      <c r="J253" s="19"/>
      <c r="K253" s="19"/>
      <c r="L253" s="19"/>
      <c r="M253" s="19"/>
      <c r="N253" s="35"/>
      <c r="O253" s="19"/>
      <c r="P253" s="19"/>
      <c r="Q253" s="19"/>
      <c r="R253" s="19"/>
      <c r="S253" s="19"/>
      <c r="T253" s="36"/>
      <c r="U253" s="19"/>
      <c r="V253" s="19"/>
    </row>
    <row r="254" spans="1:22" ht="13.95" customHeight="1" x14ac:dyDescent="0.3">
      <c r="A254" s="630"/>
      <c r="B254" s="19"/>
      <c r="C254" s="19"/>
      <c r="D254" s="19"/>
      <c r="E254" s="22"/>
      <c r="F254" s="19"/>
      <c r="G254" s="19"/>
      <c r="H254" s="19"/>
      <c r="I254" s="19"/>
      <c r="J254" s="19"/>
      <c r="K254" s="19"/>
      <c r="L254" s="19"/>
      <c r="M254" s="19"/>
      <c r="N254" s="35"/>
      <c r="O254" s="19"/>
      <c r="P254" s="19"/>
      <c r="Q254" s="19"/>
      <c r="R254" s="19"/>
      <c r="S254" s="19"/>
      <c r="T254" s="36"/>
      <c r="U254" s="19"/>
      <c r="V254" s="19"/>
    </row>
    <row r="255" spans="1:22" ht="13.95" customHeight="1" x14ac:dyDescent="0.3">
      <c r="A255" s="630"/>
      <c r="B255" s="19"/>
      <c r="C255" s="19"/>
      <c r="D255" s="19"/>
      <c r="E255" s="22"/>
      <c r="F255" s="19"/>
      <c r="G255" s="19"/>
      <c r="H255" s="19"/>
      <c r="I255" s="19"/>
      <c r="J255" s="19"/>
      <c r="K255" s="19"/>
      <c r="L255" s="19"/>
      <c r="M255" s="19"/>
      <c r="N255" s="35"/>
      <c r="O255" s="19"/>
      <c r="P255" s="19"/>
      <c r="Q255" s="19"/>
      <c r="R255" s="19"/>
      <c r="S255" s="19"/>
      <c r="T255" s="36"/>
      <c r="U255" s="19"/>
      <c r="V255" s="19"/>
    </row>
    <row r="256" spans="1:22" ht="13.95" customHeight="1" x14ac:dyDescent="0.3">
      <c r="A256" s="630"/>
      <c r="B256" s="19"/>
      <c r="C256" s="19"/>
      <c r="D256" s="19"/>
      <c r="E256" s="22"/>
      <c r="F256" s="19"/>
      <c r="G256" s="19"/>
      <c r="H256" s="19"/>
      <c r="I256" s="19"/>
      <c r="J256" s="19"/>
      <c r="K256" s="19"/>
      <c r="L256" s="19"/>
      <c r="M256" s="19"/>
      <c r="N256" s="35"/>
      <c r="O256" s="19"/>
      <c r="P256" s="19"/>
      <c r="Q256" s="19"/>
      <c r="R256" s="19"/>
      <c r="S256" s="19"/>
      <c r="T256" s="36"/>
      <c r="U256" s="19"/>
      <c r="V256" s="19"/>
    </row>
    <row r="257" spans="1:1" ht="13.95" customHeight="1" x14ac:dyDescent="0.3">
      <c r="A257" s="630"/>
    </row>
    <row r="258" spans="1:1" ht="13.95" customHeight="1" x14ac:dyDescent="0.3">
      <c r="A258" s="630"/>
    </row>
    <row r="259" spans="1:1" ht="13.95" customHeight="1" x14ac:dyDescent="0.3">
      <c r="A259" s="630"/>
    </row>
    <row r="260" spans="1:1" ht="13.95" customHeight="1" x14ac:dyDescent="0.3">
      <c r="A260" s="630"/>
    </row>
    <row r="261" spans="1:1" ht="13.95" customHeight="1" x14ac:dyDescent="0.3">
      <c r="A261" s="630"/>
    </row>
    <row r="262" spans="1:1" ht="13.95" customHeight="1" x14ac:dyDescent="0.3">
      <c r="A262" s="630"/>
    </row>
    <row r="263" spans="1:1" ht="13.95" customHeight="1" x14ac:dyDescent="0.3">
      <c r="A263" s="630"/>
    </row>
    <row r="264" spans="1:1" ht="13.95" customHeight="1" x14ac:dyDescent="0.3">
      <c r="A264" s="630"/>
    </row>
    <row r="265" spans="1:1" ht="13.95" customHeight="1" x14ac:dyDescent="0.3">
      <c r="A265" s="630"/>
    </row>
    <row r="266" spans="1:1" ht="13.95" customHeight="1" x14ac:dyDescent="0.3">
      <c r="A266" s="630"/>
    </row>
    <row r="267" spans="1:1" ht="13.95" customHeight="1" x14ac:dyDescent="0.3">
      <c r="A267" s="630"/>
    </row>
    <row r="268" spans="1:1" ht="13.95" customHeight="1" x14ac:dyDescent="0.3">
      <c r="A268" s="630"/>
    </row>
    <row r="269" spans="1:1" ht="13.95" customHeight="1" x14ac:dyDescent="0.3">
      <c r="A269" s="630"/>
    </row>
    <row r="270" spans="1:1" ht="13.95" customHeight="1" x14ac:dyDescent="0.3">
      <c r="A270" s="630"/>
    </row>
    <row r="271" spans="1:1" ht="13.95" customHeight="1" x14ac:dyDescent="0.3">
      <c r="A271" s="630"/>
    </row>
    <row r="272" spans="1:1" ht="13.95" customHeight="1" x14ac:dyDescent="0.3">
      <c r="A272" s="630"/>
    </row>
    <row r="273" spans="1:1" ht="13.95" customHeight="1" x14ac:dyDescent="0.3">
      <c r="A273" s="630"/>
    </row>
    <row r="274" spans="1:1" ht="13.95" customHeight="1" x14ac:dyDescent="0.3">
      <c r="A274" s="630"/>
    </row>
    <row r="275" spans="1:1" ht="14.1" customHeight="1" thickBot="1" x14ac:dyDescent="0.35">
      <c r="A275" s="631"/>
    </row>
    <row r="276" spans="1:1" ht="13.95" customHeight="1" x14ac:dyDescent="0.3">
      <c r="A276" s="629" t="s">
        <v>539</v>
      </c>
    </row>
    <row r="277" spans="1:1" ht="13.95" customHeight="1" x14ac:dyDescent="0.3">
      <c r="A277" s="630"/>
    </row>
    <row r="278" spans="1:1" ht="13.95" customHeight="1" x14ac:dyDescent="0.3">
      <c r="A278" s="630"/>
    </row>
    <row r="279" spans="1:1" ht="13.95" customHeight="1" x14ac:dyDescent="0.3">
      <c r="A279" s="630"/>
    </row>
    <row r="280" spans="1:1" ht="13.95" customHeight="1" x14ac:dyDescent="0.3">
      <c r="A280" s="630"/>
    </row>
    <row r="281" spans="1:1" ht="13.95" customHeight="1" x14ac:dyDescent="0.3">
      <c r="A281" s="630"/>
    </row>
    <row r="282" spans="1:1" ht="13.95" customHeight="1" x14ac:dyDescent="0.3">
      <c r="A282" s="630"/>
    </row>
    <row r="283" spans="1:1" ht="13.95" customHeight="1" x14ac:dyDescent="0.3">
      <c r="A283" s="630"/>
    </row>
    <row r="284" spans="1:1" ht="13.95" customHeight="1" x14ac:dyDescent="0.3">
      <c r="A284" s="630"/>
    </row>
    <row r="285" spans="1:1" ht="13.95" customHeight="1" x14ac:dyDescent="0.3">
      <c r="A285" s="630"/>
    </row>
    <row r="286" spans="1:1" ht="13.95" customHeight="1" x14ac:dyDescent="0.3">
      <c r="A286" s="630"/>
    </row>
    <row r="287" spans="1:1" ht="13.95" customHeight="1" x14ac:dyDescent="0.3">
      <c r="A287" s="630"/>
    </row>
    <row r="288" spans="1:1" ht="13.95" customHeight="1" x14ac:dyDescent="0.3">
      <c r="A288" s="630"/>
    </row>
    <row r="289" spans="1:1" ht="13.95" customHeight="1" x14ac:dyDescent="0.3">
      <c r="A289" s="630"/>
    </row>
    <row r="290" spans="1:1" ht="13.95" customHeight="1" x14ac:dyDescent="0.3">
      <c r="A290" s="630"/>
    </row>
    <row r="291" spans="1:1" ht="13.95" customHeight="1" x14ac:dyDescent="0.3">
      <c r="A291" s="630"/>
    </row>
    <row r="292" spans="1:1" ht="13.95" customHeight="1" x14ac:dyDescent="0.3">
      <c r="A292" s="630"/>
    </row>
    <row r="293" spans="1:1" ht="13.95" customHeight="1" x14ac:dyDescent="0.3">
      <c r="A293" s="630"/>
    </row>
    <row r="294" spans="1:1" ht="13.95" customHeight="1" x14ac:dyDescent="0.3">
      <c r="A294" s="630"/>
    </row>
    <row r="295" spans="1:1" ht="13.95" customHeight="1" x14ac:dyDescent="0.3">
      <c r="A295" s="630"/>
    </row>
    <row r="296" spans="1:1" ht="13.95" customHeight="1" x14ac:dyDescent="0.3">
      <c r="A296" s="630"/>
    </row>
    <row r="297" spans="1:1" ht="13.95" customHeight="1" x14ac:dyDescent="0.3">
      <c r="A297" s="630"/>
    </row>
    <row r="298" spans="1:1" ht="13.95" customHeight="1" x14ac:dyDescent="0.3">
      <c r="A298" s="630"/>
    </row>
    <row r="299" spans="1:1" ht="14.1" customHeight="1" thickBot="1" x14ac:dyDescent="0.35">
      <c r="A299" s="631"/>
    </row>
    <row r="300" spans="1:1" ht="13.95" customHeight="1" x14ac:dyDescent="0.3">
      <c r="A300" s="629" t="s">
        <v>543</v>
      </c>
    </row>
    <row r="301" spans="1:1" ht="13.95" customHeight="1" x14ac:dyDescent="0.3">
      <c r="A301" s="630"/>
    </row>
    <row r="302" spans="1:1" ht="13.95" customHeight="1" x14ac:dyDescent="0.3">
      <c r="A302" s="630"/>
    </row>
    <row r="303" spans="1:1" ht="13.95" customHeight="1" x14ac:dyDescent="0.3">
      <c r="A303" s="630"/>
    </row>
    <row r="304" spans="1:1" ht="13.95" customHeight="1" x14ac:dyDescent="0.3">
      <c r="A304" s="630"/>
    </row>
    <row r="305" spans="1:1" ht="13.95" customHeight="1" x14ac:dyDescent="0.3">
      <c r="A305" s="630"/>
    </row>
    <row r="306" spans="1:1" ht="13.95" customHeight="1" x14ac:dyDescent="0.3">
      <c r="A306" s="630"/>
    </row>
    <row r="307" spans="1:1" ht="13.95" customHeight="1" x14ac:dyDescent="0.3">
      <c r="A307" s="630"/>
    </row>
    <row r="308" spans="1:1" ht="13.95" customHeight="1" x14ac:dyDescent="0.3">
      <c r="A308" s="630"/>
    </row>
    <row r="309" spans="1:1" ht="13.95" customHeight="1" x14ac:dyDescent="0.3">
      <c r="A309" s="630"/>
    </row>
    <row r="310" spans="1:1" ht="13.95" customHeight="1" x14ac:dyDescent="0.3">
      <c r="A310" s="630"/>
    </row>
    <row r="311" spans="1:1" ht="13.95" customHeight="1" x14ac:dyDescent="0.3">
      <c r="A311" s="630"/>
    </row>
    <row r="312" spans="1:1" ht="13.95" customHeight="1" x14ac:dyDescent="0.3">
      <c r="A312" s="630"/>
    </row>
    <row r="313" spans="1:1" ht="13.95" customHeight="1" x14ac:dyDescent="0.3">
      <c r="A313" s="630"/>
    </row>
    <row r="314" spans="1:1" ht="13.95" customHeight="1" x14ac:dyDescent="0.3">
      <c r="A314" s="630"/>
    </row>
    <row r="315" spans="1:1" ht="13.95" customHeight="1" x14ac:dyDescent="0.3">
      <c r="A315" s="630"/>
    </row>
    <row r="316" spans="1:1" ht="13.95" customHeight="1" x14ac:dyDescent="0.3">
      <c r="A316" s="630"/>
    </row>
    <row r="317" spans="1:1" ht="13.95" customHeight="1" x14ac:dyDescent="0.3">
      <c r="A317" s="630"/>
    </row>
    <row r="318" spans="1:1" ht="13.95" customHeight="1" x14ac:dyDescent="0.3">
      <c r="A318" s="630"/>
    </row>
    <row r="319" spans="1:1" ht="13.95" customHeight="1" x14ac:dyDescent="0.3">
      <c r="A319" s="630"/>
    </row>
    <row r="320" spans="1:1" ht="13.95" customHeight="1" x14ac:dyDescent="0.3">
      <c r="A320" s="630"/>
    </row>
    <row r="321" spans="1:1" ht="13.95" customHeight="1" x14ac:dyDescent="0.3">
      <c r="A321" s="630"/>
    </row>
    <row r="322" spans="1:1" ht="13.95" customHeight="1" x14ac:dyDescent="0.3">
      <c r="A322" s="630"/>
    </row>
    <row r="323" spans="1:1" ht="14.1" customHeight="1" thickBot="1" x14ac:dyDescent="0.35">
      <c r="A323" s="631"/>
    </row>
    <row r="324" spans="1:1" ht="13.95" customHeight="1" x14ac:dyDescent="0.3">
      <c r="A324" s="629" t="s">
        <v>436</v>
      </c>
    </row>
    <row r="325" spans="1:1" ht="13.95" customHeight="1" x14ac:dyDescent="0.3">
      <c r="A325" s="630"/>
    </row>
    <row r="326" spans="1:1" ht="13.95" customHeight="1" x14ac:dyDescent="0.3">
      <c r="A326" s="630"/>
    </row>
    <row r="327" spans="1:1" ht="13.95" customHeight="1" x14ac:dyDescent="0.3">
      <c r="A327" s="630"/>
    </row>
    <row r="328" spans="1:1" ht="13.95" customHeight="1" x14ac:dyDescent="0.3">
      <c r="A328" s="630"/>
    </row>
    <row r="329" spans="1:1" ht="13.95" customHeight="1" x14ac:dyDescent="0.3">
      <c r="A329" s="630"/>
    </row>
    <row r="330" spans="1:1" ht="13.95" customHeight="1" x14ac:dyDescent="0.3">
      <c r="A330" s="630"/>
    </row>
    <row r="331" spans="1:1" ht="13.95" customHeight="1" x14ac:dyDescent="0.3">
      <c r="A331" s="630"/>
    </row>
    <row r="332" spans="1:1" ht="13.95" customHeight="1" x14ac:dyDescent="0.3">
      <c r="A332" s="630"/>
    </row>
    <row r="333" spans="1:1" ht="13.95" customHeight="1" x14ac:dyDescent="0.3">
      <c r="A333" s="630"/>
    </row>
    <row r="334" spans="1:1" ht="13.95" customHeight="1" x14ac:dyDescent="0.3">
      <c r="A334" s="630"/>
    </row>
    <row r="335" spans="1:1" ht="13.95" customHeight="1" x14ac:dyDescent="0.3">
      <c r="A335" s="630"/>
    </row>
    <row r="336" spans="1:1" ht="13.95" customHeight="1" x14ac:dyDescent="0.3">
      <c r="A336" s="630"/>
    </row>
    <row r="337" spans="1:1" ht="13.95" customHeight="1" x14ac:dyDescent="0.3">
      <c r="A337" s="630"/>
    </row>
    <row r="338" spans="1:1" ht="13.95" customHeight="1" x14ac:dyDescent="0.3">
      <c r="A338" s="630"/>
    </row>
    <row r="339" spans="1:1" ht="13.95" customHeight="1" x14ac:dyDescent="0.3">
      <c r="A339" s="630"/>
    </row>
    <row r="340" spans="1:1" ht="13.95" customHeight="1" x14ac:dyDescent="0.3">
      <c r="A340" s="630"/>
    </row>
    <row r="341" spans="1:1" ht="13.95" customHeight="1" x14ac:dyDescent="0.3">
      <c r="A341" s="630"/>
    </row>
    <row r="342" spans="1:1" ht="13.95" customHeight="1" x14ac:dyDescent="0.3">
      <c r="A342" s="630"/>
    </row>
    <row r="343" spans="1:1" ht="13.95" customHeight="1" x14ac:dyDescent="0.3">
      <c r="A343" s="630"/>
    </row>
    <row r="344" spans="1:1" ht="13.95" customHeight="1" x14ac:dyDescent="0.3">
      <c r="A344" s="630"/>
    </row>
    <row r="345" spans="1:1" ht="13.95" customHeight="1" x14ac:dyDescent="0.3">
      <c r="A345" s="630"/>
    </row>
    <row r="346" spans="1:1" ht="13.95" customHeight="1" x14ac:dyDescent="0.3">
      <c r="A346" s="630"/>
    </row>
    <row r="347" spans="1:1" ht="14.1" customHeight="1" thickBot="1" x14ac:dyDescent="0.35">
      <c r="A347" s="631"/>
    </row>
    <row r="348" spans="1:1" ht="13.95" customHeight="1" x14ac:dyDescent="0.3">
      <c r="A348" s="629" t="s">
        <v>466</v>
      </c>
    </row>
    <row r="349" spans="1:1" ht="13.95" customHeight="1" x14ac:dyDescent="0.3">
      <c r="A349" s="630"/>
    </row>
    <row r="350" spans="1:1" ht="13.95" customHeight="1" x14ac:dyDescent="0.3">
      <c r="A350" s="630"/>
    </row>
    <row r="351" spans="1:1" ht="13.95" customHeight="1" x14ac:dyDescent="0.3">
      <c r="A351" s="630"/>
    </row>
    <row r="352" spans="1:1" ht="13.95" customHeight="1" x14ac:dyDescent="0.3">
      <c r="A352" s="630"/>
    </row>
    <row r="353" spans="1:1" ht="13.95" customHeight="1" x14ac:dyDescent="0.3">
      <c r="A353" s="630"/>
    </row>
    <row r="354" spans="1:1" ht="13.95" customHeight="1" x14ac:dyDescent="0.3">
      <c r="A354" s="630"/>
    </row>
    <row r="355" spans="1:1" ht="13.95" customHeight="1" x14ac:dyDescent="0.3">
      <c r="A355" s="630"/>
    </row>
    <row r="356" spans="1:1" ht="13.95" customHeight="1" x14ac:dyDescent="0.3">
      <c r="A356" s="630"/>
    </row>
    <row r="357" spans="1:1" ht="13.95" customHeight="1" x14ac:dyDescent="0.3">
      <c r="A357" s="630"/>
    </row>
    <row r="358" spans="1:1" ht="13.95" customHeight="1" x14ac:dyDescent="0.3">
      <c r="A358" s="630"/>
    </row>
    <row r="359" spans="1:1" ht="13.95" customHeight="1" x14ac:dyDescent="0.3">
      <c r="A359" s="630"/>
    </row>
    <row r="360" spans="1:1" ht="13.95" customHeight="1" x14ac:dyDescent="0.3">
      <c r="A360" s="630"/>
    </row>
    <row r="361" spans="1:1" ht="13.95" customHeight="1" x14ac:dyDescent="0.3">
      <c r="A361" s="630"/>
    </row>
    <row r="362" spans="1:1" ht="13.95" customHeight="1" x14ac:dyDescent="0.3">
      <c r="A362" s="630"/>
    </row>
    <row r="363" spans="1:1" ht="13.95" customHeight="1" x14ac:dyDescent="0.3">
      <c r="A363" s="630"/>
    </row>
    <row r="364" spans="1:1" ht="13.95" customHeight="1" x14ac:dyDescent="0.3">
      <c r="A364" s="630"/>
    </row>
    <row r="365" spans="1:1" ht="13.95" customHeight="1" x14ac:dyDescent="0.3">
      <c r="A365" s="630"/>
    </row>
    <row r="366" spans="1:1" ht="13.95" customHeight="1" x14ac:dyDescent="0.3">
      <c r="A366" s="630"/>
    </row>
    <row r="367" spans="1:1" ht="13.95" customHeight="1" x14ac:dyDescent="0.3">
      <c r="A367" s="630"/>
    </row>
    <row r="368" spans="1:1" ht="13.95" customHeight="1" x14ac:dyDescent="0.3">
      <c r="A368" s="630"/>
    </row>
    <row r="369" spans="1:1" ht="13.95" customHeight="1" x14ac:dyDescent="0.3">
      <c r="A369" s="630"/>
    </row>
    <row r="370" spans="1:1" ht="13.95" customHeight="1" x14ac:dyDescent="0.3">
      <c r="A370" s="630"/>
    </row>
    <row r="371" spans="1:1" ht="14.1" customHeight="1" thickBot="1" x14ac:dyDescent="0.35">
      <c r="A371" s="631"/>
    </row>
    <row r="372" spans="1:1" ht="13.95" customHeight="1" x14ac:dyDescent="0.3">
      <c r="A372" s="629" t="s">
        <v>683</v>
      </c>
    </row>
    <row r="373" spans="1:1" ht="13.95" customHeight="1" x14ac:dyDescent="0.3">
      <c r="A373" s="630"/>
    </row>
    <row r="374" spans="1:1" ht="13.95" customHeight="1" x14ac:dyDescent="0.3">
      <c r="A374" s="630"/>
    </row>
    <row r="375" spans="1:1" ht="13.95" customHeight="1" x14ac:dyDescent="0.3">
      <c r="A375" s="630"/>
    </row>
    <row r="376" spans="1:1" ht="13.95" customHeight="1" x14ac:dyDescent="0.3">
      <c r="A376" s="630"/>
    </row>
    <row r="377" spans="1:1" ht="13.95" customHeight="1" x14ac:dyDescent="0.3">
      <c r="A377" s="630"/>
    </row>
    <row r="378" spans="1:1" ht="13.95" customHeight="1" x14ac:dyDescent="0.3">
      <c r="A378" s="630"/>
    </row>
    <row r="379" spans="1:1" ht="13.95" customHeight="1" x14ac:dyDescent="0.3">
      <c r="A379" s="630"/>
    </row>
    <row r="380" spans="1:1" ht="13.95" customHeight="1" x14ac:dyDescent="0.3">
      <c r="A380" s="630"/>
    </row>
    <row r="381" spans="1:1" ht="13.95" customHeight="1" x14ac:dyDescent="0.3">
      <c r="A381" s="630"/>
    </row>
    <row r="382" spans="1:1" ht="13.95" customHeight="1" x14ac:dyDescent="0.3">
      <c r="A382" s="630"/>
    </row>
    <row r="383" spans="1:1" ht="13.95" customHeight="1" x14ac:dyDescent="0.3">
      <c r="A383" s="630"/>
    </row>
    <row r="384" spans="1:1" ht="13.95" customHeight="1" x14ac:dyDescent="0.3">
      <c r="A384" s="630"/>
    </row>
    <row r="385" spans="1:1" ht="13.95" customHeight="1" x14ac:dyDescent="0.3">
      <c r="A385" s="630"/>
    </row>
    <row r="386" spans="1:1" ht="13.95" customHeight="1" x14ac:dyDescent="0.3">
      <c r="A386" s="630"/>
    </row>
    <row r="387" spans="1:1" ht="13.95" customHeight="1" x14ac:dyDescent="0.3">
      <c r="A387" s="630"/>
    </row>
    <row r="388" spans="1:1" ht="13.95" customHeight="1" x14ac:dyDescent="0.3">
      <c r="A388" s="630"/>
    </row>
    <row r="389" spans="1:1" ht="13.95" customHeight="1" x14ac:dyDescent="0.3">
      <c r="A389" s="630"/>
    </row>
    <row r="390" spans="1:1" ht="13.95" customHeight="1" x14ac:dyDescent="0.3">
      <c r="A390" s="630"/>
    </row>
    <row r="391" spans="1:1" ht="13.95" customHeight="1" x14ac:dyDescent="0.3">
      <c r="A391" s="630"/>
    </row>
    <row r="392" spans="1:1" ht="13.95" customHeight="1" x14ac:dyDescent="0.3">
      <c r="A392" s="630"/>
    </row>
    <row r="393" spans="1:1" ht="13.95" customHeight="1" x14ac:dyDescent="0.3">
      <c r="A393" s="630"/>
    </row>
    <row r="394" spans="1:1" ht="13.95" customHeight="1" x14ac:dyDescent="0.3">
      <c r="A394" s="630"/>
    </row>
    <row r="395" spans="1:1" s="2" customFormat="1" ht="14.1" customHeight="1" thickBot="1" x14ac:dyDescent="0.35">
      <c r="A395" s="631"/>
    </row>
    <row r="396" spans="1:1" ht="13.95" customHeight="1" x14ac:dyDescent="0.3">
      <c r="A396" s="629" t="s">
        <v>623</v>
      </c>
    </row>
    <row r="397" spans="1:1" ht="13.95" customHeight="1" x14ac:dyDescent="0.3">
      <c r="A397" s="630"/>
    </row>
    <row r="398" spans="1:1" ht="13.95" customHeight="1" x14ac:dyDescent="0.3">
      <c r="A398" s="630"/>
    </row>
    <row r="399" spans="1:1" ht="13.95" customHeight="1" x14ac:dyDescent="0.3">
      <c r="A399" s="630"/>
    </row>
    <row r="400" spans="1:1" ht="13.95" customHeight="1" x14ac:dyDescent="0.3">
      <c r="A400" s="630"/>
    </row>
    <row r="401" spans="1:1" ht="13.95" customHeight="1" x14ac:dyDescent="0.3">
      <c r="A401" s="630"/>
    </row>
    <row r="402" spans="1:1" ht="13.95" customHeight="1" x14ac:dyDescent="0.3">
      <c r="A402" s="630"/>
    </row>
    <row r="403" spans="1:1" ht="13.95" customHeight="1" x14ac:dyDescent="0.3">
      <c r="A403" s="630"/>
    </row>
    <row r="404" spans="1:1" ht="13.95" customHeight="1" x14ac:dyDescent="0.3">
      <c r="A404" s="630"/>
    </row>
    <row r="405" spans="1:1" ht="13.95" customHeight="1" x14ac:dyDescent="0.3">
      <c r="A405" s="630"/>
    </row>
    <row r="406" spans="1:1" ht="13.95" customHeight="1" x14ac:dyDescent="0.3">
      <c r="A406" s="630"/>
    </row>
    <row r="407" spans="1:1" ht="13.95" customHeight="1" x14ac:dyDescent="0.3">
      <c r="A407" s="630"/>
    </row>
    <row r="408" spans="1:1" ht="13.95" customHeight="1" x14ac:dyDescent="0.3">
      <c r="A408" s="630"/>
    </row>
    <row r="409" spans="1:1" ht="13.95" customHeight="1" x14ac:dyDescent="0.3">
      <c r="A409" s="630"/>
    </row>
    <row r="410" spans="1:1" ht="13.95" customHeight="1" x14ac:dyDescent="0.3">
      <c r="A410" s="630"/>
    </row>
    <row r="411" spans="1:1" ht="13.95" customHeight="1" x14ac:dyDescent="0.3">
      <c r="A411" s="630"/>
    </row>
    <row r="412" spans="1:1" ht="13.95" customHeight="1" x14ac:dyDescent="0.3">
      <c r="A412" s="630"/>
    </row>
    <row r="413" spans="1:1" ht="13.95" customHeight="1" x14ac:dyDescent="0.3">
      <c r="A413" s="630"/>
    </row>
    <row r="414" spans="1:1" ht="13.95" customHeight="1" x14ac:dyDescent="0.3">
      <c r="A414" s="630"/>
    </row>
    <row r="415" spans="1:1" ht="13.95" customHeight="1" x14ac:dyDescent="0.3">
      <c r="A415" s="630"/>
    </row>
    <row r="416" spans="1:1" ht="13.95" customHeight="1" x14ac:dyDescent="0.3">
      <c r="A416" s="630"/>
    </row>
    <row r="417" spans="1:1" ht="13.95" customHeight="1" x14ac:dyDescent="0.3">
      <c r="A417" s="630"/>
    </row>
    <row r="418" spans="1:1" ht="13.95" customHeight="1" x14ac:dyDescent="0.3">
      <c r="A418" s="630"/>
    </row>
    <row r="419" spans="1:1" ht="14.1" customHeight="1" thickBot="1" x14ac:dyDescent="0.35">
      <c r="A419" s="631"/>
    </row>
    <row r="420" spans="1:1" s="1" customFormat="1" ht="13.95" customHeight="1" x14ac:dyDescent="0.3">
      <c r="A420" s="629" t="s">
        <v>434</v>
      </c>
    </row>
    <row r="421" spans="1:1" ht="13.95" customHeight="1" x14ac:dyDescent="0.3">
      <c r="A421" s="630"/>
    </row>
    <row r="422" spans="1:1" ht="13.95" customHeight="1" x14ac:dyDescent="0.3">
      <c r="A422" s="630"/>
    </row>
    <row r="423" spans="1:1" ht="13.95" customHeight="1" x14ac:dyDescent="0.3">
      <c r="A423" s="630"/>
    </row>
    <row r="424" spans="1:1" ht="13.95" customHeight="1" x14ac:dyDescent="0.3">
      <c r="A424" s="630"/>
    </row>
    <row r="425" spans="1:1" ht="13.95" customHeight="1" x14ac:dyDescent="0.3">
      <c r="A425" s="630"/>
    </row>
    <row r="426" spans="1:1" ht="13.95" customHeight="1" x14ac:dyDescent="0.3">
      <c r="A426" s="630"/>
    </row>
    <row r="427" spans="1:1" ht="13.95" customHeight="1" x14ac:dyDescent="0.3">
      <c r="A427" s="630"/>
    </row>
    <row r="428" spans="1:1" ht="13.95" customHeight="1" x14ac:dyDescent="0.3">
      <c r="A428" s="630"/>
    </row>
    <row r="429" spans="1:1" ht="13.95" customHeight="1" x14ac:dyDescent="0.3">
      <c r="A429" s="630"/>
    </row>
    <row r="430" spans="1:1" ht="13.95" customHeight="1" x14ac:dyDescent="0.3">
      <c r="A430" s="630"/>
    </row>
    <row r="431" spans="1:1" ht="13.95" customHeight="1" x14ac:dyDescent="0.3">
      <c r="A431" s="630"/>
    </row>
    <row r="432" spans="1:1" ht="13.95" customHeight="1" x14ac:dyDescent="0.3">
      <c r="A432" s="630"/>
    </row>
    <row r="433" spans="1:1" ht="13.95" customHeight="1" x14ac:dyDescent="0.3">
      <c r="A433" s="630"/>
    </row>
    <row r="434" spans="1:1" ht="13.95" customHeight="1" x14ac:dyDescent="0.3">
      <c r="A434" s="630"/>
    </row>
    <row r="435" spans="1:1" ht="13.95" customHeight="1" x14ac:dyDescent="0.3">
      <c r="A435" s="630"/>
    </row>
    <row r="436" spans="1:1" ht="13.95" customHeight="1" x14ac:dyDescent="0.3">
      <c r="A436" s="630"/>
    </row>
    <row r="437" spans="1:1" ht="13.95" customHeight="1" x14ac:dyDescent="0.3">
      <c r="A437" s="630"/>
    </row>
    <row r="438" spans="1:1" ht="13.95" customHeight="1" x14ac:dyDescent="0.3">
      <c r="A438" s="630"/>
    </row>
    <row r="439" spans="1:1" ht="13.95" customHeight="1" x14ac:dyDescent="0.3">
      <c r="A439" s="630"/>
    </row>
    <row r="440" spans="1:1" ht="13.95" customHeight="1" x14ac:dyDescent="0.3">
      <c r="A440" s="630"/>
    </row>
    <row r="441" spans="1:1" ht="13.95" customHeight="1" x14ac:dyDescent="0.3">
      <c r="A441" s="630"/>
    </row>
    <row r="442" spans="1:1" ht="13.95" customHeight="1" x14ac:dyDescent="0.3">
      <c r="A442" s="630"/>
    </row>
    <row r="443" spans="1:1" s="2" customFormat="1" ht="14.1" customHeight="1" thickBot="1" x14ac:dyDescent="0.35">
      <c r="A443" s="631"/>
    </row>
    <row r="444" spans="1:1" s="1" customFormat="1" ht="13.95" customHeight="1" x14ac:dyDescent="0.3">
      <c r="A444" s="629" t="s">
        <v>435</v>
      </c>
    </row>
    <row r="445" spans="1:1" ht="13.95" customHeight="1" x14ac:dyDescent="0.3">
      <c r="A445" s="630"/>
    </row>
    <row r="446" spans="1:1" ht="13.95" customHeight="1" x14ac:dyDescent="0.3">
      <c r="A446" s="630"/>
    </row>
    <row r="447" spans="1:1" ht="13.95" customHeight="1" x14ac:dyDescent="0.3">
      <c r="A447" s="630"/>
    </row>
    <row r="448" spans="1:1" ht="13.95" customHeight="1" x14ac:dyDescent="0.3">
      <c r="A448" s="630"/>
    </row>
    <row r="449" spans="1:1" ht="13.95" customHeight="1" x14ac:dyDescent="0.3">
      <c r="A449" s="630"/>
    </row>
    <row r="450" spans="1:1" ht="13.95" customHeight="1" x14ac:dyDescent="0.3">
      <c r="A450" s="630"/>
    </row>
    <row r="451" spans="1:1" ht="13.95" customHeight="1" x14ac:dyDescent="0.3">
      <c r="A451" s="630"/>
    </row>
    <row r="452" spans="1:1" ht="13.95" customHeight="1" x14ac:dyDescent="0.3">
      <c r="A452" s="630"/>
    </row>
    <row r="453" spans="1:1" ht="13.95" customHeight="1" x14ac:dyDescent="0.3">
      <c r="A453" s="630"/>
    </row>
    <row r="454" spans="1:1" ht="13.95" customHeight="1" x14ac:dyDescent="0.3">
      <c r="A454" s="630"/>
    </row>
    <row r="455" spans="1:1" ht="13.95" customHeight="1" x14ac:dyDescent="0.3">
      <c r="A455" s="630"/>
    </row>
    <row r="456" spans="1:1" ht="13.95" customHeight="1" x14ac:dyDescent="0.3">
      <c r="A456" s="630"/>
    </row>
    <row r="457" spans="1:1" ht="13.95" customHeight="1" x14ac:dyDescent="0.3">
      <c r="A457" s="630"/>
    </row>
    <row r="458" spans="1:1" ht="13.95" customHeight="1" x14ac:dyDescent="0.3">
      <c r="A458" s="630"/>
    </row>
    <row r="459" spans="1:1" ht="13.95" customHeight="1" x14ac:dyDescent="0.3">
      <c r="A459" s="630"/>
    </row>
    <row r="460" spans="1:1" ht="13.95" customHeight="1" x14ac:dyDescent="0.3">
      <c r="A460" s="630"/>
    </row>
    <row r="461" spans="1:1" ht="13.95" customHeight="1" x14ac:dyDescent="0.3">
      <c r="A461" s="630"/>
    </row>
    <row r="462" spans="1:1" ht="13.95" customHeight="1" x14ac:dyDescent="0.3">
      <c r="A462" s="630"/>
    </row>
    <row r="463" spans="1:1" ht="13.95" customHeight="1" x14ac:dyDescent="0.3">
      <c r="A463" s="630"/>
    </row>
    <row r="464" spans="1:1" ht="13.95" customHeight="1" x14ac:dyDescent="0.3">
      <c r="A464" s="630"/>
    </row>
    <row r="465" spans="1:1" ht="13.95" customHeight="1" x14ac:dyDescent="0.3">
      <c r="A465" s="630"/>
    </row>
    <row r="466" spans="1:1" ht="13.95" customHeight="1" x14ac:dyDescent="0.3">
      <c r="A466" s="630"/>
    </row>
    <row r="467" spans="1:1" s="2" customFormat="1" ht="14.1" customHeight="1" thickBot="1" x14ac:dyDescent="0.35">
      <c r="A467" s="631"/>
    </row>
  </sheetData>
  <mergeCells count="80">
    <mergeCell ref="A348:A371"/>
    <mergeCell ref="A372:A395"/>
    <mergeCell ref="A396:A419"/>
    <mergeCell ref="A420:A443"/>
    <mergeCell ref="A444:A467"/>
    <mergeCell ref="A251:V251"/>
    <mergeCell ref="A252:A275"/>
    <mergeCell ref="A276:A299"/>
    <mergeCell ref="A300:A323"/>
    <mergeCell ref="A324:A347"/>
    <mergeCell ref="BF90:BG90"/>
    <mergeCell ref="X1:AC1"/>
    <mergeCell ref="AD1:BD1"/>
    <mergeCell ref="U89:W89"/>
    <mergeCell ref="C91:E91"/>
    <mergeCell ref="F89:M89"/>
    <mergeCell ref="N89:T89"/>
    <mergeCell ref="X89:AB89"/>
    <mergeCell ref="AD89:BD89"/>
    <mergeCell ref="N1:T1"/>
    <mergeCell ref="U1:W1"/>
    <mergeCell ref="F1:M1"/>
    <mergeCell ref="D73:D87"/>
    <mergeCell ref="E73:E87"/>
    <mergeCell ref="E10:E17"/>
    <mergeCell ref="E3:E9"/>
    <mergeCell ref="A57:A66"/>
    <mergeCell ref="A176:A199"/>
    <mergeCell ref="A200:A223"/>
    <mergeCell ref="A224:A247"/>
    <mergeCell ref="E19:E27"/>
    <mergeCell ref="C28:C30"/>
    <mergeCell ref="D28:D30"/>
    <mergeCell ref="E28:E30"/>
    <mergeCell ref="A31:A37"/>
    <mergeCell ref="C31:C37"/>
    <mergeCell ref="D31:D37"/>
    <mergeCell ref="E31:E37"/>
    <mergeCell ref="A38:A44"/>
    <mergeCell ref="C38:C44"/>
    <mergeCell ref="C94:E94"/>
    <mergeCell ref="C95:E95"/>
    <mergeCell ref="D38:D44"/>
    <mergeCell ref="E38:E44"/>
    <mergeCell ref="A45:A56"/>
    <mergeCell ref="C45:C56"/>
    <mergeCell ref="D45:D56"/>
    <mergeCell ref="E45:E56"/>
    <mergeCell ref="A73:A87"/>
    <mergeCell ref="C73:C87"/>
    <mergeCell ref="A67:A72"/>
    <mergeCell ref="C67:C72"/>
    <mergeCell ref="D67:D72"/>
    <mergeCell ref="A3:A9"/>
    <mergeCell ref="C19:C27"/>
    <mergeCell ref="D19:D27"/>
    <mergeCell ref="C3:C9"/>
    <mergeCell ref="D3:D9"/>
    <mergeCell ref="C10:C17"/>
    <mergeCell ref="D10:D17"/>
    <mergeCell ref="A19:A30"/>
    <mergeCell ref="A10:A18"/>
    <mergeCell ref="AS104:AS105"/>
    <mergeCell ref="A152:A175"/>
    <mergeCell ref="C99:E99"/>
    <mergeCell ref="A104:A127"/>
    <mergeCell ref="A128:A151"/>
    <mergeCell ref="AB101:AC101"/>
    <mergeCell ref="AB102:AC102"/>
    <mergeCell ref="C100:E100"/>
    <mergeCell ref="A103:V103"/>
    <mergeCell ref="C57:C66"/>
    <mergeCell ref="D57:D66"/>
    <mergeCell ref="E57:E66"/>
    <mergeCell ref="AQ104:AQ105"/>
    <mergeCell ref="AR104:AR105"/>
    <mergeCell ref="C92:E92"/>
    <mergeCell ref="C93:E93"/>
    <mergeCell ref="E67:E72"/>
    <mergeCell ref="C98:E98"/>
  </mergeCells>
  <conditionalFormatting sqref="AS106:AS127">
    <cfRule type="colorScale" priority="1">
      <colorScale>
        <cfvo type="min"/>
        <cfvo type="percentile" val="50"/>
        <cfvo type="max"/>
        <color rgb="FF63BE7B"/>
        <color rgb="FFFFEB84"/>
        <color rgb="FFF8696B"/>
      </colorScale>
    </cfRule>
  </conditionalFormatting>
  <pageMargins left="0.7" right="0.7" top="0.75" bottom="0.75" header="0.3" footer="0.3"/>
  <pageSetup paperSize="9" orientation="portrait" horizontalDpi="4294967293" verticalDpi="0"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4E1B3-FC5E-4DD2-8866-F73B0FDEF617}">
  <sheetPr>
    <tabColor theme="5" tint="0.39997558519241921"/>
  </sheetPr>
  <dimension ref="A1:BG40"/>
  <sheetViews>
    <sheetView workbookViewId="0">
      <selection activeCell="M3" sqref="M3"/>
    </sheetView>
  </sheetViews>
  <sheetFormatPr defaultColWidth="8.88671875" defaultRowHeight="12" x14ac:dyDescent="0.25"/>
  <cols>
    <col min="1" max="1" width="16" style="76" customWidth="1"/>
    <col min="2" max="2" width="16.109375" style="16" customWidth="1"/>
    <col min="3" max="5" width="9.33203125" style="14" bestFit="1" customWidth="1"/>
    <col min="6" max="6" width="10.88671875" style="14" customWidth="1"/>
    <col min="7" max="9" width="9.33203125" style="14" bestFit="1" customWidth="1"/>
    <col min="10" max="10" width="8.5546875" style="14" customWidth="1"/>
    <col min="11" max="15" width="9.33203125" style="14" bestFit="1" customWidth="1"/>
    <col min="16" max="16" width="8.88671875" style="14"/>
    <col min="17" max="21" width="8.88671875" style="14" bestFit="1" customWidth="1"/>
    <col min="22" max="22" width="8.88671875" style="14"/>
    <col min="23" max="24" width="8.88671875" style="14" bestFit="1" customWidth="1"/>
    <col min="25" max="25" width="11.88671875" style="14" bestFit="1" customWidth="1"/>
    <col min="26" max="27" width="8.88671875" style="14" bestFit="1" customWidth="1"/>
    <col min="28" max="16384" width="8.88671875" style="14"/>
  </cols>
  <sheetData>
    <row r="1" spans="1:59" ht="15" thickBot="1" x14ac:dyDescent="0.35">
      <c r="A1" s="215"/>
      <c r="B1" s="216"/>
      <c r="C1" s="217"/>
      <c r="D1" s="75"/>
      <c r="E1" s="218"/>
      <c r="F1" s="632" t="s">
        <v>557</v>
      </c>
      <c r="G1" s="633"/>
      <c r="H1" s="633"/>
      <c r="I1" s="633"/>
      <c r="J1" s="633"/>
      <c r="K1" s="633"/>
      <c r="L1" s="633"/>
      <c r="M1" s="634"/>
      <c r="N1" s="632" t="s">
        <v>457</v>
      </c>
      <c r="O1" s="633"/>
      <c r="P1" s="633"/>
      <c r="Q1" s="633"/>
      <c r="R1" s="633"/>
      <c r="S1" s="633"/>
      <c r="T1" s="634"/>
      <c r="U1" s="632" t="s">
        <v>458</v>
      </c>
      <c r="V1" s="633"/>
      <c r="W1" s="634"/>
      <c r="X1" s="632" t="s">
        <v>452</v>
      </c>
      <c r="Y1" s="633"/>
      <c r="Z1" s="633"/>
      <c r="AA1" s="633"/>
      <c r="AB1" s="633"/>
      <c r="AC1" s="634"/>
      <c r="AD1" s="632" t="s">
        <v>4</v>
      </c>
      <c r="AE1" s="633"/>
      <c r="AF1" s="633"/>
      <c r="AG1" s="633"/>
      <c r="AH1" s="633"/>
      <c r="AI1" s="633"/>
      <c r="AJ1" s="633"/>
      <c r="AK1" s="633"/>
      <c r="AL1" s="633"/>
      <c r="AM1" s="633"/>
      <c r="AN1" s="633"/>
      <c r="AO1" s="633"/>
      <c r="AP1" s="633"/>
      <c r="AQ1" s="633"/>
      <c r="AR1" s="633"/>
      <c r="AS1" s="633"/>
      <c r="AT1" s="633"/>
      <c r="AU1" s="633"/>
      <c r="AV1" s="633"/>
      <c r="AW1" s="633"/>
      <c r="AX1" s="633"/>
      <c r="AY1" s="633"/>
      <c r="AZ1" s="633"/>
      <c r="BA1" s="633"/>
      <c r="BB1" s="633"/>
      <c r="BC1" s="633"/>
      <c r="BD1" s="634"/>
      <c r="BE1" s="75"/>
      <c r="BF1" s="217"/>
      <c r="BG1" s="217"/>
    </row>
    <row r="2" spans="1:59" s="224" customFormat="1" ht="48.6" thickBot="1" x14ac:dyDescent="0.3">
      <c r="A2" s="219" t="s">
        <v>538</v>
      </c>
      <c r="B2" s="220" t="s">
        <v>5</v>
      </c>
      <c r="C2" s="221" t="s">
        <v>101</v>
      </c>
      <c r="D2" s="222" t="s">
        <v>437</v>
      </c>
      <c r="E2" s="223" t="s">
        <v>438</v>
      </c>
      <c r="F2" s="137" t="s">
        <v>82</v>
      </c>
      <c r="G2" s="138" t="s">
        <v>439</v>
      </c>
      <c r="H2" s="138" t="s">
        <v>136</v>
      </c>
      <c r="I2" s="138" t="s">
        <v>440</v>
      </c>
      <c r="J2" s="138" t="s">
        <v>315</v>
      </c>
      <c r="K2" s="138" t="s">
        <v>441</v>
      </c>
      <c r="L2" s="138" t="s">
        <v>684</v>
      </c>
      <c r="M2" s="138" t="s">
        <v>443</v>
      </c>
      <c r="N2" s="137" t="s">
        <v>444</v>
      </c>
      <c r="O2" s="138" t="s">
        <v>81</v>
      </c>
      <c r="P2" s="138" t="s">
        <v>7</v>
      </c>
      <c r="Q2" s="138" t="s">
        <v>127</v>
      </c>
      <c r="R2" s="138" t="s">
        <v>445</v>
      </c>
      <c r="S2" s="138" t="s">
        <v>446</v>
      </c>
      <c r="T2" s="139" t="s">
        <v>447</v>
      </c>
      <c r="U2" s="138" t="s">
        <v>448</v>
      </c>
      <c r="V2" s="138" t="s">
        <v>449</v>
      </c>
      <c r="W2" s="138" t="s">
        <v>450</v>
      </c>
      <c r="X2" s="137" t="s">
        <v>84</v>
      </c>
      <c r="Y2" s="138" t="s">
        <v>451</v>
      </c>
      <c r="Z2" s="138" t="s">
        <v>452</v>
      </c>
      <c r="AA2" s="138" t="s">
        <v>83</v>
      </c>
      <c r="AB2" s="138" t="s">
        <v>453</v>
      </c>
      <c r="AC2" s="139" t="s">
        <v>454</v>
      </c>
      <c r="AD2" s="137" t="s">
        <v>9</v>
      </c>
      <c r="AE2" s="138" t="s">
        <v>10</v>
      </c>
      <c r="AF2" s="138" t="s">
        <v>11</v>
      </c>
      <c r="AG2" s="138" t="s">
        <v>12</v>
      </c>
      <c r="AH2" s="138" t="s">
        <v>13</v>
      </c>
      <c r="AI2" s="138" t="s">
        <v>14</v>
      </c>
      <c r="AJ2" s="138" t="s">
        <v>15</v>
      </c>
      <c r="AK2" s="138" t="s">
        <v>16</v>
      </c>
      <c r="AL2" s="138" t="s">
        <v>17</v>
      </c>
      <c r="AM2" s="140" t="s">
        <v>18</v>
      </c>
      <c r="AN2" s="140" t="s">
        <v>19</v>
      </c>
      <c r="AO2" s="140" t="s">
        <v>20</v>
      </c>
      <c r="AP2" s="140" t="s">
        <v>21</v>
      </c>
      <c r="AQ2" s="140" t="s">
        <v>22</v>
      </c>
      <c r="AR2" s="140" t="s">
        <v>23</v>
      </c>
      <c r="AS2" s="140" t="s">
        <v>24</v>
      </c>
      <c r="AT2" s="140" t="s">
        <v>25</v>
      </c>
      <c r="AU2" s="140" t="s">
        <v>26</v>
      </c>
      <c r="AV2" s="140" t="s">
        <v>27</v>
      </c>
      <c r="AW2" s="140" t="s">
        <v>28</v>
      </c>
      <c r="AX2" s="140" t="s">
        <v>29</v>
      </c>
      <c r="AY2" s="140" t="s">
        <v>30</v>
      </c>
      <c r="AZ2" s="140" t="s">
        <v>31</v>
      </c>
      <c r="BA2" s="140" t="s">
        <v>32</v>
      </c>
      <c r="BB2" s="140" t="s">
        <v>33</v>
      </c>
      <c r="BC2" s="140" t="s">
        <v>34</v>
      </c>
      <c r="BD2" s="140" t="s">
        <v>35</v>
      </c>
      <c r="BE2" s="141" t="s">
        <v>459</v>
      </c>
      <c r="BF2" s="142"/>
      <c r="BG2" s="143" t="s">
        <v>79</v>
      </c>
    </row>
    <row r="3" spans="1:59" s="1" customFormat="1" ht="18.45" customHeight="1" x14ac:dyDescent="0.3">
      <c r="A3" s="598" t="s">
        <v>433</v>
      </c>
      <c r="B3" s="78" t="s">
        <v>467</v>
      </c>
      <c r="C3" s="570" t="s">
        <v>554</v>
      </c>
      <c r="D3" s="570">
        <v>2018</v>
      </c>
      <c r="E3" s="573" t="s">
        <v>665</v>
      </c>
      <c r="F3" s="86">
        <f>SUM('2.1.'!H13:'2.1.'!H16)</f>
        <v>465062700.74337149</v>
      </c>
      <c r="G3" s="47">
        <f>SUM('2.1.'!I13:'2.1.'!I16)</f>
        <v>68617915.064274743</v>
      </c>
      <c r="H3" s="47"/>
      <c r="I3" s="47">
        <f>SUM('2.1.'!U13:'2.1.'!U16)</f>
        <v>7422149.9603948072</v>
      </c>
      <c r="J3" s="47">
        <f>SUM('2.1.'!R13:'2.1.'!R16)</f>
        <v>9986057.1757012215</v>
      </c>
      <c r="K3" s="47">
        <f>SUM('2.1.'!S13:'2.1.'!S16)+SUM('2.1.'!T13:'2.1.'!T16)</f>
        <v>170318697.34972876</v>
      </c>
      <c r="L3" s="47"/>
      <c r="M3" s="144">
        <f>SUM('2.1.'!Q13:'2.1.'!Q16)</f>
        <v>19554.886707705038</v>
      </c>
      <c r="N3" s="86">
        <f>SUM('2.1.'!C13:'2.1.'!C16)</f>
        <v>18827824.666656882</v>
      </c>
      <c r="O3" s="47">
        <f>SUM('2.1.'!D13:'2.1.'!D16)</f>
        <v>287560.19036628335</v>
      </c>
      <c r="P3" s="47">
        <f>SUM('2.1.'!E13:'2.1.'!E16)</f>
        <v>67464.890072585986</v>
      </c>
      <c r="Q3" s="47"/>
      <c r="R3" s="47"/>
      <c r="S3" s="47"/>
      <c r="T3" s="87">
        <f>SUM('2.1.'!F13:'2.1.'!F16)</f>
        <v>863667.06906529889</v>
      </c>
      <c r="U3" s="47">
        <f>SUM('2.1.'!G13:'2.1.'!G16)</f>
        <v>22477988.620683081</v>
      </c>
      <c r="V3" s="47"/>
      <c r="W3" s="47"/>
      <c r="X3" s="86">
        <f>SUM('2.1.'!M13:'2.1.'!M16)</f>
        <v>522534.44094726455</v>
      </c>
      <c r="Y3" s="47">
        <f>SUM('2.1.'!N13:'2.1.'!N16)</f>
        <v>4810289.5960450554</v>
      </c>
      <c r="Z3" s="47">
        <f>SUM('2.1.'!O13:'2.1.'!O16)</f>
        <v>599167.95711258927</v>
      </c>
      <c r="AA3" s="47">
        <f>SUM('2.1.'!K13:'2.1.'!K16)</f>
        <v>1141750.5187259023</v>
      </c>
      <c r="AB3" s="47">
        <f>SUM('2.1.'!L13:'2.1.'!L16)</f>
        <v>3380716.4289671611</v>
      </c>
      <c r="AC3" s="87"/>
      <c r="AD3" s="47"/>
      <c r="AE3" s="47"/>
      <c r="AF3" s="47"/>
      <c r="AG3" s="47"/>
      <c r="AH3" s="47"/>
      <c r="AI3" s="47"/>
      <c r="AJ3" s="47"/>
      <c r="AK3" s="47"/>
      <c r="AL3" s="47"/>
      <c r="AM3" s="47"/>
      <c r="AN3" s="145"/>
      <c r="AO3" s="47"/>
      <c r="AP3" s="47"/>
      <c r="AQ3" s="145"/>
      <c r="AR3" s="47"/>
      <c r="AS3" s="145"/>
      <c r="AT3" s="145"/>
      <c r="AU3" s="145"/>
      <c r="AV3" s="145"/>
      <c r="AW3" s="145"/>
      <c r="AX3" s="145"/>
      <c r="AY3" s="145"/>
      <c r="AZ3" s="145"/>
      <c r="BA3" s="145"/>
      <c r="BB3" s="145"/>
      <c r="BC3" s="145"/>
      <c r="BD3" s="145"/>
      <c r="BE3" s="146"/>
      <c r="BF3" s="46"/>
      <c r="BG3" s="147">
        <f>SUM(F3:BD3)</f>
        <v>774406039.55882072</v>
      </c>
    </row>
    <row r="4" spans="1:59" s="5" customFormat="1" ht="14.4" customHeight="1" x14ac:dyDescent="0.3">
      <c r="A4" s="599"/>
      <c r="B4" s="16" t="s">
        <v>468</v>
      </c>
      <c r="C4" s="571"/>
      <c r="D4" s="571"/>
      <c r="E4" s="574"/>
      <c r="F4" s="88">
        <f>SUM('2.1.'!H17:'2.1.'!H20)</f>
        <v>525258737.42092699</v>
      </c>
      <c r="G4" s="48">
        <f>SUM('2.1.'!I17:'2.1.'!I20)</f>
        <v>40989326.034355968</v>
      </c>
      <c r="H4" s="48"/>
      <c r="I4" s="48">
        <f>SUM('2.1.'!U17:'2.1.'!U20)</f>
        <v>10658814.561482435</v>
      </c>
      <c r="J4" s="48">
        <f>SUM('2.1.'!R17:'2.1.'!R20)</f>
        <v>6380294.5875967089</v>
      </c>
      <c r="K4" s="48">
        <f>SUM('2.1.'!S17:'2.1.'!S20)+SUM('2.1.'!T17:'2.1.'!T20)</f>
        <v>154411481.26799783</v>
      </c>
      <c r="L4" s="48"/>
      <c r="M4" s="53">
        <f>SUM('2.1.'!Q17:'2.1.'!Q20)</f>
        <v>0</v>
      </c>
      <c r="N4" s="88">
        <f>SUM('2.1.'!C17:'2.1.'!C20)</f>
        <v>22405048.830196902</v>
      </c>
      <c r="O4" s="48">
        <f>SUM('2.1.'!D17:'2.1.'!D20)</f>
        <v>145927.29602800414</v>
      </c>
      <c r="P4" s="48">
        <f>SUM('2.1.'!E17:'2.1.'!E20)</f>
        <v>164821.13633921932</v>
      </c>
      <c r="Q4" s="48"/>
      <c r="R4" s="48"/>
      <c r="S4" s="48"/>
      <c r="T4" s="89">
        <f>SUM('2.1.'!F17:'2.1.'!F20)</f>
        <v>628019.1645948824</v>
      </c>
      <c r="U4" s="48">
        <f>SUM('2.1.'!G17:'2.1.'!G20)</f>
        <v>13655596.129935745</v>
      </c>
      <c r="V4" s="48"/>
      <c r="W4" s="48"/>
      <c r="X4" s="88">
        <f>SUM('2.1.'!M17:'2.1.'!M20)</f>
        <v>652972.99582482793</v>
      </c>
      <c r="Y4" s="48">
        <f>SUM('2.1.'!N17:'2.1.'!N20)</f>
        <v>5721386.9230552819</v>
      </c>
      <c r="Z4" s="48">
        <f>SUM('2.1.'!O17:'2.1.'!O20)</f>
        <v>782673.31582331075</v>
      </c>
      <c r="AA4" s="48">
        <f>SUM('2.1.'!K17:'2.1.'!K20)</f>
        <v>1398513.6194293427</v>
      </c>
      <c r="AB4" s="48">
        <f>SUM('2.1.'!L17:'2.1.'!L20)</f>
        <v>1146910.897485232</v>
      </c>
      <c r="AC4" s="89"/>
      <c r="AD4" s="48"/>
      <c r="AE4" s="48"/>
      <c r="AF4" s="48"/>
      <c r="AG4" s="48"/>
      <c r="AH4" s="48"/>
      <c r="AI4" s="48"/>
      <c r="AJ4" s="48"/>
      <c r="AK4" s="48"/>
      <c r="AL4" s="48"/>
      <c r="AM4" s="48"/>
      <c r="AN4" s="148"/>
      <c r="AO4" s="48"/>
      <c r="AP4" s="48"/>
      <c r="AQ4" s="148"/>
      <c r="AR4" s="48"/>
      <c r="AS4" s="148"/>
      <c r="AT4" s="148"/>
      <c r="AU4" s="148"/>
      <c r="AV4" s="148"/>
      <c r="AW4" s="148"/>
      <c r="AX4" s="148"/>
      <c r="AY4" s="148"/>
      <c r="AZ4" s="148"/>
      <c r="BA4" s="148"/>
      <c r="BB4" s="148"/>
      <c r="BC4" s="148"/>
      <c r="BD4" s="148"/>
      <c r="BE4" s="149"/>
      <c r="BF4" s="14"/>
      <c r="BG4" s="150">
        <f t="shared" ref="BG4:BG9" si="0">SUM(F4:BD4)</f>
        <v>784400524.18107259</v>
      </c>
    </row>
    <row r="5" spans="1:59" s="5" customFormat="1" ht="14.4" customHeight="1" x14ac:dyDescent="0.3">
      <c r="A5" s="599"/>
      <c r="B5" s="16" t="s">
        <v>469</v>
      </c>
      <c r="C5" s="571"/>
      <c r="D5" s="571"/>
      <c r="E5" s="574"/>
      <c r="F5" s="88">
        <f>SUM('2.1.'!H21:'2.1.'!H24)</f>
        <v>431232146.55382872</v>
      </c>
      <c r="G5" s="48">
        <f>SUM('2.1.'!I21:'2.1.'!I24)</f>
        <v>18705742.915475689</v>
      </c>
      <c r="H5" s="48"/>
      <c r="I5" s="48">
        <f>SUM('2.1.'!U21:'2.1.'!U24)</f>
        <v>6185325.346155135</v>
      </c>
      <c r="J5" s="48">
        <f>SUM('2.1.'!R21:'2.1.'!R24)</f>
        <v>6618220.8101110449</v>
      </c>
      <c r="K5" s="48">
        <f>SUM('2.1.'!S21:'2.1.'!S24)+SUM('2.1.'!T21:'2.1.'!T24)</f>
        <v>47366712.488887757</v>
      </c>
      <c r="L5" s="48"/>
      <c r="M5" s="53">
        <f>SUM('2.1.'!Q21:'2.1.'!Q24)</f>
        <v>232554.44246189061</v>
      </c>
      <c r="N5" s="88">
        <f>SUM('2.1.'!C21:'2.1.'!C24)</f>
        <v>21496677.215662822</v>
      </c>
      <c r="O5" s="48">
        <f>SUM('2.1.'!D21:'2.1.'!D24)</f>
        <v>86596.512561025578</v>
      </c>
      <c r="P5" s="48">
        <f>SUM('2.1.'!E21:'2.1.'!E24)</f>
        <v>1229438.5858557322</v>
      </c>
      <c r="Q5" s="48"/>
      <c r="R5" s="48"/>
      <c r="S5" s="48"/>
      <c r="T5" s="89">
        <f>SUM('2.1.'!F21:'2.1.'!F24)</f>
        <v>203498.27374652508</v>
      </c>
      <c r="U5" s="48">
        <f>SUM('2.1.'!G21:'2.1.'!G24)</f>
        <v>6384651.1672545476</v>
      </c>
      <c r="V5" s="48"/>
      <c r="W5" s="48"/>
      <c r="X5" s="88">
        <f>SUM('2.1.'!M21:'2.1.'!M24)</f>
        <v>505028.07600490714</v>
      </c>
      <c r="Y5" s="48">
        <f>SUM('2.1.'!N21:'2.1.'!N24)</f>
        <v>4464022.595903229</v>
      </c>
      <c r="Z5" s="48">
        <f>SUM('2.1.'!O21:'2.1.'!O24)</f>
        <v>1230872.3960112343</v>
      </c>
      <c r="AA5" s="48">
        <f>SUM('2.1.'!K21:'2.1.'!K24)</f>
        <v>1583096.9656177019</v>
      </c>
      <c r="AB5" s="48">
        <f>SUM('2.1.'!L21:'2.1.'!L24)</f>
        <v>1677408.120496681</v>
      </c>
      <c r="AC5" s="89"/>
      <c r="AD5" s="48"/>
      <c r="AE5" s="48"/>
      <c r="AF5" s="48"/>
      <c r="AG5" s="48"/>
      <c r="AH5" s="48"/>
      <c r="AI5" s="48"/>
      <c r="AJ5" s="48"/>
      <c r="AK5" s="48"/>
      <c r="AL5" s="48"/>
      <c r="AM5" s="48"/>
      <c r="AN5" s="148"/>
      <c r="AO5" s="48"/>
      <c r="AP5" s="48"/>
      <c r="AQ5" s="148"/>
      <c r="AR5" s="48"/>
      <c r="AS5" s="148"/>
      <c r="AT5" s="148"/>
      <c r="AU5" s="148"/>
      <c r="AV5" s="148"/>
      <c r="AW5" s="148"/>
      <c r="AX5" s="148"/>
      <c r="AY5" s="148"/>
      <c r="AZ5" s="148"/>
      <c r="BA5" s="148"/>
      <c r="BB5" s="148"/>
      <c r="BC5" s="148"/>
      <c r="BD5" s="148"/>
      <c r="BE5" s="149"/>
      <c r="BF5" s="14"/>
      <c r="BG5" s="150">
        <f t="shared" si="0"/>
        <v>549201992.46603453</v>
      </c>
    </row>
    <row r="6" spans="1:59" s="5" customFormat="1" ht="14.4" customHeight="1" x14ac:dyDescent="0.3">
      <c r="A6" s="599"/>
      <c r="B6" s="16" t="s">
        <v>470</v>
      </c>
      <c r="C6" s="571"/>
      <c r="D6" s="571"/>
      <c r="E6" s="574"/>
      <c r="F6" s="88">
        <f>SUM('2.1.'!H37:'2.1.'!H40)</f>
        <v>28631044.1372112</v>
      </c>
      <c r="G6" s="48">
        <f>SUM('2.1.'!I37:'2.1.'!I40)</f>
        <v>2077706.6589063772</v>
      </c>
      <c r="H6" s="48"/>
      <c r="I6" s="48">
        <f>SUM('2.1.'!U37:'2.1.'!U40)</f>
        <v>322981.85326095339</v>
      </c>
      <c r="J6" s="48">
        <f>SUM('2.1.'!R37:'2.1.'!R40)</f>
        <v>248711.83990787354</v>
      </c>
      <c r="K6" s="48">
        <f>SUM('2.1.'!S37:'2.1.'!S40)+SUM('2.1.'!T37:'2.1.'!T40)</f>
        <v>7742740.6346318154</v>
      </c>
      <c r="L6" s="48"/>
      <c r="M6" s="53">
        <f>SUM('2.1.'!Q37:'2.1.'!Q40)</f>
        <v>288.40355076923095</v>
      </c>
      <c r="N6" s="88">
        <f>SUM('2.1.'!C37:'2.1.'!C40)</f>
        <v>1142849.4405160449</v>
      </c>
      <c r="O6" s="48">
        <f>SUM('2.1.'!D37:'2.1.'!D40)</f>
        <v>4962.3562899091066</v>
      </c>
      <c r="P6" s="48">
        <f>SUM('2.1.'!E37:'2.1.'!E40)</f>
        <v>29467.789029936779</v>
      </c>
      <c r="Q6" s="48"/>
      <c r="R6" s="48"/>
      <c r="S6" s="48"/>
      <c r="T6" s="89">
        <f>SUM('2.1.'!F37:'2.1.'!F40)</f>
        <v>11787.60283696566</v>
      </c>
      <c r="U6" s="48">
        <f>SUM('2.1.'!G37:'2.1.'!G40)</f>
        <v>353041.70776471199</v>
      </c>
      <c r="V6" s="48"/>
      <c r="W6" s="48"/>
      <c r="X6" s="88">
        <f>SUM('2.1.'!M37:'2.1.'!M40)</f>
        <v>42736.300109966309</v>
      </c>
      <c r="Y6" s="48">
        <f>SUM('2.1.'!N37:'2.1.'!N40)</f>
        <v>283063.13669830962</v>
      </c>
      <c r="Z6" s="48">
        <f>SUM('2.1.'!O37:'2.1.'!O40)</f>
        <v>73143.343054178142</v>
      </c>
      <c r="AA6" s="48">
        <f>SUM('2.1.'!K37:'2.1.'!K40)</f>
        <v>395508.46710385929</v>
      </c>
      <c r="AB6" s="48">
        <f>SUM('2.1.'!L37:'2.1.'!L40)</f>
        <v>175429.54514603806</v>
      </c>
      <c r="AC6" s="89"/>
      <c r="AD6" s="48"/>
      <c r="AE6" s="48"/>
      <c r="AF6" s="48"/>
      <c r="AG6" s="48"/>
      <c r="AH6" s="48"/>
      <c r="AI6" s="48"/>
      <c r="AJ6" s="48"/>
      <c r="AK6" s="48"/>
      <c r="AL6" s="48"/>
      <c r="AM6" s="48"/>
      <c r="AN6" s="148"/>
      <c r="AO6" s="48"/>
      <c r="AP6" s="48"/>
      <c r="AQ6" s="148"/>
      <c r="AR6" s="48"/>
      <c r="AS6" s="148"/>
      <c r="AT6" s="148"/>
      <c r="AU6" s="148"/>
      <c r="AV6" s="148"/>
      <c r="AW6" s="148"/>
      <c r="AX6" s="148"/>
      <c r="AY6" s="148"/>
      <c r="AZ6" s="148"/>
      <c r="BA6" s="148"/>
      <c r="BB6" s="148"/>
      <c r="BC6" s="148"/>
      <c r="BD6" s="148"/>
      <c r="BE6" s="149"/>
      <c r="BF6" s="14"/>
      <c r="BG6" s="150">
        <f t="shared" si="0"/>
        <v>41535463.216018915</v>
      </c>
    </row>
    <row r="7" spans="1:59" s="5" customFormat="1" ht="14.4" customHeight="1" x14ac:dyDescent="0.3">
      <c r="A7" s="599"/>
      <c r="B7" s="16" t="s">
        <v>471</v>
      </c>
      <c r="C7" s="571"/>
      <c r="D7" s="571"/>
      <c r="E7" s="574"/>
      <c r="F7" s="88">
        <f>SUM('2.1.'!H25:'2.1.'!H28)</f>
        <v>193746255.89968795</v>
      </c>
      <c r="G7" s="48">
        <f>SUM('2.1.'!I25:'2.1.'!I28)</f>
        <v>1164408.7994585689</v>
      </c>
      <c r="H7" s="48"/>
      <c r="I7" s="48">
        <f>SUM('2.1.'!U25:'2.1.'!U28)</f>
        <v>5101605.1565031381</v>
      </c>
      <c r="J7" s="48">
        <f>SUM('2.1.'!R25:'2.1.'!R28)</f>
        <v>190481.24612410361</v>
      </c>
      <c r="K7" s="48">
        <f>SUM('2.1.'!S25:'2.1.'!S28)++SUM('2.1.'!T25:'2.1.'!T28)</f>
        <v>6126589.6601880714</v>
      </c>
      <c r="L7" s="48"/>
      <c r="M7" s="53">
        <f>SUM('2.1.'!Q25:'2.1.'!Q28)</f>
        <v>228242.42870939866</v>
      </c>
      <c r="N7" s="88">
        <f>SUM('2.1.'!C25:'2.1.'!C28)</f>
        <v>19219233.25265136</v>
      </c>
      <c r="O7" s="48">
        <f>SUM('2.1.'!D25:'2.1.'!D28)</f>
        <v>57793.134151348946</v>
      </c>
      <c r="P7" s="48">
        <f>SUM('2.1.'!E25:'2.1.'!E28)</f>
        <v>94855.417807363352</v>
      </c>
      <c r="Q7" s="48"/>
      <c r="R7" s="48"/>
      <c r="S7" s="48"/>
      <c r="T7" s="89">
        <f>SUM('2.1.'!F25:'2.1.'!F28)</f>
        <v>43135.225583194049</v>
      </c>
      <c r="U7" s="48">
        <f>SUM('2.1.'!G25:'2.1.'!G28)</f>
        <v>1829143.6348198049</v>
      </c>
      <c r="V7" s="48"/>
      <c r="W7" s="48"/>
      <c r="X7" s="88">
        <f>SUM('2.1.'!M25:'2.1.'!M28)</f>
        <v>497170.34121584555</v>
      </c>
      <c r="Y7" s="48">
        <f>SUM('2.1.'!N25:'2.1.'!N28)</f>
        <v>5530367.9234995712</v>
      </c>
      <c r="Z7" s="48">
        <f>SUM('2.1.'!O25:'2.1.'!O28)</f>
        <v>76342.816647753876</v>
      </c>
      <c r="AA7" s="48">
        <f>SUM('2.1.'!K25:'2.1.'!K28)</f>
        <v>207203.03473527677</v>
      </c>
      <c r="AB7" s="48">
        <f>SUM('2.1.'!L25:'2.1.'!L28)</f>
        <v>47306.71326107101</v>
      </c>
      <c r="AC7" s="89"/>
      <c r="AD7" s="48"/>
      <c r="AE7" s="48"/>
      <c r="AF7" s="48"/>
      <c r="AG7" s="48"/>
      <c r="AH7" s="48"/>
      <c r="AI7" s="48"/>
      <c r="AJ7" s="48"/>
      <c r="AK7" s="48"/>
      <c r="AL7" s="48"/>
      <c r="AM7" s="48"/>
      <c r="AN7" s="148"/>
      <c r="AO7" s="48"/>
      <c r="AP7" s="48"/>
      <c r="AQ7" s="148"/>
      <c r="AR7" s="48"/>
      <c r="AS7" s="148"/>
      <c r="AT7" s="148"/>
      <c r="AU7" s="148"/>
      <c r="AV7" s="148"/>
      <c r="AW7" s="148"/>
      <c r="AX7" s="148"/>
      <c r="AY7" s="148"/>
      <c r="AZ7" s="148"/>
      <c r="BA7" s="148"/>
      <c r="BB7" s="148"/>
      <c r="BC7" s="148"/>
      <c r="BD7" s="148"/>
      <c r="BE7" s="149"/>
      <c r="BF7" s="14"/>
      <c r="BG7" s="150">
        <f t="shared" si="0"/>
        <v>234160134.68504381</v>
      </c>
    </row>
    <row r="8" spans="1:59" s="5" customFormat="1" ht="14.4" customHeight="1" x14ac:dyDescent="0.3">
      <c r="A8" s="599"/>
      <c r="B8" s="16" t="s">
        <v>472</v>
      </c>
      <c r="C8" s="571"/>
      <c r="D8" s="571"/>
      <c r="E8" s="574"/>
      <c r="F8" s="88">
        <f>SUM('2.1.'!H29:'2.1.'!H32)</f>
        <v>127744185.8675575</v>
      </c>
      <c r="G8" s="48">
        <f>SUM('2.1.'!I29:'2.1.'!I32)</f>
        <v>5156881.4349557422</v>
      </c>
      <c r="H8" s="48"/>
      <c r="I8" s="48">
        <f>SUM('2.1.'!U29:'2.1.'!U32)</f>
        <v>3430178.1969818063</v>
      </c>
      <c r="J8" s="48">
        <f>SUM('2.1.'!R29:'2.1.'!R32)</f>
        <v>3905180.4089640682</v>
      </c>
      <c r="K8" s="48">
        <f>SUM('2.1.'!S29:'2.1.'!S32)++SUM('2.1.'!T29:'2.1.'!T32)</f>
        <v>23318665.101387568</v>
      </c>
      <c r="L8" s="48"/>
      <c r="M8" s="53">
        <f>SUM('2.1.'!Q29:'2.1.'!Q32)</f>
        <v>149839.22494286043</v>
      </c>
      <c r="N8" s="88">
        <f>SUM('2.1.'!C29:'2.1.'!C32)</f>
        <v>8893274.2783295214</v>
      </c>
      <c r="O8" s="48">
        <f>SUM('2.1.'!D29:'2.1.'!D32)</f>
        <v>35336.786547288386</v>
      </c>
      <c r="P8" s="48">
        <f>SUM('2.1.'!E29:'2.1.'!E32)</f>
        <v>582441.48006328347</v>
      </c>
      <c r="Q8" s="48"/>
      <c r="R8" s="48"/>
      <c r="S8" s="48"/>
      <c r="T8" s="89">
        <f>SUM('2.1.'!F29:'2.1.'!F32)</f>
        <v>81795.031596312954</v>
      </c>
      <c r="U8" s="48">
        <f>SUM('2.1.'!G29:'2.1.'!G32)</f>
        <v>1116146.7810048123</v>
      </c>
      <c r="V8" s="48"/>
      <c r="W8" s="48"/>
      <c r="X8" s="88">
        <f>SUM('2.1.'!M29:'2.1.'!M32)</f>
        <v>179253.90077771782</v>
      </c>
      <c r="Y8" s="48">
        <f>SUM('2.1.'!N29:'2.1.'!N32)</f>
        <v>1594140.4906317447</v>
      </c>
      <c r="Z8" s="48">
        <f>SUM('2.1.'!O29:'2.1.'!O32)</f>
        <v>224232.69729373051</v>
      </c>
      <c r="AA8" s="48">
        <f>SUM('2.1.'!K29:'2.1.'!K32)</f>
        <v>797868.9483974562</v>
      </c>
      <c r="AB8" s="48">
        <f>SUM('2.1.'!L29:'2.1.'!L32)</f>
        <v>551570.59081732947</v>
      </c>
      <c r="AC8" s="89"/>
      <c r="AD8" s="48"/>
      <c r="AE8" s="48"/>
      <c r="AF8" s="48"/>
      <c r="AG8" s="48"/>
      <c r="AH8" s="48"/>
      <c r="AI8" s="48"/>
      <c r="AJ8" s="48"/>
      <c r="AK8" s="48"/>
      <c r="AL8" s="48"/>
      <c r="AM8" s="48"/>
      <c r="AN8" s="148"/>
      <c r="AO8" s="48"/>
      <c r="AP8" s="48"/>
      <c r="AQ8" s="148"/>
      <c r="AR8" s="48"/>
      <c r="AS8" s="148"/>
      <c r="AT8" s="148"/>
      <c r="AU8" s="148"/>
      <c r="AV8" s="148"/>
      <c r="AW8" s="148"/>
      <c r="AX8" s="148"/>
      <c r="AY8" s="148"/>
      <c r="AZ8" s="148"/>
      <c r="BA8" s="148"/>
      <c r="BB8" s="148"/>
      <c r="BC8" s="148"/>
      <c r="BD8" s="148"/>
      <c r="BE8" s="149"/>
      <c r="BF8" s="14"/>
      <c r="BG8" s="150">
        <f t="shared" si="0"/>
        <v>177760991.22024879</v>
      </c>
    </row>
    <row r="9" spans="1:59" s="5" customFormat="1" ht="14.7" customHeight="1" thickBot="1" x14ac:dyDescent="0.35">
      <c r="A9" s="600"/>
      <c r="B9" s="16" t="s">
        <v>473</v>
      </c>
      <c r="C9" s="572"/>
      <c r="D9" s="572"/>
      <c r="E9" s="575"/>
      <c r="F9" s="88">
        <f>SUM('2.1.'!H33:'2.1.'!H36)</f>
        <v>106308176.65852404</v>
      </c>
      <c r="G9" s="48">
        <f>SUM('2.1.'!I33:'2.1.'!I36)</f>
        <v>6111549.6582899597</v>
      </c>
      <c r="H9" s="48"/>
      <c r="I9" s="48">
        <f>SUM('2.1.'!U33:'2.1.'!U36)</f>
        <v>1070155.4880589235</v>
      </c>
      <c r="J9" s="48">
        <f>SUM('2.1.'!R33:'2.1.'!R36)</f>
        <v>1461481.9626289629</v>
      </c>
      <c r="K9" s="48">
        <f>SUM('2.1.'!S33:'2.1.'!S36)+SUM('2.1.'!T33:'2.1.'!T36)</f>
        <v>21055495.527761582</v>
      </c>
      <c r="L9" s="48"/>
      <c r="M9" s="53">
        <f>SUM('2.1.'!Q33:'2.1.'!Q36)</f>
        <v>47262.149351874243</v>
      </c>
      <c r="N9" s="88">
        <f>SUM('2.1.'!C33:'2.1.'!C36)</f>
        <v>6028994.8121035779</v>
      </c>
      <c r="O9" s="48">
        <f>SUM('2.1.'!D33:'2.1.'!D36)</f>
        <v>25234.033557506853</v>
      </c>
      <c r="P9" s="48">
        <f>SUM('2.1.'!E33:'2.1.'!E36)</f>
        <v>361102.6046689389</v>
      </c>
      <c r="Q9" s="48"/>
      <c r="R9" s="48"/>
      <c r="S9" s="48"/>
      <c r="T9" s="89">
        <f>SUM('2.1.'!F33:'2.1.'!F36)</f>
        <v>60208.997222331556</v>
      </c>
      <c r="U9" s="48">
        <f>SUM('2.1.'!G33:'2.1.'!G36)</f>
        <v>1142153.6344648995</v>
      </c>
      <c r="V9" s="48"/>
      <c r="W9" s="48"/>
      <c r="X9" s="88">
        <f>SUM('2.1.'!M33:'2.1.'!M36)</f>
        <v>122868.05151128543</v>
      </c>
      <c r="Y9" s="48">
        <f>SUM('2.1.'!N33:'2.1.'!N36)</f>
        <v>1051813.1596048749</v>
      </c>
      <c r="Z9" s="48">
        <f>SUM('2.1.'!O33:'2.1.'!O36)</f>
        <v>242855.55285672276</v>
      </c>
      <c r="AA9" s="48">
        <f>SUM('2.1.'!K33:'2.1.'!K36)</f>
        <v>288515.84787376679</v>
      </c>
      <c r="AB9" s="48">
        <f>SUM('2.1.'!L33:'2.1.'!L36)</f>
        <v>585162.465578384</v>
      </c>
      <c r="AC9" s="89"/>
      <c r="AD9" s="48"/>
      <c r="AE9" s="48"/>
      <c r="AF9" s="48"/>
      <c r="AG9" s="48"/>
      <c r="AH9" s="48"/>
      <c r="AI9" s="48"/>
      <c r="AJ9" s="48"/>
      <c r="AK9" s="48"/>
      <c r="AL9" s="48"/>
      <c r="AM9" s="48"/>
      <c r="AN9" s="148"/>
      <c r="AO9" s="48"/>
      <c r="AP9" s="48"/>
      <c r="AQ9" s="148"/>
      <c r="AR9" s="48"/>
      <c r="AS9" s="148"/>
      <c r="AT9" s="148"/>
      <c r="AU9" s="148"/>
      <c r="AV9" s="148"/>
      <c r="AW9" s="148"/>
      <c r="AX9" s="148"/>
      <c r="AY9" s="148"/>
      <c r="AZ9" s="148"/>
      <c r="BA9" s="148"/>
      <c r="BB9" s="148"/>
      <c r="BC9" s="148"/>
      <c r="BD9" s="148"/>
      <c r="BE9" s="149"/>
      <c r="BF9" s="14"/>
      <c r="BG9" s="150">
        <f t="shared" si="0"/>
        <v>145963030.60405761</v>
      </c>
    </row>
    <row r="10" spans="1:59" s="236" customFormat="1" ht="14.7" customHeight="1" thickBot="1" x14ac:dyDescent="0.35">
      <c r="A10" s="229"/>
      <c r="B10" s="224"/>
      <c r="C10" s="230"/>
      <c r="D10" s="230"/>
      <c r="E10" s="231"/>
      <c r="F10" s="232"/>
      <c r="G10" s="232"/>
      <c r="H10" s="232"/>
      <c r="I10" s="232"/>
      <c r="J10" s="232"/>
      <c r="K10" s="232"/>
      <c r="L10" s="232"/>
      <c r="M10" s="233"/>
      <c r="N10" s="232"/>
      <c r="O10" s="232"/>
      <c r="P10" s="232"/>
      <c r="Q10" s="232"/>
      <c r="R10" s="232"/>
      <c r="S10" s="232"/>
      <c r="T10" s="232"/>
      <c r="U10" s="232"/>
      <c r="V10" s="232"/>
      <c r="W10" s="232"/>
      <c r="X10" s="232"/>
      <c r="Y10" s="232"/>
      <c r="Z10" s="232"/>
      <c r="AA10" s="232"/>
      <c r="AB10" s="232"/>
      <c r="AC10" s="232"/>
      <c r="AD10" s="232"/>
      <c r="AE10" s="232"/>
      <c r="AF10" s="232"/>
      <c r="AG10" s="232"/>
      <c r="AH10" s="232"/>
      <c r="AI10" s="232"/>
      <c r="AJ10" s="232"/>
      <c r="AK10" s="232"/>
      <c r="AL10" s="232"/>
      <c r="AM10" s="232"/>
      <c r="AN10" s="234"/>
      <c r="AO10" s="232"/>
      <c r="AP10" s="232"/>
      <c r="AQ10" s="234"/>
      <c r="AR10" s="232"/>
      <c r="AS10" s="234"/>
      <c r="AT10" s="234"/>
      <c r="AU10" s="234"/>
      <c r="AV10" s="234"/>
      <c r="AW10" s="234"/>
      <c r="AX10" s="234"/>
      <c r="AY10" s="234"/>
      <c r="AZ10" s="234"/>
      <c r="BA10" s="234"/>
      <c r="BB10" s="234"/>
      <c r="BC10" s="234"/>
      <c r="BD10" s="234"/>
      <c r="BE10" s="235"/>
      <c r="BF10" s="224"/>
      <c r="BG10" s="232"/>
    </row>
    <row r="11" spans="1:59" s="228" customFormat="1" ht="41.4" customHeight="1" thickBot="1" x14ac:dyDescent="0.35">
      <c r="A11" s="225" t="s">
        <v>547</v>
      </c>
      <c r="B11" s="226" t="s">
        <v>548</v>
      </c>
      <c r="C11" s="227" t="s">
        <v>549</v>
      </c>
      <c r="D11" s="227" t="s">
        <v>81</v>
      </c>
      <c r="E11" s="227" t="s">
        <v>7</v>
      </c>
      <c r="F11" s="227" t="s">
        <v>545</v>
      </c>
      <c r="G11" s="227" t="s">
        <v>448</v>
      </c>
      <c r="H11" s="227" t="s">
        <v>82</v>
      </c>
      <c r="I11" s="227" t="s">
        <v>550</v>
      </c>
      <c r="J11" s="227" t="s">
        <v>443</v>
      </c>
      <c r="K11" s="227" t="s">
        <v>83</v>
      </c>
      <c r="L11" s="227" t="s">
        <v>453</v>
      </c>
      <c r="M11" s="227" t="s">
        <v>84</v>
      </c>
      <c r="N11" s="227" t="s">
        <v>551</v>
      </c>
      <c r="O11" s="227" t="s">
        <v>85</v>
      </c>
      <c r="Q11" s="297" t="s">
        <v>86</v>
      </c>
      <c r="R11" s="297" t="s">
        <v>315</v>
      </c>
      <c r="S11" s="297" t="s">
        <v>552</v>
      </c>
      <c r="T11" s="297" t="s">
        <v>441</v>
      </c>
      <c r="U11" s="297" t="s">
        <v>553</v>
      </c>
      <c r="W11" s="239" t="s">
        <v>438</v>
      </c>
    </row>
    <row r="12" spans="1:59" s="231" customFormat="1" ht="13.5" customHeight="1" thickBot="1" x14ac:dyDescent="0.35">
      <c r="A12" s="237"/>
      <c r="B12" s="238" t="s">
        <v>99</v>
      </c>
      <c r="C12" s="231" t="s">
        <v>38</v>
      </c>
      <c r="D12" s="231" t="s">
        <v>38</v>
      </c>
      <c r="E12" s="231" t="s">
        <v>38</v>
      </c>
      <c r="F12" s="231" t="s">
        <v>38</v>
      </c>
      <c r="G12" s="231" t="s">
        <v>38</v>
      </c>
      <c r="H12" s="231" t="s">
        <v>38</v>
      </c>
      <c r="I12" s="231" t="s">
        <v>38</v>
      </c>
      <c r="J12" s="231" t="s">
        <v>38</v>
      </c>
      <c r="K12" s="231" t="s">
        <v>38</v>
      </c>
      <c r="L12" s="231" t="s">
        <v>38</v>
      </c>
      <c r="M12" s="231" t="s">
        <v>38</v>
      </c>
      <c r="N12" s="231" t="s">
        <v>38</v>
      </c>
      <c r="O12" s="231" t="s">
        <v>38</v>
      </c>
      <c r="Q12" s="231" t="s">
        <v>38</v>
      </c>
      <c r="R12" s="231" t="s">
        <v>38</v>
      </c>
      <c r="S12" s="231" t="s">
        <v>38</v>
      </c>
      <c r="T12" s="231" t="s">
        <v>38</v>
      </c>
      <c r="U12" s="231" t="s">
        <v>38</v>
      </c>
      <c r="W12" s="240"/>
    </row>
    <row r="13" spans="1:59" s="46" customFormat="1" ht="11.4" customHeight="1" x14ac:dyDescent="0.25">
      <c r="A13" s="77" t="s">
        <v>467</v>
      </c>
      <c r="B13" s="78" t="s">
        <v>87</v>
      </c>
      <c r="C13" s="47">
        <v>5968222.1011064705</v>
      </c>
      <c r="D13" s="47">
        <v>81740.930729537591</v>
      </c>
      <c r="E13" s="47">
        <v>13926.164149868</v>
      </c>
      <c r="F13" s="47">
        <v>244015.2107751921</v>
      </c>
      <c r="G13" s="47">
        <v>12446887.200668659</v>
      </c>
      <c r="H13" s="47">
        <v>127869509.6644053</v>
      </c>
      <c r="I13" s="47">
        <v>28312434.020747669</v>
      </c>
      <c r="J13" s="48">
        <f>SUM(Q13:U13)</f>
        <v>33428766.499106206</v>
      </c>
      <c r="K13" s="47">
        <v>8348.5292702802635</v>
      </c>
      <c r="L13" s="47">
        <v>1713470.9878785319</v>
      </c>
      <c r="M13" s="47">
        <v>118549.29679163281</v>
      </c>
      <c r="N13" s="47">
        <v>1292579.2264586689</v>
      </c>
      <c r="O13" s="47">
        <v>146703.5289729347</v>
      </c>
      <c r="Q13" s="294">
        <v>0</v>
      </c>
      <c r="R13" s="294">
        <v>894442.95175520366</v>
      </c>
      <c r="S13" s="294">
        <v>29383072.152392507</v>
      </c>
      <c r="T13" s="294">
        <v>1041455.0250086435</v>
      </c>
      <c r="U13" s="294">
        <v>2109796.3699498498</v>
      </c>
      <c r="W13" s="573" t="s">
        <v>39</v>
      </c>
    </row>
    <row r="14" spans="1:59" ht="14.4" customHeight="1" x14ac:dyDescent="0.25">
      <c r="B14" s="16" t="s">
        <v>88</v>
      </c>
      <c r="C14" s="48">
        <v>3792086.0963077303</v>
      </c>
      <c r="D14" s="48">
        <v>56730.660564671867</v>
      </c>
      <c r="E14" s="48">
        <v>15876.93257202329</v>
      </c>
      <c r="F14" s="48">
        <v>170796.74323465559</v>
      </c>
      <c r="G14" s="48">
        <v>4844764.6234758822</v>
      </c>
      <c r="H14" s="48">
        <v>92555388.275657684</v>
      </c>
      <c r="I14" s="48">
        <v>19649679.418322269</v>
      </c>
      <c r="J14" s="48">
        <f t="shared" ref="J14:J40" si="1">SUM(Q14:U14)</f>
        <v>25085749.993503686</v>
      </c>
      <c r="K14" s="48">
        <v>183603.94305668131</v>
      </c>
      <c r="L14" s="48">
        <v>1189200.3202457291</v>
      </c>
      <c r="M14" s="48">
        <v>100287.5637984488</v>
      </c>
      <c r="N14" s="48">
        <v>928101.51455330243</v>
      </c>
      <c r="O14" s="48">
        <v>123832.2194997067</v>
      </c>
      <c r="Q14" s="295">
        <v>0</v>
      </c>
      <c r="R14" s="295">
        <v>2505952.462533982</v>
      </c>
      <c r="S14" s="295">
        <v>20392734.432399698</v>
      </c>
      <c r="T14" s="295">
        <v>722801.06171812071</v>
      </c>
      <c r="U14" s="295">
        <v>1464262.0368518864</v>
      </c>
      <c r="W14" s="574"/>
    </row>
    <row r="15" spans="1:59" ht="14.4" customHeight="1" x14ac:dyDescent="0.25">
      <c r="B15" s="16" t="s">
        <v>89</v>
      </c>
      <c r="C15" s="48">
        <v>6174535.92779285</v>
      </c>
      <c r="D15" s="48">
        <v>101513.0052479803</v>
      </c>
      <c r="E15" s="48">
        <v>25643.55591140264</v>
      </c>
      <c r="F15" s="48">
        <v>305621.16710332432</v>
      </c>
      <c r="G15" s="48">
        <v>3084344.7998839659</v>
      </c>
      <c r="H15" s="48">
        <v>166571546.8143957</v>
      </c>
      <c r="I15" s="48">
        <v>14064338.331913522</v>
      </c>
      <c r="J15" s="48">
        <f t="shared" si="1"/>
        <v>87992797.419970974</v>
      </c>
      <c r="K15" s="48">
        <v>646708.4315548928</v>
      </c>
      <c r="L15" s="48">
        <v>325496.36365847744</v>
      </c>
      <c r="M15" s="48">
        <v>206784.78609684869</v>
      </c>
      <c r="N15" s="48">
        <v>1725099.240679112</v>
      </c>
      <c r="O15" s="48">
        <v>220402.87955134778</v>
      </c>
      <c r="Q15" s="295">
        <v>13314.735864029928</v>
      </c>
      <c r="R15" s="295">
        <v>4484114.2857909305</v>
      </c>
      <c r="S15" s="295">
        <v>79469311.611685976</v>
      </c>
      <c r="T15" s="295">
        <v>1405927.9470950952</v>
      </c>
      <c r="U15" s="295">
        <v>2620128.8395349337</v>
      </c>
      <c r="W15" s="574"/>
    </row>
    <row r="16" spans="1:59" ht="14.4" customHeight="1" x14ac:dyDescent="0.25">
      <c r="B16" s="16" t="s">
        <v>90</v>
      </c>
      <c r="C16" s="48">
        <v>2892980.541449829</v>
      </c>
      <c r="D16" s="48">
        <v>47575.593824093579</v>
      </c>
      <c r="E16" s="48">
        <v>12018.23743929205</v>
      </c>
      <c r="F16" s="48">
        <v>143233.94795212679</v>
      </c>
      <c r="G16" s="48">
        <v>2101991.996654572</v>
      </c>
      <c r="H16" s="48">
        <v>78066255.988912791</v>
      </c>
      <c r="I16" s="48">
        <v>6591463.2932912754</v>
      </c>
      <c r="J16" s="48">
        <f t="shared" si="1"/>
        <v>41239145.459951647</v>
      </c>
      <c r="K16" s="48">
        <v>303089.61484404805</v>
      </c>
      <c r="L16" s="48">
        <v>152548.7571844226</v>
      </c>
      <c r="M16" s="48">
        <v>96912.794260334253</v>
      </c>
      <c r="N16" s="48">
        <v>864509.61435397179</v>
      </c>
      <c r="O16" s="48">
        <v>108229.32908860011</v>
      </c>
      <c r="Q16" s="295">
        <v>6240.1508436751119</v>
      </c>
      <c r="R16" s="295">
        <v>2101547.4756211056</v>
      </c>
      <c r="S16" s="295">
        <v>37244485.881212972</v>
      </c>
      <c r="T16" s="295">
        <v>658909.23821574927</v>
      </c>
      <c r="U16" s="295">
        <v>1227962.7140581373</v>
      </c>
      <c r="W16" s="574"/>
    </row>
    <row r="17" spans="1:23" ht="14.4" customHeight="1" x14ac:dyDescent="0.25">
      <c r="A17" s="76" t="s">
        <v>468</v>
      </c>
      <c r="B17" s="16" t="s">
        <v>87</v>
      </c>
      <c r="C17" s="48">
        <v>3191676.8752633682</v>
      </c>
      <c r="D17" s="48">
        <v>21895.639953250138</v>
      </c>
      <c r="E17" s="48">
        <v>23581.034364882711</v>
      </c>
      <c r="F17" s="48">
        <v>91553.096686647696</v>
      </c>
      <c r="G17" s="48">
        <v>4034627.784694138</v>
      </c>
      <c r="H17" s="48">
        <v>71283115.916696161</v>
      </c>
      <c r="I17" s="48">
        <v>10145438.37848248</v>
      </c>
      <c r="J17" s="48">
        <f t="shared" si="1"/>
        <v>18511534.212419659</v>
      </c>
      <c r="K17" s="48">
        <v>14354.469289834069</v>
      </c>
      <c r="L17" s="48">
        <v>172088.0791553655</v>
      </c>
      <c r="M17" s="48">
        <v>50972.603111941586</v>
      </c>
      <c r="N17" s="48">
        <v>823466.9005055523</v>
      </c>
      <c r="O17" s="48">
        <v>85598.59835845702</v>
      </c>
      <c r="Q17" s="295">
        <v>0</v>
      </c>
      <c r="R17" s="295">
        <v>479273.75079322018</v>
      </c>
      <c r="S17" s="295">
        <v>16405629.82558232</v>
      </c>
      <c r="T17" s="295">
        <v>27330.352141836771</v>
      </c>
      <c r="U17" s="295">
        <v>1599300.2839022814</v>
      </c>
      <c r="W17" s="574"/>
    </row>
    <row r="18" spans="1:23" ht="14.4" customHeight="1" x14ac:dyDescent="0.25">
      <c r="B18" s="16" t="s">
        <v>88</v>
      </c>
      <c r="C18" s="48">
        <v>4275552.2200831957</v>
      </c>
      <c r="D18" s="48">
        <v>28256.450994202671</v>
      </c>
      <c r="E18" s="48">
        <v>38219.032267245821</v>
      </c>
      <c r="F18" s="48">
        <v>122215.79262608179</v>
      </c>
      <c r="G18" s="48">
        <v>3284808.6993065793</v>
      </c>
      <c r="H18" s="48">
        <v>98529731.897481412</v>
      </c>
      <c r="I18" s="48">
        <v>13092747.36743832</v>
      </c>
      <c r="J18" s="48">
        <f t="shared" si="1"/>
        <v>24615086.830572363</v>
      </c>
      <c r="K18" s="48">
        <v>186007.00307542153</v>
      </c>
      <c r="L18" s="48">
        <v>222080.66928951591</v>
      </c>
      <c r="M18" s="48">
        <v>92077.12315840229</v>
      </c>
      <c r="N18" s="48">
        <v>1083436.418633471</v>
      </c>
      <c r="O18" s="48">
        <v>157659.4651217545</v>
      </c>
      <c r="Q18" s="295">
        <v>0</v>
      </c>
      <c r="R18" s="295">
        <v>1344349.5908045536</v>
      </c>
      <c r="S18" s="295">
        <v>21171560.921962731</v>
      </c>
      <c r="T18" s="295">
        <v>35269.9787537144</v>
      </c>
      <c r="U18" s="295">
        <v>2063906.3390513614</v>
      </c>
      <c r="W18" s="574"/>
    </row>
    <row r="19" spans="1:23" ht="14.4" customHeight="1" x14ac:dyDescent="0.25">
      <c r="B19" s="16" t="s">
        <v>89</v>
      </c>
      <c r="C19" s="48">
        <v>11422382.26138459</v>
      </c>
      <c r="D19" s="48">
        <v>73230.981395699258</v>
      </c>
      <c r="E19" s="48">
        <v>78771.264783404753</v>
      </c>
      <c r="F19" s="48">
        <v>316741.20850836829</v>
      </c>
      <c r="G19" s="48">
        <v>4230182.0410315096</v>
      </c>
      <c r="H19" s="48">
        <v>271778601.85292751</v>
      </c>
      <c r="I19" s="48">
        <v>13572755.31930775</v>
      </c>
      <c r="J19" s="48">
        <f t="shared" si="1"/>
        <v>98118194.640798181</v>
      </c>
      <c r="K19" s="48">
        <v>916122.88918694924</v>
      </c>
      <c r="L19" s="48">
        <v>575556.54687213432</v>
      </c>
      <c r="M19" s="48">
        <v>389894.03817587328</v>
      </c>
      <c r="N19" s="48">
        <v>2884136.9084022697</v>
      </c>
      <c r="O19" s="48">
        <v>407714.75463844708</v>
      </c>
      <c r="Q19" s="295">
        <v>0</v>
      </c>
      <c r="R19" s="295">
        <v>3484090.7619192009</v>
      </c>
      <c r="S19" s="295">
        <v>89030256.879044592</v>
      </c>
      <c r="T19" s="295">
        <v>254913.16704182632</v>
      </c>
      <c r="U19" s="295">
        <v>5348933.8327925727</v>
      </c>
      <c r="W19" s="574"/>
    </row>
    <row r="20" spans="1:23" ht="14.4" customHeight="1" x14ac:dyDescent="0.25">
      <c r="B20" s="16" t="s">
        <v>90</v>
      </c>
      <c r="C20" s="48">
        <v>3515437.4734657467</v>
      </c>
      <c r="D20" s="48">
        <v>22544.223684852059</v>
      </c>
      <c r="E20" s="48">
        <v>24249.804923686021</v>
      </c>
      <c r="F20" s="48">
        <v>97509.066773784609</v>
      </c>
      <c r="G20" s="48">
        <v>2105977.6049035201</v>
      </c>
      <c r="H20" s="48">
        <v>83667287.753821909</v>
      </c>
      <c r="I20" s="48">
        <v>4178384.9691274152</v>
      </c>
      <c r="J20" s="48">
        <f t="shared" si="1"/>
        <v>30205774.733286787</v>
      </c>
      <c r="K20" s="48">
        <v>282029.25787713774</v>
      </c>
      <c r="L20" s="48">
        <v>177185.60216821628</v>
      </c>
      <c r="M20" s="48">
        <v>120029.2313786108</v>
      </c>
      <c r="N20" s="48">
        <v>930346.69551398931</v>
      </c>
      <c r="O20" s="48">
        <v>131700.49770465211</v>
      </c>
      <c r="Q20" s="295">
        <v>0</v>
      </c>
      <c r="R20" s="295">
        <v>1072580.4840797342</v>
      </c>
      <c r="S20" s="295">
        <v>27408044.895038038</v>
      </c>
      <c r="T20" s="295">
        <v>78475.248432796419</v>
      </c>
      <c r="U20" s="295">
        <v>1646674.10573622</v>
      </c>
      <c r="W20" s="574"/>
    </row>
    <row r="21" spans="1:23" ht="14.4" customHeight="1" x14ac:dyDescent="0.25">
      <c r="A21" s="76" t="s">
        <v>469</v>
      </c>
      <c r="B21" s="16" t="s">
        <v>87</v>
      </c>
      <c r="C21" s="48">
        <v>4206599.0306862462</v>
      </c>
      <c r="D21" s="48">
        <v>19253.406511261481</v>
      </c>
      <c r="E21" s="48">
        <v>12544.707847330061</v>
      </c>
      <c r="F21" s="48">
        <v>45045.927952950435</v>
      </c>
      <c r="G21" s="48">
        <v>3046532.5674400986</v>
      </c>
      <c r="H21" s="48">
        <v>79213925.446280569</v>
      </c>
      <c r="I21" s="48">
        <v>7836583.7636810169</v>
      </c>
      <c r="J21" s="48">
        <f t="shared" si="1"/>
        <v>15655316.887756217</v>
      </c>
      <c r="K21" s="48">
        <v>56760.418263850072</v>
      </c>
      <c r="L21" s="48">
        <v>379275.8918246493</v>
      </c>
      <c r="M21" s="48">
        <v>67249.576185596437</v>
      </c>
      <c r="N21" s="48">
        <v>1293829.5545445019</v>
      </c>
      <c r="O21" s="48">
        <v>131543.76741575659</v>
      </c>
      <c r="Q21" s="295">
        <v>0</v>
      </c>
      <c r="R21" s="295">
        <v>714292.55587359762</v>
      </c>
      <c r="S21" s="295">
        <v>13819005.340832872</v>
      </c>
      <c r="T21" s="295">
        <v>70348.416064267731</v>
      </c>
      <c r="U21" s="295">
        <v>1051670.5749854809</v>
      </c>
      <c r="W21" s="574"/>
    </row>
    <row r="22" spans="1:23" ht="14.4" customHeight="1" x14ac:dyDescent="0.25">
      <c r="B22" s="16" t="s">
        <v>88</v>
      </c>
      <c r="C22" s="48">
        <v>3749776.067591243</v>
      </c>
      <c r="D22" s="48">
        <v>17182.229468733069</v>
      </c>
      <c r="E22" s="48">
        <v>11397.67268019061</v>
      </c>
      <c r="F22" s="48">
        <v>40200.131351659722</v>
      </c>
      <c r="G22" s="48">
        <v>1629318.4889619411</v>
      </c>
      <c r="H22" s="48">
        <v>76311711.843616292</v>
      </c>
      <c r="I22" s="48">
        <v>6993566.5878013391</v>
      </c>
      <c r="J22" s="48">
        <f t="shared" si="1"/>
        <v>13963430.016886922</v>
      </c>
      <c r="K22" s="48">
        <v>244814.9865846746</v>
      </c>
      <c r="L22" s="48">
        <v>338475.44856427191</v>
      </c>
      <c r="M22" s="48">
        <v>78718.55470876467</v>
      </c>
      <c r="N22" s="48">
        <v>1183935.624990891</v>
      </c>
      <c r="O22" s="48">
        <v>272608.43491274951</v>
      </c>
      <c r="Q22" s="295">
        <v>0</v>
      </c>
      <c r="R22" s="295">
        <v>637428.59212231799</v>
      </c>
      <c r="S22" s="295">
        <v>12331267.034974637</v>
      </c>
      <c r="T22" s="295">
        <v>56321.434364007699</v>
      </c>
      <c r="U22" s="295">
        <v>938412.95542595966</v>
      </c>
      <c r="W22" s="574"/>
    </row>
    <row r="23" spans="1:23" ht="14.4" customHeight="1" x14ac:dyDescent="0.25">
      <c r="B23" s="16" t="s">
        <v>89</v>
      </c>
      <c r="C23" s="48">
        <v>7913953.7221215488</v>
      </c>
      <c r="D23" s="48">
        <v>29314.643885129299</v>
      </c>
      <c r="E23" s="48">
        <v>704507.06552116014</v>
      </c>
      <c r="F23" s="48">
        <v>69108.073687523836</v>
      </c>
      <c r="G23" s="48">
        <v>998644.16523083649</v>
      </c>
      <c r="H23" s="48">
        <v>161126333.6442703</v>
      </c>
      <c r="I23" s="48">
        <v>2264944.7856795103</v>
      </c>
      <c r="J23" s="48">
        <f t="shared" si="1"/>
        <v>17990593.446514033</v>
      </c>
      <c r="K23" s="48">
        <v>748937.23446751153</v>
      </c>
      <c r="L23" s="48">
        <v>560835.42948783468</v>
      </c>
      <c r="M23" s="48">
        <v>209839.1244683743</v>
      </c>
      <c r="N23" s="48">
        <v>1414732.0979797221</v>
      </c>
      <c r="O23" s="48">
        <v>486428.84451934928</v>
      </c>
      <c r="Q23" s="295">
        <v>135907.72588797114</v>
      </c>
      <c r="R23" s="295">
        <v>3077808.2968040016</v>
      </c>
      <c r="S23" s="295">
        <v>12202494.678954011</v>
      </c>
      <c r="T23" s="295">
        <v>122630.93702510305</v>
      </c>
      <c r="U23" s="295">
        <v>2451751.8078429452</v>
      </c>
      <c r="W23" s="574"/>
    </row>
    <row r="24" spans="1:23" ht="14.4" customHeight="1" x14ac:dyDescent="0.25">
      <c r="B24" s="16" t="s">
        <v>90</v>
      </c>
      <c r="C24" s="48">
        <v>5626348.3952637836</v>
      </c>
      <c r="D24" s="48">
        <v>20846.232695901723</v>
      </c>
      <c r="E24" s="48">
        <v>500989.13980705146</v>
      </c>
      <c r="F24" s="48">
        <v>49144.140754391083</v>
      </c>
      <c r="G24" s="48">
        <v>710155.94562167092</v>
      </c>
      <c r="H24" s="48">
        <v>114580175.6196616</v>
      </c>
      <c r="I24" s="48">
        <v>1610647.7783138221</v>
      </c>
      <c r="J24" s="48">
        <f t="shared" si="1"/>
        <v>12793472.73645865</v>
      </c>
      <c r="K24" s="48">
        <v>532584.32630166574</v>
      </c>
      <c r="L24" s="48">
        <v>398821.35061992507</v>
      </c>
      <c r="M24" s="48">
        <v>149220.82064217172</v>
      </c>
      <c r="N24" s="48">
        <v>571525.31838811375</v>
      </c>
      <c r="O24" s="48">
        <v>340291.34916337871</v>
      </c>
      <c r="Q24" s="295">
        <v>96646.716573919461</v>
      </c>
      <c r="R24" s="295">
        <v>2188691.3653111281</v>
      </c>
      <c r="S24" s="295">
        <v>8677439.3216155507</v>
      </c>
      <c r="T24" s="295">
        <v>87205.325057302587</v>
      </c>
      <c r="U24" s="295">
        <v>1743490.0079007498</v>
      </c>
      <c r="W24" s="574"/>
    </row>
    <row r="25" spans="1:23" ht="14.4" customHeight="1" x14ac:dyDescent="0.25">
      <c r="A25" s="15" t="s">
        <v>471</v>
      </c>
      <c r="B25" s="16" t="s">
        <v>87</v>
      </c>
      <c r="C25" s="48">
        <v>674823.84138484742</v>
      </c>
      <c r="D25" s="48">
        <v>1789.487595062064</v>
      </c>
      <c r="E25" s="48">
        <v>934.94513829137827</v>
      </c>
      <c r="F25" s="48">
        <v>1335.5116200172649</v>
      </c>
      <c r="G25" s="48">
        <v>567919.77625326591</v>
      </c>
      <c r="H25" s="48">
        <v>5983373.2478180472</v>
      </c>
      <c r="I25" s="48">
        <v>73403.032187231584</v>
      </c>
      <c r="J25" s="48">
        <f t="shared" si="1"/>
        <v>292210.14174758794</v>
      </c>
      <c r="K25" s="48">
        <v>583.92050124549144</v>
      </c>
      <c r="L25" s="48">
        <v>1464.7895080780729</v>
      </c>
      <c r="M25" s="48">
        <v>13787.50589716437</v>
      </c>
      <c r="N25" s="48">
        <v>90768.247514969407</v>
      </c>
      <c r="O25" s="48">
        <v>2904.861054122704</v>
      </c>
      <c r="Q25" s="295">
        <v>11838.281126969501</v>
      </c>
      <c r="R25" s="295">
        <v>5225.0121026451425</v>
      </c>
      <c r="S25" s="295">
        <v>115968.09067508824</v>
      </c>
      <c r="T25" s="295">
        <v>0</v>
      </c>
      <c r="U25" s="295">
        <v>159178.7578428851</v>
      </c>
      <c r="W25" s="574"/>
    </row>
    <row r="26" spans="1:23" ht="14.4" customHeight="1" x14ac:dyDescent="0.25">
      <c r="B26" s="16" t="s">
        <v>88</v>
      </c>
      <c r="C26" s="48">
        <v>2412843.5155824278</v>
      </c>
      <c r="D26" s="48">
        <v>6858.4502347733805</v>
      </c>
      <c r="E26" s="48">
        <v>3986.0853393387861</v>
      </c>
      <c r="F26" s="48">
        <v>5118.5266716153546</v>
      </c>
      <c r="G26" s="48">
        <v>1098358.515447814</v>
      </c>
      <c r="H26" s="48">
        <v>22919991.434965517</v>
      </c>
      <c r="I26" s="48">
        <v>281326.92549910402</v>
      </c>
      <c r="J26" s="48">
        <f t="shared" si="1"/>
        <v>1119934.399546592</v>
      </c>
      <c r="K26" s="48">
        <v>14522.951711795089</v>
      </c>
      <c r="L26" s="48">
        <v>5614.0014456055615</v>
      </c>
      <c r="M26" s="48">
        <v>59431.535995128579</v>
      </c>
      <c r="N26" s="48">
        <v>439115.52989818668</v>
      </c>
      <c r="O26" s="48">
        <v>10974.327009095261</v>
      </c>
      <c r="Q26" s="295">
        <v>45371.793690339218</v>
      </c>
      <c r="R26" s="295">
        <v>20025.55680238592</v>
      </c>
      <c r="S26" s="295">
        <v>444463.19768380088</v>
      </c>
      <c r="T26" s="295">
        <v>0</v>
      </c>
      <c r="U26" s="295">
        <v>610073.85137006594</v>
      </c>
      <c r="W26" s="574"/>
    </row>
    <row r="27" spans="1:23" ht="14.4" customHeight="1" x14ac:dyDescent="0.25">
      <c r="B27" s="16" t="s">
        <v>89</v>
      </c>
      <c r="C27" s="48">
        <v>9277077.5557835903</v>
      </c>
      <c r="D27" s="48">
        <v>28262.574024995909</v>
      </c>
      <c r="E27" s="48">
        <v>51719.750241114962</v>
      </c>
      <c r="F27" s="48">
        <v>21094.732522182891</v>
      </c>
      <c r="G27" s="48">
        <v>93661.113608866552</v>
      </c>
      <c r="H27" s="48">
        <v>94798368.187058464</v>
      </c>
      <c r="I27" s="48">
        <v>465632.65415308322</v>
      </c>
      <c r="J27" s="48">
        <f t="shared" si="1"/>
        <v>5885845.9839108437</v>
      </c>
      <c r="K27" s="48">
        <v>110471.2651402254</v>
      </c>
      <c r="L27" s="48">
        <v>23134.40004687944</v>
      </c>
      <c r="M27" s="48">
        <v>243807.2462207248</v>
      </c>
      <c r="N27" s="48">
        <v>2336095.9497279967</v>
      </c>
      <c r="O27" s="48">
        <v>36260.933608670799</v>
      </c>
      <c r="Q27" s="295">
        <v>98357.823843476406</v>
      </c>
      <c r="R27" s="295">
        <v>95021.377380478603</v>
      </c>
      <c r="S27" s="295">
        <v>3168946.7648023777</v>
      </c>
      <c r="T27" s="295">
        <v>32057.093021427248</v>
      </c>
      <c r="U27" s="295">
        <v>2491462.9248630838</v>
      </c>
      <c r="W27" s="574"/>
    </row>
    <row r="28" spans="1:23" ht="14.4" customHeight="1" x14ac:dyDescent="0.25">
      <c r="B28" s="16" t="s">
        <v>90</v>
      </c>
      <c r="C28" s="48">
        <v>6854488.3399004936</v>
      </c>
      <c r="D28" s="48">
        <v>20882.622296517588</v>
      </c>
      <c r="E28" s="48">
        <v>38214.637088618227</v>
      </c>
      <c r="F28" s="48">
        <v>15586.454769378539</v>
      </c>
      <c r="G28" s="48">
        <v>69204.229509858589</v>
      </c>
      <c r="H28" s="48">
        <v>70044523.029845908</v>
      </c>
      <c r="I28" s="48">
        <v>344046.18761915021</v>
      </c>
      <c r="J28" s="48">
        <f t="shared" si="1"/>
        <v>4348927.9663196886</v>
      </c>
      <c r="K28" s="48">
        <v>81624.897382010793</v>
      </c>
      <c r="L28" s="48">
        <v>17093.52226050794</v>
      </c>
      <c r="M28" s="48">
        <v>180144.05310282778</v>
      </c>
      <c r="N28" s="48">
        <v>2664388.1963584181</v>
      </c>
      <c r="O28" s="48">
        <v>26202.69497586511</v>
      </c>
      <c r="Q28" s="295">
        <v>72674.530048613553</v>
      </c>
      <c r="R28" s="295">
        <v>70209.299838593943</v>
      </c>
      <c r="S28" s="295">
        <v>2341468.2013256224</v>
      </c>
      <c r="T28" s="295">
        <v>23686.31267975572</v>
      </c>
      <c r="U28" s="295">
        <v>1840889.6224271031</v>
      </c>
      <c r="W28" s="574"/>
    </row>
    <row r="29" spans="1:23" ht="14.4" customHeight="1" x14ac:dyDescent="0.25">
      <c r="A29" s="76" t="s">
        <v>472</v>
      </c>
      <c r="B29" s="16" t="s">
        <v>87</v>
      </c>
      <c r="C29" s="48">
        <v>821929.16935565299</v>
      </c>
      <c r="D29" s="48">
        <v>3761.3840232263292</v>
      </c>
      <c r="E29" s="48">
        <v>1092.591316511634</v>
      </c>
      <c r="F29" s="48">
        <v>8629.055488663711</v>
      </c>
      <c r="G29" s="48">
        <v>553266.29178391024</v>
      </c>
      <c r="H29" s="48">
        <v>10233130.454660311</v>
      </c>
      <c r="I29" s="48">
        <v>961709.50788733375</v>
      </c>
      <c r="J29" s="48">
        <f t="shared" si="1"/>
        <v>3383609.1434852593</v>
      </c>
      <c r="K29" s="48">
        <v>18487.923084066802</v>
      </c>
      <c r="L29" s="48">
        <v>58711.30373457828</v>
      </c>
      <c r="M29" s="48">
        <v>14683.946311014621</v>
      </c>
      <c r="N29" s="48">
        <v>220993.6873069022</v>
      </c>
      <c r="O29" s="48">
        <v>23442.490045868562</v>
      </c>
      <c r="Q29" s="295">
        <v>5012.907243695724</v>
      </c>
      <c r="R29" s="295">
        <v>105504.91091247858</v>
      </c>
      <c r="S29" s="295">
        <v>3050559.9548008172</v>
      </c>
      <c r="T29" s="295">
        <v>15893.839318985689</v>
      </c>
      <c r="U29" s="295">
        <v>206637.53120928208</v>
      </c>
      <c r="W29" s="574"/>
    </row>
    <row r="30" spans="1:23" ht="14.4" customHeight="1" x14ac:dyDescent="0.25">
      <c r="B30" s="16" t="s">
        <v>88</v>
      </c>
      <c r="C30" s="48">
        <v>894470.22444047721</v>
      </c>
      <c r="D30" s="48">
        <v>4088.7544340420659</v>
      </c>
      <c r="E30" s="48">
        <v>1034.62976882916</v>
      </c>
      <c r="F30" s="48">
        <v>9380.0815532271972</v>
      </c>
      <c r="G30" s="48">
        <v>306332.26669456909</v>
      </c>
      <c r="H30" s="48">
        <v>11820194.98515272</v>
      </c>
      <c r="I30" s="48">
        <v>1045411.473636745</v>
      </c>
      <c r="J30" s="48">
        <f t="shared" si="1"/>
        <v>3678100.0831241542</v>
      </c>
      <c r="K30" s="48">
        <v>63307.94585055505</v>
      </c>
      <c r="L30" s="48">
        <v>63821.216337075661</v>
      </c>
      <c r="M30" s="48">
        <v>20230.429621018582</v>
      </c>
      <c r="N30" s="48">
        <v>251921.8975200094</v>
      </c>
      <c r="O30" s="48">
        <v>24302.87893907824</v>
      </c>
      <c r="Q30" s="295">
        <v>5449.2034297847504</v>
      </c>
      <c r="R30" s="295">
        <v>114687.48461811944</v>
      </c>
      <c r="S30" s="295">
        <v>3316064.104192235</v>
      </c>
      <c r="T30" s="295">
        <v>17277.152661937736</v>
      </c>
      <c r="U30" s="295">
        <v>224622.13822207728</v>
      </c>
      <c r="W30" s="574"/>
    </row>
    <row r="31" spans="1:23" ht="14.4" customHeight="1" x14ac:dyDescent="0.25">
      <c r="B31" s="16" t="s">
        <v>89</v>
      </c>
      <c r="C31" s="48">
        <v>4061643.8412712221</v>
      </c>
      <c r="D31" s="48">
        <v>15554.15628761878</v>
      </c>
      <c r="E31" s="48">
        <v>328388.48340165272</v>
      </c>
      <c r="F31" s="48">
        <v>36095.189547876616</v>
      </c>
      <c r="G31" s="48">
        <v>145175.61891929031</v>
      </c>
      <c r="H31" s="48">
        <v>59808389.727335602</v>
      </c>
      <c r="I31" s="48">
        <v>1782387.8051913241</v>
      </c>
      <c r="J31" s="48">
        <f t="shared" si="1"/>
        <v>13435220.1888412</v>
      </c>
      <c r="K31" s="48">
        <v>405211.7433469597</v>
      </c>
      <c r="L31" s="48">
        <v>242784.2486963578</v>
      </c>
      <c r="M31" s="48">
        <v>81678.912633423955</v>
      </c>
      <c r="N31" s="48">
        <v>716193.18610489543</v>
      </c>
      <c r="O31" s="48">
        <v>101413.29094303871</v>
      </c>
      <c r="Q31" s="295">
        <v>78870.781594150336</v>
      </c>
      <c r="R31" s="295">
        <v>2085262.6079116922</v>
      </c>
      <c r="S31" s="295">
        <v>9483190.3293270543</v>
      </c>
      <c r="T31" s="295">
        <v>90867.158955582068</v>
      </c>
      <c r="U31" s="295">
        <v>1697029.311052721</v>
      </c>
      <c r="W31" s="574"/>
    </row>
    <row r="32" spans="1:23" ht="14.4" customHeight="1" x14ac:dyDescent="0.25">
      <c r="B32" s="16" t="s">
        <v>90</v>
      </c>
      <c r="C32" s="48">
        <v>3115231.0432621688</v>
      </c>
      <c r="D32" s="48">
        <v>11932.491802401209</v>
      </c>
      <c r="E32" s="48">
        <v>251925.77557629001</v>
      </c>
      <c r="F32" s="48">
        <v>27690.705006545428</v>
      </c>
      <c r="G32" s="48">
        <v>111372.60360704259</v>
      </c>
      <c r="H32" s="48">
        <v>45882470.700408868</v>
      </c>
      <c r="I32" s="48">
        <v>1367372.648240339</v>
      </c>
      <c r="J32" s="48">
        <f t="shared" si="1"/>
        <v>10306933.516825691</v>
      </c>
      <c r="K32" s="48">
        <v>310861.33611587458</v>
      </c>
      <c r="L32" s="48">
        <v>186253.82204931779</v>
      </c>
      <c r="M32" s="48">
        <v>62660.612212260676</v>
      </c>
      <c r="N32" s="48">
        <v>405031.71969993791</v>
      </c>
      <c r="O32" s="48">
        <v>75074.037365744996</v>
      </c>
      <c r="Q32" s="295">
        <v>60506.332675229605</v>
      </c>
      <c r="R32" s="295">
        <v>1599725.4055217779</v>
      </c>
      <c r="S32" s="295">
        <v>7275103.1153891832</v>
      </c>
      <c r="T32" s="295">
        <v>69709.446741772801</v>
      </c>
      <c r="U32" s="295">
        <v>1301889.2164977258</v>
      </c>
      <c r="W32" s="574"/>
    </row>
    <row r="33" spans="1:23" ht="14.4" customHeight="1" x14ac:dyDescent="0.25">
      <c r="A33" s="76" t="s">
        <v>473</v>
      </c>
      <c r="B33" s="16" t="s">
        <v>87</v>
      </c>
      <c r="C33" s="48">
        <v>414002.85756746092</v>
      </c>
      <c r="D33" s="48">
        <v>1743.9950685268579</v>
      </c>
      <c r="E33" s="48">
        <v>594.44182317363413</v>
      </c>
      <c r="F33" s="48">
        <v>4085.3377075494909</v>
      </c>
      <c r="G33" s="48">
        <v>306912.41989796108</v>
      </c>
      <c r="H33" s="48">
        <v>6746084.2876568222</v>
      </c>
      <c r="I33" s="48">
        <v>767283.49797530391</v>
      </c>
      <c r="J33" s="48">
        <f t="shared" si="1"/>
        <v>1239410.6469514116</v>
      </c>
      <c r="K33" s="48">
        <v>4394.9015191957924</v>
      </c>
      <c r="L33" s="48">
        <v>66489.715963078022</v>
      </c>
      <c r="M33" s="48">
        <v>6146.1208096965283</v>
      </c>
      <c r="N33" s="48">
        <v>96008.246368301378</v>
      </c>
      <c r="O33" s="48">
        <v>11029.13178603825</v>
      </c>
      <c r="Q33" s="295">
        <v>1577.9068512239767</v>
      </c>
      <c r="R33" s="295">
        <v>65742.770020179945</v>
      </c>
      <c r="S33" s="295">
        <v>1099680.6237595109</v>
      </c>
      <c r="T33" s="295">
        <v>321.98055340640622</v>
      </c>
      <c r="U33" s="295">
        <v>72087.365767090523</v>
      </c>
      <c r="W33" s="574"/>
    </row>
    <row r="34" spans="1:23" ht="14.4" customHeight="1" x14ac:dyDescent="0.25">
      <c r="B34" s="16" t="s">
        <v>88</v>
      </c>
      <c r="C34" s="48">
        <v>1089836.6482117332</v>
      </c>
      <c r="D34" s="48">
        <v>4625.6234015113168</v>
      </c>
      <c r="E34" s="48">
        <v>1515.6778143583599</v>
      </c>
      <c r="F34" s="48">
        <v>11026.153751000789</v>
      </c>
      <c r="G34" s="48">
        <v>449362.70720421651</v>
      </c>
      <c r="H34" s="48">
        <v>18967080.727936178</v>
      </c>
      <c r="I34" s="48">
        <v>2035077.144355682</v>
      </c>
      <c r="J34" s="48">
        <f t="shared" si="1"/>
        <v>3287306.8256227421</v>
      </c>
      <c r="K34" s="48">
        <v>37796.890296754005</v>
      </c>
      <c r="L34" s="48">
        <v>176351.6374954232</v>
      </c>
      <c r="M34" s="48">
        <v>19218.8954425392</v>
      </c>
      <c r="N34" s="48">
        <v>261143.87881708448</v>
      </c>
      <c r="O34" s="48">
        <v>46925.376924824515</v>
      </c>
      <c r="Q34" s="295">
        <v>4185.1052151150461</v>
      </c>
      <c r="R34" s="295">
        <v>174370.50194321596</v>
      </c>
      <c r="S34" s="295">
        <v>2916698.8595600082</v>
      </c>
      <c r="T34" s="295">
        <v>853.99368928622812</v>
      </c>
      <c r="U34" s="295">
        <v>191198.36521511653</v>
      </c>
      <c r="W34" s="574"/>
    </row>
    <row r="35" spans="1:23" ht="14.4" customHeight="1" x14ac:dyDescent="0.25">
      <c r="B35" s="16" t="s">
        <v>89</v>
      </c>
      <c r="C35" s="48">
        <v>2792936.1503185993</v>
      </c>
      <c r="D35" s="48">
        <v>11643.188934002141</v>
      </c>
      <c r="E35" s="48">
        <v>221571.5308281247</v>
      </c>
      <c r="F35" s="48">
        <v>27834.352542886802</v>
      </c>
      <c r="G35" s="48">
        <v>219965.28702203211</v>
      </c>
      <c r="H35" s="48">
        <v>49743548.546071857</v>
      </c>
      <c r="I35" s="48">
        <v>2042444.0806929381</v>
      </c>
      <c r="J35" s="48">
        <f t="shared" si="1"/>
        <v>11793331.518537629</v>
      </c>
      <c r="K35" s="48">
        <v>147532.4506893667</v>
      </c>
      <c r="L35" s="48">
        <v>211281.8958885805</v>
      </c>
      <c r="M35" s="48">
        <v>60107.250066522189</v>
      </c>
      <c r="N35" s="48">
        <v>495007.01631364453</v>
      </c>
      <c r="O35" s="48">
        <v>114948.62492062179</v>
      </c>
      <c r="Q35" s="295">
        <v>25613.425795245003</v>
      </c>
      <c r="R35" s="295">
        <v>753833.41373465338</v>
      </c>
      <c r="S35" s="295">
        <v>10492124.336678741</v>
      </c>
      <c r="T35" s="295">
        <v>23757.251153517635</v>
      </c>
      <c r="U35" s="295">
        <v>498003.09117547225</v>
      </c>
      <c r="W35" s="574"/>
    </row>
    <row r="36" spans="1:23" ht="14.4" customHeight="1" x14ac:dyDescent="0.25">
      <c r="B36" s="16" t="s">
        <v>90</v>
      </c>
      <c r="C36" s="48">
        <v>1732219.1560057839</v>
      </c>
      <c r="D36" s="48">
        <v>7221.2261534665367</v>
      </c>
      <c r="E36" s="48">
        <v>137420.95420328222</v>
      </c>
      <c r="F36" s="48">
        <v>17263.15322089447</v>
      </c>
      <c r="G36" s="48">
        <v>165913.22034068982</v>
      </c>
      <c r="H36" s="48">
        <v>30851463.096859191</v>
      </c>
      <c r="I36" s="48">
        <v>1266744.9352660361</v>
      </c>
      <c r="J36" s="48">
        <f t="shared" si="1"/>
        <v>7314346.1366895586</v>
      </c>
      <c r="K36" s="48">
        <v>98791.605368450313</v>
      </c>
      <c r="L36" s="48">
        <v>131039.2162313023</v>
      </c>
      <c r="M36" s="48">
        <v>37395.785192527517</v>
      </c>
      <c r="N36" s="48">
        <v>199654.01810584459</v>
      </c>
      <c r="O36" s="48">
        <v>69952.419225238205</v>
      </c>
      <c r="Q36" s="295">
        <v>15885.711490290218</v>
      </c>
      <c r="R36" s="295">
        <v>467535.27693091379</v>
      </c>
      <c r="S36" s="295">
        <v>6507323.9895802382</v>
      </c>
      <c r="T36" s="295">
        <v>14734.49278687305</v>
      </c>
      <c r="U36" s="295">
        <v>308866.66590124409</v>
      </c>
      <c r="W36" s="574"/>
    </row>
    <row r="37" spans="1:23" ht="14.4" customHeight="1" x14ac:dyDescent="0.25">
      <c r="A37" s="76" t="s">
        <v>470</v>
      </c>
      <c r="B37" s="16" t="s">
        <v>87</v>
      </c>
      <c r="C37" s="48">
        <v>72442.644652072355</v>
      </c>
      <c r="D37" s="48">
        <v>322.9568234512472</v>
      </c>
      <c r="E37" s="48">
        <v>182.4222848164878</v>
      </c>
      <c r="F37" s="48">
        <v>718.92930017586582</v>
      </c>
      <c r="G37" s="48">
        <v>66777.097387846719</v>
      </c>
      <c r="H37" s="48">
        <v>1711591.0823702321</v>
      </c>
      <c r="I37" s="48">
        <v>267163.27475958609</v>
      </c>
      <c r="J37" s="48">
        <f t="shared" si="1"/>
        <v>430287.13489202363</v>
      </c>
      <c r="K37" s="48">
        <v>17177.731698758787</v>
      </c>
      <c r="L37" s="48">
        <v>29339.267989082648</v>
      </c>
      <c r="M37" s="48">
        <v>2336.9362610263079</v>
      </c>
      <c r="N37" s="48">
        <v>26321.383691111871</v>
      </c>
      <c r="O37" s="48">
        <v>3135.0935818381831</v>
      </c>
      <c r="Q37" s="295">
        <v>105.53427076923074</v>
      </c>
      <c r="R37" s="295">
        <v>14817.493678046108</v>
      </c>
      <c r="S37" s="295">
        <v>394234.68442261562</v>
      </c>
      <c r="T37" s="295">
        <v>78.797077608912062</v>
      </c>
      <c r="U37" s="295">
        <v>21050.625442983743</v>
      </c>
      <c r="W37" s="574"/>
    </row>
    <row r="38" spans="1:23" ht="14.4" customHeight="1" x14ac:dyDescent="0.25">
      <c r="B38" s="16" t="s">
        <v>88</v>
      </c>
      <c r="C38" s="48">
        <v>125796.46186278779</v>
      </c>
      <c r="D38" s="48">
        <v>559.61804014128552</v>
      </c>
      <c r="E38" s="48">
        <v>353.46596215797126</v>
      </c>
      <c r="F38" s="48">
        <v>1337.2105384716001</v>
      </c>
      <c r="G38" s="48">
        <v>65943.292233923348</v>
      </c>
      <c r="H38" s="48">
        <v>3157950.4655066761</v>
      </c>
      <c r="I38" s="48">
        <v>462939.24562723114</v>
      </c>
      <c r="J38" s="48">
        <f t="shared" si="1"/>
        <v>745462.9516334919</v>
      </c>
      <c r="K38" s="48">
        <v>38248.288569820019</v>
      </c>
      <c r="L38" s="48">
        <v>50838.94334782166</v>
      </c>
      <c r="M38" s="48">
        <v>4786.5189546102547</v>
      </c>
      <c r="N38" s="48">
        <v>46481.502198262162</v>
      </c>
      <c r="O38" s="48">
        <v>8566.0642705865102</v>
      </c>
      <c r="Q38" s="295">
        <v>182.86928000000023</v>
      </c>
      <c r="R38" s="295">
        <v>25675.682226809575</v>
      </c>
      <c r="S38" s="295">
        <v>683127.97696812602</v>
      </c>
      <c r="T38" s="295">
        <v>0</v>
      </c>
      <c r="U38" s="295">
        <v>36476.423158556332</v>
      </c>
      <c r="W38" s="574"/>
    </row>
    <row r="39" spans="1:23" ht="14.4" customHeight="1" x14ac:dyDescent="0.25">
      <c r="B39" s="16" t="s">
        <v>89</v>
      </c>
      <c r="C39" s="48">
        <v>596437.00571045897</v>
      </c>
      <c r="D39" s="48">
        <v>2575.633186080549</v>
      </c>
      <c r="E39" s="48">
        <v>18265.185314171602</v>
      </c>
      <c r="F39" s="48">
        <v>6143.6328147149961</v>
      </c>
      <c r="G39" s="48">
        <v>117566.54184400331</v>
      </c>
      <c r="H39" s="48">
        <v>15001027.80640468</v>
      </c>
      <c r="I39" s="48">
        <v>850764.68030401214</v>
      </c>
      <c r="J39" s="48">
        <f t="shared" si="1"/>
        <v>4506950.9704434872</v>
      </c>
      <c r="K39" s="48">
        <v>214699.64798169403</v>
      </c>
      <c r="L39" s="48">
        <v>60133.735301290202</v>
      </c>
      <c r="M39" s="48">
        <v>22482.975330222351</v>
      </c>
      <c r="N39" s="48">
        <v>153388.55836835259</v>
      </c>
      <c r="O39" s="48">
        <v>38874.145159517255</v>
      </c>
      <c r="Q39" s="295">
        <v>0</v>
      </c>
      <c r="R39" s="295">
        <v>131451.87080566742</v>
      </c>
      <c r="S39" s="295">
        <v>4206761.7615491627</v>
      </c>
      <c r="T39" s="295">
        <v>1151.3493209685432</v>
      </c>
      <c r="U39" s="295">
        <v>167585.98876768863</v>
      </c>
      <c r="W39" s="574"/>
    </row>
    <row r="40" spans="1:23" s="50" customFormat="1" ht="14.7" customHeight="1" thickBot="1" x14ac:dyDescent="0.3">
      <c r="A40" s="79"/>
      <c r="B40" s="80" t="s">
        <v>90</v>
      </c>
      <c r="C40" s="51">
        <v>348173.32829072559</v>
      </c>
      <c r="D40" s="51">
        <v>1504.148240236025</v>
      </c>
      <c r="E40" s="51">
        <v>10666.715468790719</v>
      </c>
      <c r="F40" s="51">
        <v>3587.8301836031978</v>
      </c>
      <c r="G40" s="51">
        <v>102754.7762989386</v>
      </c>
      <c r="H40" s="51">
        <v>8760474.7829296105</v>
      </c>
      <c r="I40" s="51">
        <v>496839.45821554796</v>
      </c>
      <c r="J40" s="51">
        <f t="shared" si="1"/>
        <v>2632021.6743824095</v>
      </c>
      <c r="K40" s="51">
        <v>125382.7988535864</v>
      </c>
      <c r="L40" s="51">
        <v>35117.598507843548</v>
      </c>
      <c r="M40" s="51">
        <v>13129.86956410739</v>
      </c>
      <c r="N40" s="51">
        <v>56871.692440583014</v>
      </c>
      <c r="O40" s="51">
        <v>22568.040042236189</v>
      </c>
      <c r="Q40" s="296">
        <v>0</v>
      </c>
      <c r="R40" s="296">
        <v>76766.793197350431</v>
      </c>
      <c r="S40" s="296">
        <v>2456713.6869188086</v>
      </c>
      <c r="T40" s="296">
        <v>672.37837452589019</v>
      </c>
      <c r="U40" s="296">
        <v>97868.815891724676</v>
      </c>
      <c r="W40" s="575"/>
    </row>
  </sheetData>
  <mergeCells count="10">
    <mergeCell ref="W13:W40"/>
    <mergeCell ref="AD1:BD1"/>
    <mergeCell ref="A3:A9"/>
    <mergeCell ref="C3:C9"/>
    <mergeCell ref="D3:D9"/>
    <mergeCell ref="E3:E9"/>
    <mergeCell ref="F1:M1"/>
    <mergeCell ref="N1:T1"/>
    <mergeCell ref="U1:W1"/>
    <mergeCell ref="X1:AC1"/>
  </mergeCells>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FA6F15-8093-497C-9D6C-819F6A560352}">
  <sheetPr>
    <tabColor theme="5" tint="0.39997558519241921"/>
  </sheetPr>
  <dimension ref="A1:BG26"/>
  <sheetViews>
    <sheetView zoomScaleNormal="100" workbookViewId="0">
      <selection activeCell="M3" sqref="M3"/>
    </sheetView>
  </sheetViews>
  <sheetFormatPr defaultColWidth="8.88671875" defaultRowHeight="12" x14ac:dyDescent="0.25"/>
  <cols>
    <col min="1" max="1" width="29.5546875" style="14" customWidth="1"/>
    <col min="2" max="2" width="18.33203125" style="14" customWidth="1"/>
    <col min="3" max="17" width="9.33203125" style="14" bestFit="1" customWidth="1"/>
    <col min="18" max="18" width="9.5546875" style="14" customWidth="1"/>
    <col min="19" max="23" width="9.33203125" style="14" bestFit="1" customWidth="1"/>
    <col min="24" max="16384" width="8.88671875" style="14"/>
  </cols>
  <sheetData>
    <row r="1" spans="1:59" ht="12.6" thickBot="1" x14ac:dyDescent="0.3">
      <c r="A1" s="243"/>
      <c r="B1" s="244"/>
      <c r="C1" s="245"/>
      <c r="D1" s="246"/>
      <c r="E1" s="247"/>
      <c r="F1" s="635" t="s">
        <v>557</v>
      </c>
      <c r="G1" s="636"/>
      <c r="H1" s="636"/>
      <c r="I1" s="636"/>
      <c r="J1" s="636"/>
      <c r="K1" s="636"/>
      <c r="L1" s="636"/>
      <c r="M1" s="637"/>
      <c r="N1" s="635" t="s">
        <v>457</v>
      </c>
      <c r="O1" s="636"/>
      <c r="P1" s="636"/>
      <c r="Q1" s="636"/>
      <c r="R1" s="636"/>
      <c r="S1" s="636"/>
      <c r="T1" s="637"/>
      <c r="U1" s="635" t="s">
        <v>458</v>
      </c>
      <c r="V1" s="636"/>
      <c r="W1" s="637"/>
      <c r="X1" s="635" t="s">
        <v>452</v>
      </c>
      <c r="Y1" s="636"/>
      <c r="Z1" s="636"/>
      <c r="AA1" s="636"/>
      <c r="AB1" s="636"/>
      <c r="AC1" s="637"/>
      <c r="AD1" s="635" t="s">
        <v>4</v>
      </c>
      <c r="AE1" s="636"/>
      <c r="AF1" s="636"/>
      <c r="AG1" s="636"/>
      <c r="AH1" s="636"/>
      <c r="AI1" s="636"/>
      <c r="AJ1" s="636"/>
      <c r="AK1" s="636"/>
      <c r="AL1" s="636"/>
      <c r="AM1" s="636"/>
      <c r="AN1" s="636"/>
      <c r="AO1" s="636"/>
      <c r="AP1" s="636"/>
      <c r="AQ1" s="636"/>
      <c r="AR1" s="636"/>
      <c r="AS1" s="636"/>
      <c r="AT1" s="636"/>
      <c r="AU1" s="636"/>
      <c r="AV1" s="636"/>
      <c r="AW1" s="636"/>
      <c r="AX1" s="636"/>
      <c r="AY1" s="636"/>
      <c r="AZ1" s="636"/>
      <c r="BA1" s="636"/>
      <c r="BB1" s="636"/>
      <c r="BC1" s="636"/>
      <c r="BD1" s="637"/>
      <c r="BE1" s="246"/>
      <c r="BF1" s="245"/>
      <c r="BG1" s="245"/>
    </row>
    <row r="2" spans="1:59" s="224" customFormat="1" ht="48.6" thickBot="1" x14ac:dyDescent="0.3">
      <c r="A2" s="219" t="s">
        <v>538</v>
      </c>
      <c r="B2" s="220" t="s">
        <v>5</v>
      </c>
      <c r="C2" s="221" t="s">
        <v>101</v>
      </c>
      <c r="D2" s="222" t="s">
        <v>437</v>
      </c>
      <c r="E2" s="223" t="s">
        <v>438</v>
      </c>
      <c r="F2" s="137" t="s">
        <v>82</v>
      </c>
      <c r="G2" s="138" t="s">
        <v>439</v>
      </c>
      <c r="H2" s="138" t="s">
        <v>136</v>
      </c>
      <c r="I2" s="138" t="s">
        <v>440</v>
      </c>
      <c r="J2" s="138" t="s">
        <v>315</v>
      </c>
      <c r="K2" s="138" t="s">
        <v>441</v>
      </c>
      <c r="L2" s="138" t="s">
        <v>684</v>
      </c>
      <c r="M2" s="138" t="s">
        <v>443</v>
      </c>
      <c r="N2" s="137" t="s">
        <v>444</v>
      </c>
      <c r="O2" s="138" t="s">
        <v>81</v>
      </c>
      <c r="P2" s="138" t="s">
        <v>7</v>
      </c>
      <c r="Q2" s="138" t="s">
        <v>127</v>
      </c>
      <c r="R2" s="138" t="s">
        <v>445</v>
      </c>
      <c r="S2" s="138" t="s">
        <v>446</v>
      </c>
      <c r="T2" s="139" t="s">
        <v>447</v>
      </c>
      <c r="U2" s="138" t="s">
        <v>448</v>
      </c>
      <c r="V2" s="138" t="s">
        <v>449</v>
      </c>
      <c r="W2" s="138" t="s">
        <v>450</v>
      </c>
      <c r="X2" s="137" t="s">
        <v>84</v>
      </c>
      <c r="Y2" s="138" t="s">
        <v>451</v>
      </c>
      <c r="Z2" s="138" t="s">
        <v>452</v>
      </c>
      <c r="AA2" s="138" t="s">
        <v>83</v>
      </c>
      <c r="AB2" s="138" t="s">
        <v>453</v>
      </c>
      <c r="AC2" s="139" t="s">
        <v>454</v>
      </c>
      <c r="AD2" s="137" t="s">
        <v>9</v>
      </c>
      <c r="AE2" s="138" t="s">
        <v>10</v>
      </c>
      <c r="AF2" s="138" t="s">
        <v>11</v>
      </c>
      <c r="AG2" s="138" t="s">
        <v>12</v>
      </c>
      <c r="AH2" s="138" t="s">
        <v>13</v>
      </c>
      <c r="AI2" s="138" t="s">
        <v>14</v>
      </c>
      <c r="AJ2" s="138" t="s">
        <v>15</v>
      </c>
      <c r="AK2" s="138" t="s">
        <v>16</v>
      </c>
      <c r="AL2" s="138" t="s">
        <v>17</v>
      </c>
      <c r="AM2" s="140" t="s">
        <v>18</v>
      </c>
      <c r="AN2" s="140" t="s">
        <v>19</v>
      </c>
      <c r="AO2" s="140" t="s">
        <v>20</v>
      </c>
      <c r="AP2" s="140" t="s">
        <v>21</v>
      </c>
      <c r="AQ2" s="140" t="s">
        <v>22</v>
      </c>
      <c r="AR2" s="140" t="s">
        <v>23</v>
      </c>
      <c r="AS2" s="140" t="s">
        <v>24</v>
      </c>
      <c r="AT2" s="140" t="s">
        <v>25</v>
      </c>
      <c r="AU2" s="140" t="s">
        <v>26</v>
      </c>
      <c r="AV2" s="140" t="s">
        <v>27</v>
      </c>
      <c r="AW2" s="140" t="s">
        <v>28</v>
      </c>
      <c r="AX2" s="140" t="s">
        <v>29</v>
      </c>
      <c r="AY2" s="140" t="s">
        <v>30</v>
      </c>
      <c r="AZ2" s="140" t="s">
        <v>31</v>
      </c>
      <c r="BA2" s="140" t="s">
        <v>32</v>
      </c>
      <c r="BB2" s="140" t="s">
        <v>33</v>
      </c>
      <c r="BC2" s="140" t="s">
        <v>34</v>
      </c>
      <c r="BD2" s="140" t="s">
        <v>35</v>
      </c>
      <c r="BE2" s="141" t="s">
        <v>459</v>
      </c>
      <c r="BF2" s="142"/>
      <c r="BG2" s="143" t="s">
        <v>79</v>
      </c>
    </row>
    <row r="3" spans="1:59" x14ac:dyDescent="0.25">
      <c r="A3" s="598" t="s">
        <v>539</v>
      </c>
      <c r="B3" s="16" t="s">
        <v>474</v>
      </c>
      <c r="C3" s="570" t="s">
        <v>38</v>
      </c>
      <c r="D3" s="570">
        <v>2019</v>
      </c>
      <c r="E3" s="573" t="s">
        <v>40</v>
      </c>
      <c r="F3" s="155">
        <f>'2.2.a'!E14*1000</f>
        <v>89888279.120638013</v>
      </c>
      <c r="G3" s="156">
        <f>'2.2.a'!D14*1000</f>
        <v>2516637.9435000001</v>
      </c>
      <c r="H3" s="156"/>
      <c r="I3" s="157"/>
      <c r="J3" s="157"/>
      <c r="K3" s="157"/>
      <c r="L3" s="157">
        <f>('2.2.a'!J14+'2.2.a'!T14)*1000</f>
        <v>469996.82519999996</v>
      </c>
      <c r="M3" s="158">
        <f>('2.2.a'!I14)*1000</f>
        <v>18799.386479999997</v>
      </c>
      <c r="N3" s="156">
        <f>('2.2.a'!F14+'2.2.a'!Q14)*1000</f>
        <v>6548240.5110200001</v>
      </c>
      <c r="O3" s="48"/>
      <c r="P3" s="156">
        <f>'2.2.a'!B14*1000</f>
        <v>64.8</v>
      </c>
      <c r="Q3" s="156"/>
      <c r="R3" s="156"/>
      <c r="S3" s="156"/>
      <c r="T3" s="48">
        <f>'2.2.a'!O14*1000</f>
        <v>933.15039999999999</v>
      </c>
      <c r="U3" s="155">
        <f>'2.2.a'!H14*1000</f>
        <v>2268.0820399999998</v>
      </c>
      <c r="V3" s="48"/>
      <c r="W3" s="89"/>
      <c r="X3" s="156"/>
      <c r="Y3" s="48"/>
      <c r="Z3" s="48"/>
      <c r="AA3" s="48"/>
      <c r="AB3" s="48"/>
      <c r="AC3" s="89"/>
      <c r="AD3" s="48"/>
      <c r="AE3" s="48"/>
      <c r="AF3" s="48"/>
      <c r="AG3" s="48"/>
      <c r="AH3" s="48"/>
      <c r="AI3" s="48"/>
      <c r="AJ3" s="48"/>
      <c r="AK3" s="48"/>
      <c r="AL3" s="48"/>
      <c r="AM3" s="48"/>
      <c r="AN3" s="148"/>
      <c r="AO3" s="48"/>
      <c r="AP3" s="48"/>
      <c r="AQ3" s="148"/>
      <c r="AR3" s="48"/>
      <c r="AS3" s="148"/>
      <c r="AT3" s="148"/>
      <c r="AU3" s="148"/>
      <c r="AV3" s="148"/>
      <c r="AW3" s="148"/>
      <c r="AX3" s="148"/>
      <c r="AY3" s="148"/>
      <c r="AZ3" s="148"/>
      <c r="BA3" s="148"/>
      <c r="BB3" s="148"/>
      <c r="BC3" s="148"/>
      <c r="BD3" s="148"/>
      <c r="BE3" s="149"/>
      <c r="BG3" s="150">
        <f t="shared" ref="BG3:BG10" si="0">SUM(F3:BD3)</f>
        <v>99445219.819278017</v>
      </c>
    </row>
    <row r="4" spans="1:59" ht="14.4" customHeight="1" x14ac:dyDescent="0.25">
      <c r="A4" s="599"/>
      <c r="B4" s="16" t="s">
        <v>475</v>
      </c>
      <c r="C4" s="571"/>
      <c r="D4" s="571"/>
      <c r="E4" s="574"/>
      <c r="F4" s="155">
        <f>'2.2.a'!E15*1000</f>
        <v>475248.40560599999</v>
      </c>
      <c r="G4" s="156"/>
      <c r="H4" s="156"/>
      <c r="I4" s="157"/>
      <c r="J4" s="157"/>
      <c r="K4" s="157"/>
      <c r="L4" s="157"/>
      <c r="M4" s="158">
        <f>('2.2.a'!I15)*1000</f>
        <v>1.26346</v>
      </c>
      <c r="N4" s="156">
        <f>('2.2.a'!F15+'2.2.a'!Q15)*1000</f>
        <v>231240.2507</v>
      </c>
      <c r="O4" s="48"/>
      <c r="P4" s="156">
        <f>'2.2.a'!B15*1000</f>
        <v>0.11485999999999999</v>
      </c>
      <c r="Q4" s="156">
        <f>'2.2.a'!R15*1000</f>
        <v>5.7429999999999994</v>
      </c>
      <c r="R4" s="156"/>
      <c r="S4" s="156"/>
      <c r="T4" s="48"/>
      <c r="U4" s="155">
        <f>'2.2.a'!H15*1000</f>
        <v>11847.306489999999</v>
      </c>
      <c r="V4" s="48"/>
      <c r="W4" s="89"/>
      <c r="X4" s="156">
        <f>'2.2.a'!M15*1000</f>
        <v>0.22971999999999998</v>
      </c>
      <c r="Y4" s="48"/>
      <c r="Z4" s="48"/>
      <c r="AA4" s="48"/>
      <c r="AB4" s="48"/>
      <c r="AC4" s="89"/>
      <c r="AD4" s="48"/>
      <c r="AE4" s="48"/>
      <c r="AF4" s="48"/>
      <c r="AG4" s="48"/>
      <c r="AH4" s="48"/>
      <c r="AI4" s="48"/>
      <c r="AJ4" s="48"/>
      <c r="AK4" s="48"/>
      <c r="AL4" s="48"/>
      <c r="AM4" s="48"/>
      <c r="AN4" s="148"/>
      <c r="AO4" s="48"/>
      <c r="AP4" s="48"/>
      <c r="AQ4" s="148"/>
      <c r="AR4" s="48"/>
      <c r="AS4" s="148"/>
      <c r="AT4" s="148"/>
      <c r="AU4" s="148"/>
      <c r="AV4" s="148"/>
      <c r="AW4" s="148"/>
      <c r="AX4" s="148"/>
      <c r="AY4" s="148"/>
      <c r="AZ4" s="148"/>
      <c r="BA4" s="148"/>
      <c r="BB4" s="148"/>
      <c r="BC4" s="148"/>
      <c r="BD4" s="148"/>
      <c r="BE4" s="149"/>
      <c r="BG4" s="150">
        <f t="shared" si="0"/>
        <v>718343.31383599993</v>
      </c>
    </row>
    <row r="5" spans="1:59" ht="14.4" customHeight="1" x14ac:dyDescent="0.25">
      <c r="A5" s="599"/>
      <c r="B5" s="16" t="s">
        <v>476</v>
      </c>
      <c r="C5" s="571"/>
      <c r="D5" s="571"/>
      <c r="E5" s="574"/>
      <c r="F5" s="155">
        <f>'2.2.a'!E16*1000</f>
        <v>63011601.207999997</v>
      </c>
      <c r="G5" s="156">
        <f>'2.2.a'!D16*1000</f>
        <v>4865873.0370000005</v>
      </c>
      <c r="H5" s="156"/>
      <c r="I5" s="157">
        <f>('2.2.a'!G16+'2.2.a'!U16+'2.2.a'!V16+'2.2.a'!W16)*1000</f>
        <v>269435380</v>
      </c>
      <c r="J5" s="157"/>
      <c r="K5" s="157"/>
      <c r="L5" s="157">
        <f>('2.2.a'!J16+'2.2.a'!T16)*1000</f>
        <v>116375811.40000001</v>
      </c>
      <c r="M5" s="158"/>
      <c r="N5" s="156"/>
      <c r="O5" s="48"/>
      <c r="P5" s="156"/>
      <c r="Q5" s="156"/>
      <c r="R5" s="156"/>
      <c r="S5" s="156"/>
      <c r="T5" s="48"/>
      <c r="U5" s="155"/>
      <c r="V5" s="48"/>
      <c r="W5" s="89"/>
      <c r="X5" s="156"/>
      <c r="Y5" s="156"/>
      <c r="Z5" s="48"/>
      <c r="AA5" s="156"/>
      <c r="AB5" s="48"/>
      <c r="AC5" s="89"/>
      <c r="AD5" s="48"/>
      <c r="AE5" s="48"/>
      <c r="AF5" s="48"/>
      <c r="AG5" s="48"/>
      <c r="AH5" s="48"/>
      <c r="AI5" s="48"/>
      <c r="AJ5" s="48"/>
      <c r="AK5" s="48"/>
      <c r="AL5" s="48"/>
      <c r="AM5" s="48"/>
      <c r="AN5" s="148"/>
      <c r="AO5" s="48"/>
      <c r="AP5" s="48"/>
      <c r="AQ5" s="148"/>
      <c r="AR5" s="48"/>
      <c r="AS5" s="148"/>
      <c r="AT5" s="148"/>
      <c r="AU5" s="148"/>
      <c r="AV5" s="148"/>
      <c r="AW5" s="148"/>
      <c r="AX5" s="148"/>
      <c r="AY5" s="148"/>
      <c r="AZ5" s="148"/>
      <c r="BA5" s="148"/>
      <c r="BB5" s="148"/>
      <c r="BC5" s="148"/>
      <c r="BD5" s="148"/>
      <c r="BE5" s="149"/>
      <c r="BG5" s="150">
        <f t="shared" si="0"/>
        <v>453688665.64499998</v>
      </c>
    </row>
    <row r="6" spans="1:59" ht="14.4" customHeight="1" x14ac:dyDescent="0.25">
      <c r="A6" s="599"/>
      <c r="B6" s="16" t="s">
        <v>477</v>
      </c>
      <c r="C6" s="571"/>
      <c r="D6" s="571"/>
      <c r="E6" s="574"/>
      <c r="F6" s="155">
        <f>'2.2.a'!E18*1000</f>
        <v>5771963.7664692001</v>
      </c>
      <c r="G6" s="156"/>
      <c r="H6" s="156"/>
      <c r="I6" s="157">
        <f>('2.2.a'!G18+'2.2.a'!U18+'2.2.a'!V18+'2.2.a'!W18)*1000</f>
        <v>741800</v>
      </c>
      <c r="J6" s="157"/>
      <c r="K6" s="157"/>
      <c r="L6" s="157"/>
      <c r="M6" s="158"/>
      <c r="N6" s="156">
        <f>('2.2.a'!F18+'2.2.a'!Q18)*1000</f>
        <v>435083.69930000004</v>
      </c>
      <c r="O6" s="48"/>
      <c r="P6" s="156">
        <f>'2.2.a'!B18*1000</f>
        <v>221.208</v>
      </c>
      <c r="Q6" s="156"/>
      <c r="R6" s="156"/>
      <c r="S6" s="156"/>
      <c r="T6" s="48">
        <f>'2.2.a'!O18*1000</f>
        <v>814.98131999999998</v>
      </c>
      <c r="U6" s="155">
        <f>'2.2.a'!H18*1000</f>
        <v>4895.8222500000002</v>
      </c>
      <c r="V6" s="48"/>
      <c r="W6" s="89"/>
      <c r="X6" s="156">
        <f>'2.2.a'!M18*1000</f>
        <v>554.60005733000003</v>
      </c>
      <c r="Y6" s="156"/>
      <c r="Z6" s="48"/>
      <c r="AA6" s="48"/>
      <c r="AB6" s="48"/>
      <c r="AC6" s="89"/>
      <c r="AD6" s="48"/>
      <c r="AE6" s="48"/>
      <c r="AF6" s="48"/>
      <c r="AG6" s="48"/>
      <c r="AH6" s="48"/>
      <c r="AI6" s="48"/>
      <c r="AJ6" s="48"/>
      <c r="AK6" s="48"/>
      <c r="AL6" s="48"/>
      <c r="AM6" s="48"/>
      <c r="AN6" s="148"/>
      <c r="AO6" s="48"/>
      <c r="AP6" s="48"/>
      <c r="AQ6" s="148"/>
      <c r="AR6" s="48"/>
      <c r="AS6" s="148"/>
      <c r="AT6" s="148"/>
      <c r="AU6" s="148"/>
      <c r="AV6" s="148"/>
      <c r="AW6" s="148"/>
      <c r="AX6" s="148"/>
      <c r="AY6" s="148"/>
      <c r="AZ6" s="148"/>
      <c r="BA6" s="148"/>
      <c r="BB6" s="148"/>
      <c r="BC6" s="148"/>
      <c r="BD6" s="148"/>
      <c r="BE6" s="149"/>
      <c r="BG6" s="150">
        <f t="shared" si="0"/>
        <v>6955334.0773965307</v>
      </c>
    </row>
    <row r="7" spans="1:59" ht="14.4" customHeight="1" x14ac:dyDescent="0.25">
      <c r="A7" s="599"/>
      <c r="B7" s="16" t="s">
        <v>478</v>
      </c>
      <c r="C7" s="571"/>
      <c r="D7" s="571"/>
      <c r="E7" s="574"/>
      <c r="F7" s="155">
        <f>'2.2.a'!E19*1000</f>
        <v>357564.809503</v>
      </c>
      <c r="G7" s="156"/>
      <c r="H7" s="156">
        <f>'2.2.a'!C19*1000</f>
        <v>253105999.97389999</v>
      </c>
      <c r="I7" s="157">
        <f>('2.2.a'!G19+'2.2.a'!U19+'2.2.a'!V19+'2.2.a'!W19+'2.2.a'!K19)*1000</f>
        <v>1753864158.2755997</v>
      </c>
      <c r="J7" s="157"/>
      <c r="K7" s="157"/>
      <c r="L7" s="157">
        <f>('2.2.a'!J19+'2.2.a'!T19)*1000</f>
        <v>455373398.10499996</v>
      </c>
      <c r="M7" s="158">
        <f>('2.2.a'!I19)*1000</f>
        <v>453.5478195</v>
      </c>
      <c r="N7" s="156">
        <f>('2.2.a'!F19+'2.2.a'!Q19)*1000</f>
        <v>261600.25531000004</v>
      </c>
      <c r="O7" s="48"/>
      <c r="P7" s="156">
        <f>'2.2.a'!B19*1000</f>
        <v>50029.452139000001</v>
      </c>
      <c r="Q7" s="156"/>
      <c r="R7" s="156"/>
      <c r="S7" s="156"/>
      <c r="T7" s="48">
        <f>'2.2.a'!O19*1000</f>
        <v>64845.371596000005</v>
      </c>
      <c r="U7" s="155"/>
      <c r="V7" s="48"/>
      <c r="W7" s="89"/>
      <c r="X7" s="156"/>
      <c r="Y7" s="156"/>
      <c r="Z7" s="48">
        <f>'2.2.a'!N19*1000</f>
        <v>73352.183731000012</v>
      </c>
      <c r="AA7" s="48">
        <f>'2.2.a'!S19*1000</f>
        <v>146704.36742000002</v>
      </c>
      <c r="AB7" s="48"/>
      <c r="AC7" s="89"/>
      <c r="AD7" s="48"/>
      <c r="AE7" s="48"/>
      <c r="AF7" s="48"/>
      <c r="AG7" s="48"/>
      <c r="AH7" s="48"/>
      <c r="AI7" s="48"/>
      <c r="AJ7" s="48"/>
      <c r="AK7" s="48"/>
      <c r="AL7" s="48"/>
      <c r="AM7" s="48"/>
      <c r="AN7" s="148"/>
      <c r="AO7" s="48"/>
      <c r="AP7" s="48"/>
      <c r="AQ7" s="148"/>
      <c r="AR7" s="48"/>
      <c r="AS7" s="148"/>
      <c r="AT7" s="148"/>
      <c r="AU7" s="148"/>
      <c r="AV7" s="148"/>
      <c r="AW7" s="148"/>
      <c r="AX7" s="148"/>
      <c r="AY7" s="148"/>
      <c r="AZ7" s="148"/>
      <c r="BA7" s="148"/>
      <c r="BB7" s="148"/>
      <c r="BC7" s="148"/>
      <c r="BD7" s="148"/>
      <c r="BE7" s="149"/>
      <c r="BG7" s="150">
        <f t="shared" si="0"/>
        <v>2463298106.3420181</v>
      </c>
    </row>
    <row r="8" spans="1:59" ht="14.1" customHeight="1" x14ac:dyDescent="0.25">
      <c r="A8" s="599"/>
      <c r="B8" s="16" t="s">
        <v>41</v>
      </c>
      <c r="C8" s="571"/>
      <c r="D8" s="571"/>
      <c r="E8" s="574"/>
      <c r="F8" s="155">
        <f>'2.2.a'!E21*1000</f>
        <v>56505299.135309592</v>
      </c>
      <c r="G8" s="156"/>
      <c r="H8" s="156"/>
      <c r="I8" s="157">
        <f>('2.2.a'!G21+'2.2.a'!U21+'2.2.a'!V21+'2.2.a'!W21)*1000</f>
        <v>362710700</v>
      </c>
      <c r="J8" s="157"/>
      <c r="K8" s="157"/>
      <c r="L8" s="157">
        <f>('2.2.a'!J21+'2.2.a'!T21)*1000</f>
        <v>190204.47425</v>
      </c>
      <c r="M8" s="158">
        <f>('2.2.a'!I21)*1000</f>
        <v>7608.1789699999999</v>
      </c>
      <c r="N8" s="156">
        <f>('2.2.a'!F21+'2.2.a'!Q21)*1000</f>
        <v>11499384.125199998</v>
      </c>
      <c r="O8" s="48"/>
      <c r="P8" s="156"/>
      <c r="Q8" s="156"/>
      <c r="R8" s="156"/>
      <c r="S8" s="156"/>
      <c r="T8" s="48"/>
      <c r="U8" s="155"/>
      <c r="V8" s="48"/>
      <c r="W8" s="89"/>
      <c r="X8" s="156"/>
      <c r="Y8" s="48"/>
      <c r="Z8" s="48"/>
      <c r="AA8" s="48"/>
      <c r="AB8" s="48"/>
      <c r="AC8" s="89"/>
      <c r="AD8" s="48"/>
      <c r="AE8" s="48"/>
      <c r="AF8" s="48"/>
      <c r="AG8" s="48"/>
      <c r="AH8" s="48"/>
      <c r="AI8" s="48"/>
      <c r="AJ8" s="48"/>
      <c r="AK8" s="48"/>
      <c r="AL8" s="48"/>
      <c r="AM8" s="48"/>
      <c r="AN8" s="148"/>
      <c r="AO8" s="48"/>
      <c r="AP8" s="48"/>
      <c r="AQ8" s="148"/>
      <c r="AR8" s="48"/>
      <c r="AS8" s="148"/>
      <c r="AT8" s="148"/>
      <c r="AU8" s="148"/>
      <c r="AV8" s="148"/>
      <c r="AW8" s="148"/>
      <c r="AX8" s="148"/>
      <c r="AY8" s="148"/>
      <c r="AZ8" s="148"/>
      <c r="BA8" s="148"/>
      <c r="BB8" s="148"/>
      <c r="BC8" s="148"/>
      <c r="BD8" s="148"/>
      <c r="BE8" s="149"/>
      <c r="BG8" s="150">
        <f t="shared" si="0"/>
        <v>430913195.91372955</v>
      </c>
    </row>
    <row r="9" spans="1:59" ht="14.1" customHeight="1" x14ac:dyDescent="0.25">
      <c r="A9" s="599"/>
      <c r="B9" s="16" t="s">
        <v>479</v>
      </c>
      <c r="C9" s="571"/>
      <c r="D9" s="571"/>
      <c r="E9" s="574"/>
      <c r="F9" s="155">
        <f>'2.2.a'!E22*1000</f>
        <v>31998599.230579998</v>
      </c>
      <c r="G9" s="156">
        <f>'2.2.a'!D22*1000</f>
        <v>41915.439999999995</v>
      </c>
      <c r="H9" s="156"/>
      <c r="I9" s="157">
        <f>('2.2.a'!G22+'2.2.a'!U22+'2.2.a'!V22+'2.2.a'!W22)*1000</f>
        <v>274480420</v>
      </c>
      <c r="J9" s="157"/>
      <c r="K9" s="157"/>
      <c r="L9" s="157">
        <f>('2.2.a'!J22+'2.2.a'!T22)*1000</f>
        <v>111764.96713</v>
      </c>
      <c r="M9" s="158">
        <f>('2.2.a'!I22)*1000</f>
        <v>4470.5986850000008</v>
      </c>
      <c r="N9" s="156">
        <f>('2.2.a'!F22+'2.2.a'!Q22)*1000</f>
        <v>350234.73212</v>
      </c>
      <c r="O9" s="48"/>
      <c r="P9" s="156">
        <f>'2.2.a'!B22*1000</f>
        <v>2.0928</v>
      </c>
      <c r="Q9" s="156"/>
      <c r="R9" s="156"/>
      <c r="S9" s="156"/>
      <c r="T9" s="48"/>
      <c r="U9" s="155"/>
      <c r="V9" s="48"/>
      <c r="W9" s="89"/>
      <c r="X9" s="156"/>
      <c r="Y9" s="48"/>
      <c r="Z9" s="48"/>
      <c r="AA9" s="48"/>
      <c r="AB9" s="48"/>
      <c r="AC9" s="89"/>
      <c r="AD9" s="48"/>
      <c r="AE9" s="48"/>
      <c r="AF9" s="48"/>
      <c r="AG9" s="48"/>
      <c r="AH9" s="48"/>
      <c r="AI9" s="48"/>
      <c r="AJ9" s="48"/>
      <c r="AK9" s="48"/>
      <c r="AL9" s="48"/>
      <c r="AM9" s="48"/>
      <c r="AN9" s="148"/>
      <c r="AO9" s="48"/>
      <c r="AP9" s="48"/>
      <c r="AQ9" s="148"/>
      <c r="AR9" s="48"/>
      <c r="AS9" s="148"/>
      <c r="AT9" s="148"/>
      <c r="AU9" s="148"/>
      <c r="AV9" s="148"/>
      <c r="AW9" s="148"/>
      <c r="AX9" s="148"/>
      <c r="AY9" s="148"/>
      <c r="AZ9" s="148"/>
      <c r="BA9" s="148"/>
      <c r="BB9" s="148"/>
      <c r="BC9" s="148"/>
      <c r="BD9" s="148"/>
      <c r="BE9" s="149"/>
      <c r="BG9" s="150">
        <f t="shared" si="0"/>
        <v>306987407.06131506</v>
      </c>
    </row>
    <row r="10" spans="1:59" ht="14.1" customHeight="1" thickBot="1" x14ac:dyDescent="0.3">
      <c r="A10" s="599"/>
      <c r="B10" s="16" t="s">
        <v>480</v>
      </c>
      <c r="C10" s="571"/>
      <c r="D10" s="571"/>
      <c r="E10" s="574"/>
      <c r="F10" s="155">
        <f>'2.2.a'!E23*1000</f>
        <v>16803326.013700001</v>
      </c>
      <c r="G10" s="156"/>
      <c r="H10" s="156"/>
      <c r="I10" s="157">
        <f>('2.2.a'!G23+'2.2.a'!U23+'2.2.a'!V23+'2.2.a'!W23)*1000</f>
        <v>1155431703.1517999</v>
      </c>
      <c r="J10" s="157"/>
      <c r="K10" s="157"/>
      <c r="L10" s="157"/>
      <c r="M10" s="158"/>
      <c r="N10" s="156"/>
      <c r="O10" s="48"/>
      <c r="P10" s="156"/>
      <c r="Q10" s="156"/>
      <c r="R10" s="156"/>
      <c r="S10" s="156"/>
      <c r="T10" s="48"/>
      <c r="U10" s="155"/>
      <c r="V10" s="48"/>
      <c r="W10" s="89"/>
      <c r="X10" s="156">
        <f>'2.2.a'!M23*1000</f>
        <v>14389.4892</v>
      </c>
      <c r="Y10" s="48"/>
      <c r="Z10" s="48"/>
      <c r="AA10" s="48"/>
      <c r="AB10" s="48"/>
      <c r="AC10" s="89"/>
      <c r="AD10" s="48"/>
      <c r="AE10" s="48"/>
      <c r="AF10" s="48"/>
      <c r="AG10" s="48"/>
      <c r="AH10" s="48"/>
      <c r="AI10" s="48"/>
      <c r="AJ10" s="48"/>
      <c r="AK10" s="48"/>
      <c r="AL10" s="48"/>
      <c r="AM10" s="48"/>
      <c r="AN10" s="148"/>
      <c r="AO10" s="48"/>
      <c r="AP10" s="48"/>
      <c r="AQ10" s="148"/>
      <c r="AR10" s="48"/>
      <c r="AS10" s="148"/>
      <c r="AT10" s="148"/>
      <c r="AU10" s="148"/>
      <c r="AV10" s="148"/>
      <c r="AW10" s="148"/>
      <c r="AX10" s="148"/>
      <c r="AY10" s="148"/>
      <c r="AZ10" s="148"/>
      <c r="BA10" s="148"/>
      <c r="BB10" s="148"/>
      <c r="BC10" s="148"/>
      <c r="BD10" s="148"/>
      <c r="BE10" s="213"/>
      <c r="BG10" s="214">
        <f t="shared" si="0"/>
        <v>1172249418.6547</v>
      </c>
    </row>
    <row r="11" spans="1:59" s="224" customFormat="1" ht="12.6" thickBot="1" x14ac:dyDescent="0.3">
      <c r="A11" s="600"/>
      <c r="B11" s="417"/>
    </row>
    <row r="12" spans="1:59" ht="36.6" thickBot="1" x14ac:dyDescent="0.3">
      <c r="A12" s="248" t="s">
        <v>5</v>
      </c>
      <c r="B12" s="249" t="s">
        <v>7</v>
      </c>
      <c r="C12" s="249" t="s">
        <v>136</v>
      </c>
      <c r="D12" s="249" t="s">
        <v>550</v>
      </c>
      <c r="E12" s="249" t="s">
        <v>82</v>
      </c>
      <c r="F12" s="249" t="s">
        <v>561</v>
      </c>
      <c r="G12" s="249" t="s">
        <v>558</v>
      </c>
      <c r="H12" s="249" t="s">
        <v>448</v>
      </c>
      <c r="I12" s="249" t="s">
        <v>452</v>
      </c>
      <c r="J12" s="249" t="s">
        <v>559</v>
      </c>
      <c r="K12" s="249" t="s">
        <v>560</v>
      </c>
      <c r="L12" s="249" t="s">
        <v>551</v>
      </c>
      <c r="M12" s="249" t="s">
        <v>84</v>
      </c>
      <c r="N12" s="249" t="s">
        <v>85</v>
      </c>
      <c r="O12" s="249" t="s">
        <v>545</v>
      </c>
      <c r="P12" s="249" t="s">
        <v>441</v>
      </c>
      <c r="Q12" s="249" t="s">
        <v>562</v>
      </c>
      <c r="R12" s="249" t="s">
        <v>127</v>
      </c>
      <c r="S12" s="250" t="s">
        <v>83</v>
      </c>
      <c r="T12" s="250" t="s">
        <v>442</v>
      </c>
      <c r="U12" s="249" t="s">
        <v>563</v>
      </c>
      <c r="V12" s="249" t="s">
        <v>564</v>
      </c>
      <c r="W12" s="251" t="s">
        <v>565</v>
      </c>
      <c r="Y12" s="387" t="s">
        <v>438</v>
      </c>
    </row>
    <row r="13" spans="1:59" s="224" customFormat="1" ht="12.6" thickBot="1" x14ac:dyDescent="0.3">
      <c r="A13" s="252"/>
      <c r="B13" s="253" t="s">
        <v>91</v>
      </c>
      <c r="C13" s="253" t="s">
        <v>91</v>
      </c>
      <c r="D13" s="253" t="s">
        <v>91</v>
      </c>
      <c r="E13" s="253" t="s">
        <v>91</v>
      </c>
      <c r="F13" s="253" t="s">
        <v>91</v>
      </c>
      <c r="G13" s="253" t="s">
        <v>91</v>
      </c>
      <c r="H13" s="253" t="s">
        <v>91</v>
      </c>
      <c r="I13" s="253" t="s">
        <v>91</v>
      </c>
      <c r="J13" s="253" t="s">
        <v>91</v>
      </c>
      <c r="K13" s="253" t="s">
        <v>91</v>
      </c>
      <c r="L13" s="253" t="s">
        <v>91</v>
      </c>
      <c r="M13" s="253" t="s">
        <v>91</v>
      </c>
      <c r="N13" s="253" t="s">
        <v>91</v>
      </c>
      <c r="O13" s="253" t="s">
        <v>91</v>
      </c>
      <c r="P13" s="253" t="s">
        <v>91</v>
      </c>
      <c r="Q13" s="253" t="s">
        <v>91</v>
      </c>
      <c r="R13" s="253" t="s">
        <v>91</v>
      </c>
      <c r="S13" s="253" t="s">
        <v>91</v>
      </c>
      <c r="T13" s="253" t="s">
        <v>91</v>
      </c>
      <c r="U13" s="253" t="s">
        <v>91</v>
      </c>
      <c r="V13" s="253" t="s">
        <v>91</v>
      </c>
      <c r="W13" s="253" t="s">
        <v>91</v>
      </c>
      <c r="Y13" s="46"/>
    </row>
    <row r="14" spans="1:59" s="256" customFormat="1" x14ac:dyDescent="0.25">
      <c r="A14" s="16" t="s">
        <v>474</v>
      </c>
      <c r="B14" s="86">
        <v>6.4799999999999996E-2</v>
      </c>
      <c r="C14" s="47">
        <v>0</v>
      </c>
      <c r="D14" s="47">
        <v>2516.6379434999999</v>
      </c>
      <c r="E14" s="47">
        <v>89888.279120638006</v>
      </c>
      <c r="F14" s="47">
        <v>4748.7732120999999</v>
      </c>
      <c r="G14" s="47">
        <v>0</v>
      </c>
      <c r="H14" s="47">
        <v>2.2680820399999999</v>
      </c>
      <c r="I14" s="47">
        <v>18.799386479999999</v>
      </c>
      <c r="J14" s="47">
        <v>469.99682519999999</v>
      </c>
      <c r="K14" s="47">
        <v>0</v>
      </c>
      <c r="L14" s="47">
        <v>0</v>
      </c>
      <c r="M14" s="47">
        <v>0</v>
      </c>
      <c r="N14" s="47">
        <v>0</v>
      </c>
      <c r="O14" s="47">
        <v>0.93315039999999994</v>
      </c>
      <c r="P14" s="47">
        <v>0</v>
      </c>
      <c r="Q14" s="47">
        <v>1799.4672989200001</v>
      </c>
      <c r="R14" s="47">
        <v>0</v>
      </c>
      <c r="S14" s="254">
        <v>0</v>
      </c>
      <c r="T14" s="254">
        <v>0</v>
      </c>
      <c r="U14" s="254">
        <v>0</v>
      </c>
      <c r="V14" s="254">
        <v>0</v>
      </c>
      <c r="W14" s="255">
        <v>0</v>
      </c>
      <c r="Y14" s="573" t="s">
        <v>40</v>
      </c>
    </row>
    <row r="15" spans="1:59" ht="14.4" customHeight="1" x14ac:dyDescent="0.25">
      <c r="A15" s="16" t="s">
        <v>475</v>
      </c>
      <c r="B15" s="88">
        <v>1.1485999999999999E-4</v>
      </c>
      <c r="C15" s="48">
        <v>0</v>
      </c>
      <c r="D15" s="48">
        <v>0</v>
      </c>
      <c r="E15" s="48">
        <v>475.24840560600001</v>
      </c>
      <c r="F15" s="48">
        <v>146.8120907</v>
      </c>
      <c r="G15" s="48">
        <v>0</v>
      </c>
      <c r="H15" s="48">
        <v>11.847306489999999</v>
      </c>
      <c r="I15" s="48">
        <v>1.2634600000000001E-3</v>
      </c>
      <c r="J15" s="48">
        <v>0</v>
      </c>
      <c r="K15" s="48">
        <v>0</v>
      </c>
      <c r="L15" s="48">
        <v>0</v>
      </c>
      <c r="M15" s="48">
        <v>2.2971999999999999E-4</v>
      </c>
      <c r="N15" s="48">
        <v>0</v>
      </c>
      <c r="O15" s="48">
        <v>0</v>
      </c>
      <c r="P15" s="48">
        <v>0</v>
      </c>
      <c r="Q15" s="48">
        <v>84.428160000000005</v>
      </c>
      <c r="R15" s="48">
        <v>5.7429999999999998E-3</v>
      </c>
      <c r="S15" s="48">
        <v>0</v>
      </c>
      <c r="T15" s="48">
        <v>0</v>
      </c>
      <c r="U15" s="48">
        <v>0</v>
      </c>
      <c r="V15" s="48">
        <v>0</v>
      </c>
      <c r="W15" s="89">
        <v>0</v>
      </c>
      <c r="Y15" s="574"/>
    </row>
    <row r="16" spans="1:59" ht="14.4" customHeight="1" x14ac:dyDescent="0.25">
      <c r="A16" s="16" t="s">
        <v>476</v>
      </c>
      <c r="B16" s="88">
        <v>0</v>
      </c>
      <c r="C16" s="48">
        <v>0</v>
      </c>
      <c r="D16" s="48">
        <v>4865.8730370000003</v>
      </c>
      <c r="E16" s="48">
        <v>63011.601208</v>
      </c>
      <c r="F16" s="48">
        <v>0</v>
      </c>
      <c r="G16" s="48">
        <v>0</v>
      </c>
      <c r="H16" s="48">
        <v>0</v>
      </c>
      <c r="I16" s="48">
        <v>0</v>
      </c>
      <c r="J16" s="48">
        <v>0</v>
      </c>
      <c r="K16" s="48">
        <v>0</v>
      </c>
      <c r="L16" s="48">
        <v>0</v>
      </c>
      <c r="M16" s="48">
        <v>0</v>
      </c>
      <c r="N16" s="48">
        <v>0</v>
      </c>
      <c r="O16" s="48">
        <v>0</v>
      </c>
      <c r="P16" s="48">
        <v>0</v>
      </c>
      <c r="Q16" s="48">
        <v>0</v>
      </c>
      <c r="R16" s="48">
        <v>0</v>
      </c>
      <c r="S16" s="48">
        <v>0</v>
      </c>
      <c r="T16" s="48">
        <v>116375.81140000001</v>
      </c>
      <c r="U16" s="48">
        <v>0</v>
      </c>
      <c r="V16" s="48">
        <v>0</v>
      </c>
      <c r="W16" s="89">
        <v>269435.38</v>
      </c>
      <c r="Y16" s="574"/>
    </row>
    <row r="17" spans="1:25" ht="14.4" customHeight="1" x14ac:dyDescent="0.25">
      <c r="A17" s="483" t="s">
        <v>555</v>
      </c>
      <c r="B17" s="88">
        <v>0</v>
      </c>
      <c r="C17" s="48">
        <v>0</v>
      </c>
      <c r="D17" s="48">
        <v>0</v>
      </c>
      <c r="E17" s="48">
        <v>14539.267381760001</v>
      </c>
      <c r="F17" s="48">
        <v>0</v>
      </c>
      <c r="G17" s="48">
        <v>0</v>
      </c>
      <c r="H17" s="48">
        <v>0</v>
      </c>
      <c r="I17" s="48">
        <v>0</v>
      </c>
      <c r="J17" s="48">
        <v>0</v>
      </c>
      <c r="K17" s="48">
        <v>0</v>
      </c>
      <c r="L17" s="48">
        <v>0</v>
      </c>
      <c r="M17" s="48">
        <v>2106.695847</v>
      </c>
      <c r="N17" s="48">
        <v>0</v>
      </c>
      <c r="O17" s="48">
        <v>0</v>
      </c>
      <c r="P17" s="48">
        <v>0</v>
      </c>
      <c r="Q17" s="48">
        <v>1546.6</v>
      </c>
      <c r="R17" s="48">
        <v>0</v>
      </c>
      <c r="S17" s="48">
        <v>0</v>
      </c>
      <c r="T17" s="48">
        <v>0</v>
      </c>
      <c r="U17" s="48">
        <v>0</v>
      </c>
      <c r="V17" s="48">
        <v>0</v>
      </c>
      <c r="W17" s="89">
        <v>0</v>
      </c>
      <c r="Y17" s="574"/>
    </row>
    <row r="18" spans="1:25" ht="14.4" customHeight="1" x14ac:dyDescent="0.25">
      <c r="A18" s="483" t="s">
        <v>477</v>
      </c>
      <c r="B18" s="88">
        <v>0.22120799999999999</v>
      </c>
      <c r="C18" s="48">
        <v>0</v>
      </c>
      <c r="D18" s="48">
        <v>0</v>
      </c>
      <c r="E18" s="48">
        <v>5771.9637664692</v>
      </c>
      <c r="F18" s="48">
        <v>325.75589930000001</v>
      </c>
      <c r="G18" s="48">
        <v>0</v>
      </c>
      <c r="H18" s="48">
        <v>4.8958222500000002</v>
      </c>
      <c r="I18" s="48">
        <v>0</v>
      </c>
      <c r="J18" s="48">
        <v>0</v>
      </c>
      <c r="K18" s="48">
        <v>0</v>
      </c>
      <c r="L18" s="48">
        <v>0</v>
      </c>
      <c r="M18" s="48">
        <v>0.55460005733000006</v>
      </c>
      <c r="N18" s="48">
        <v>0</v>
      </c>
      <c r="O18" s="48">
        <v>0.81498132000000001</v>
      </c>
      <c r="P18" s="48">
        <v>0</v>
      </c>
      <c r="Q18" s="48">
        <v>109.3278</v>
      </c>
      <c r="R18" s="48">
        <v>0</v>
      </c>
      <c r="S18" s="48">
        <v>0</v>
      </c>
      <c r="T18" s="48">
        <v>0</v>
      </c>
      <c r="U18" s="48">
        <v>0</v>
      </c>
      <c r="V18" s="48">
        <v>0</v>
      </c>
      <c r="W18" s="89">
        <v>741.8</v>
      </c>
      <c r="Y18" s="574"/>
    </row>
    <row r="19" spans="1:25" ht="14.4" customHeight="1" x14ac:dyDescent="0.25">
      <c r="A19" s="483" t="s">
        <v>478</v>
      </c>
      <c r="B19" s="88">
        <v>50.029452139</v>
      </c>
      <c r="C19" s="48">
        <v>253105.9999739</v>
      </c>
      <c r="D19" s="48">
        <v>0</v>
      </c>
      <c r="E19" s="48">
        <v>357.56480950299999</v>
      </c>
      <c r="F19" s="48">
        <v>249.914861</v>
      </c>
      <c r="G19" s="48">
        <v>0</v>
      </c>
      <c r="H19" s="48">
        <v>0</v>
      </c>
      <c r="I19" s="48">
        <v>0.4535478195</v>
      </c>
      <c r="J19" s="48">
        <v>56889.437315000003</v>
      </c>
      <c r="K19" s="48">
        <v>110.0282756</v>
      </c>
      <c r="L19" s="48">
        <v>0</v>
      </c>
      <c r="M19" s="48">
        <v>0</v>
      </c>
      <c r="N19" s="48">
        <v>73.352183731000011</v>
      </c>
      <c r="O19" s="48">
        <v>64.845371596000007</v>
      </c>
      <c r="P19" s="48">
        <v>0</v>
      </c>
      <c r="Q19" s="48">
        <v>11.68539431</v>
      </c>
      <c r="R19" s="48">
        <v>0</v>
      </c>
      <c r="S19" s="48">
        <v>146.70436742000001</v>
      </c>
      <c r="T19" s="48">
        <v>398483.96078999998</v>
      </c>
      <c r="U19" s="48">
        <v>1135976.3799999999</v>
      </c>
      <c r="V19" s="48">
        <v>0</v>
      </c>
      <c r="W19" s="89">
        <v>617777.75</v>
      </c>
      <c r="Y19" s="574"/>
    </row>
    <row r="20" spans="1:25" ht="14.4" customHeight="1" x14ac:dyDescent="0.25">
      <c r="A20" s="483" t="s">
        <v>556</v>
      </c>
      <c r="B20" s="88">
        <v>540.79139999999995</v>
      </c>
      <c r="C20" s="48">
        <v>0</v>
      </c>
      <c r="D20" s="48">
        <v>0</v>
      </c>
      <c r="E20" s="48">
        <v>8724.4577400900016</v>
      </c>
      <c r="F20" s="48">
        <v>1441.25069936</v>
      </c>
      <c r="G20" s="48">
        <v>0</v>
      </c>
      <c r="H20" s="48">
        <v>0</v>
      </c>
      <c r="I20" s="48">
        <v>0</v>
      </c>
      <c r="J20" s="48">
        <v>0</v>
      </c>
      <c r="K20" s="48">
        <v>0</v>
      </c>
      <c r="L20" s="48">
        <v>264.00839999999999</v>
      </c>
      <c r="M20" s="48">
        <v>44.978623399999996</v>
      </c>
      <c r="N20" s="48">
        <v>0</v>
      </c>
      <c r="O20" s="48">
        <v>0</v>
      </c>
      <c r="P20" s="48">
        <v>32573.281599999998</v>
      </c>
      <c r="Q20" s="48">
        <v>220.1612719</v>
      </c>
      <c r="R20" s="48">
        <v>0</v>
      </c>
      <c r="S20" s="48">
        <v>0</v>
      </c>
      <c r="T20" s="48">
        <v>0</v>
      </c>
      <c r="U20" s="48">
        <v>0</v>
      </c>
      <c r="V20" s="48">
        <v>0</v>
      </c>
      <c r="W20" s="89">
        <v>259260.6</v>
      </c>
      <c r="Y20" s="574"/>
    </row>
    <row r="21" spans="1:25" ht="14.4" customHeight="1" x14ac:dyDescent="0.25">
      <c r="A21" s="483" t="s">
        <v>41</v>
      </c>
      <c r="B21" s="88">
        <v>0</v>
      </c>
      <c r="C21" s="48">
        <v>0</v>
      </c>
      <c r="D21" s="48">
        <v>0</v>
      </c>
      <c r="E21" s="48">
        <v>56505.299135309593</v>
      </c>
      <c r="F21" s="48">
        <v>7595.0569216399999</v>
      </c>
      <c r="G21" s="48">
        <v>0</v>
      </c>
      <c r="H21" s="48">
        <v>0</v>
      </c>
      <c r="I21" s="48">
        <v>7.60817897</v>
      </c>
      <c r="J21" s="48">
        <v>190.20447425</v>
      </c>
      <c r="K21" s="48">
        <v>0</v>
      </c>
      <c r="L21" s="48">
        <v>0</v>
      </c>
      <c r="M21" s="48">
        <v>0</v>
      </c>
      <c r="N21" s="48">
        <v>0</v>
      </c>
      <c r="O21" s="48">
        <v>0</v>
      </c>
      <c r="P21" s="48">
        <v>0</v>
      </c>
      <c r="Q21" s="48">
        <v>3904.3272035599989</v>
      </c>
      <c r="R21" s="48">
        <v>0</v>
      </c>
      <c r="S21" s="48">
        <v>0</v>
      </c>
      <c r="T21" s="48">
        <v>0</v>
      </c>
      <c r="U21" s="48">
        <v>362710.7</v>
      </c>
      <c r="V21" s="48">
        <v>0</v>
      </c>
      <c r="W21" s="89">
        <v>0</v>
      </c>
      <c r="Y21" s="574"/>
    </row>
    <row r="22" spans="1:25" ht="14.4" customHeight="1" x14ac:dyDescent="0.25">
      <c r="A22" s="483" t="s">
        <v>479</v>
      </c>
      <c r="B22" s="88">
        <v>2.0928000000000001E-3</v>
      </c>
      <c r="C22" s="48">
        <v>0</v>
      </c>
      <c r="D22" s="48">
        <v>41.915439999999997</v>
      </c>
      <c r="E22" s="48">
        <v>31998.599230579999</v>
      </c>
      <c r="F22" s="48">
        <v>163.13909092</v>
      </c>
      <c r="G22" s="48">
        <v>0</v>
      </c>
      <c r="H22" s="48">
        <v>0</v>
      </c>
      <c r="I22" s="48">
        <v>4.4705986850000006</v>
      </c>
      <c r="J22" s="48">
        <v>111.76496713</v>
      </c>
      <c r="K22" s="48">
        <v>0</v>
      </c>
      <c r="L22" s="48">
        <v>0</v>
      </c>
      <c r="M22" s="48">
        <v>0</v>
      </c>
      <c r="N22" s="48">
        <v>0</v>
      </c>
      <c r="O22" s="48">
        <v>0</v>
      </c>
      <c r="P22" s="48">
        <v>0</v>
      </c>
      <c r="Q22" s="48">
        <v>187.09564119999999</v>
      </c>
      <c r="R22" s="48">
        <v>0</v>
      </c>
      <c r="S22" s="48">
        <v>0</v>
      </c>
      <c r="T22" s="48">
        <v>0</v>
      </c>
      <c r="U22" s="48">
        <v>274480.42</v>
      </c>
      <c r="V22" s="48">
        <v>0</v>
      </c>
      <c r="W22" s="89">
        <v>0</v>
      </c>
      <c r="Y22" s="574"/>
    </row>
    <row r="23" spans="1:25" ht="14.4" customHeight="1" x14ac:dyDescent="0.25">
      <c r="A23" s="483" t="s">
        <v>480</v>
      </c>
      <c r="B23" s="88">
        <v>0</v>
      </c>
      <c r="C23" s="48">
        <v>0</v>
      </c>
      <c r="D23" s="48">
        <v>0</v>
      </c>
      <c r="E23" s="48">
        <v>16803.3260137</v>
      </c>
      <c r="F23" s="48">
        <v>0</v>
      </c>
      <c r="G23" s="48">
        <v>1214.1131518</v>
      </c>
      <c r="H23" s="48">
        <v>0</v>
      </c>
      <c r="I23" s="48">
        <v>0</v>
      </c>
      <c r="J23" s="48">
        <v>0</v>
      </c>
      <c r="K23" s="48">
        <v>0</v>
      </c>
      <c r="L23" s="48">
        <v>0</v>
      </c>
      <c r="M23" s="48">
        <v>14.3894892</v>
      </c>
      <c r="N23" s="48">
        <v>0</v>
      </c>
      <c r="O23" s="48">
        <v>0</v>
      </c>
      <c r="P23" s="48">
        <v>0</v>
      </c>
      <c r="Q23" s="48">
        <v>0</v>
      </c>
      <c r="R23" s="48">
        <v>0</v>
      </c>
      <c r="S23" s="48">
        <v>0</v>
      </c>
      <c r="T23" s="48">
        <v>0</v>
      </c>
      <c r="U23" s="48">
        <v>156915.96</v>
      </c>
      <c r="V23" s="48">
        <v>525244.63</v>
      </c>
      <c r="W23" s="89">
        <v>472057</v>
      </c>
      <c r="Y23" s="574"/>
    </row>
    <row r="24" spans="1:25" ht="14.7" customHeight="1" thickBot="1" x14ac:dyDescent="0.3">
      <c r="A24" s="484" t="s">
        <v>575</v>
      </c>
      <c r="B24" s="90">
        <v>0</v>
      </c>
      <c r="C24" s="51">
        <v>0</v>
      </c>
      <c r="D24" s="51">
        <v>0</v>
      </c>
      <c r="E24" s="51">
        <v>2241.4709888000002</v>
      </c>
      <c r="F24" s="51">
        <v>0</v>
      </c>
      <c r="G24" s="51">
        <v>0</v>
      </c>
      <c r="H24" s="51">
        <v>0</v>
      </c>
      <c r="I24" s="51">
        <v>0</v>
      </c>
      <c r="J24" s="51">
        <v>0</v>
      </c>
      <c r="K24" s="51">
        <v>0</v>
      </c>
      <c r="L24" s="51">
        <v>0</v>
      </c>
      <c r="M24" s="51">
        <v>0</v>
      </c>
      <c r="N24" s="51">
        <v>0</v>
      </c>
      <c r="O24" s="51">
        <v>0</v>
      </c>
      <c r="P24" s="51">
        <v>0</v>
      </c>
      <c r="Q24" s="51">
        <v>405.02646199999998</v>
      </c>
      <c r="R24" s="51">
        <v>0</v>
      </c>
      <c r="S24" s="51">
        <v>0</v>
      </c>
      <c r="T24" s="51">
        <v>0</v>
      </c>
      <c r="U24" s="51">
        <v>0</v>
      </c>
      <c r="V24" s="51">
        <v>0</v>
      </c>
      <c r="W24" s="91">
        <v>0</v>
      </c>
      <c r="Y24" s="575"/>
    </row>
    <row r="25" spans="1:25" ht="12.6" thickBot="1" x14ac:dyDescent="0.3"/>
    <row r="26" spans="1:25" ht="12.6" thickBot="1" x14ac:dyDescent="0.3">
      <c r="A26" s="257" t="s">
        <v>79</v>
      </c>
      <c r="B26" s="232">
        <f>SUM(B14:B24)</f>
        <v>591.10906779899994</v>
      </c>
      <c r="C26" s="232">
        <f t="shared" ref="C26:Q26" si="1">SUM(C14:C24)</f>
        <v>253105.9999739</v>
      </c>
      <c r="D26" s="232">
        <f t="shared" si="1"/>
        <v>7424.4264204999999</v>
      </c>
      <c r="E26" s="232">
        <f>SUM(E14:E24)</f>
        <v>290317.07780045579</v>
      </c>
      <c r="F26" s="232">
        <f t="shared" si="1"/>
        <v>14670.702775020001</v>
      </c>
      <c r="G26" s="232">
        <f t="shared" si="1"/>
        <v>1214.1131518</v>
      </c>
      <c r="H26" s="232">
        <f t="shared" si="1"/>
        <v>19.011210779999999</v>
      </c>
      <c r="I26" s="232">
        <f t="shared" si="1"/>
        <v>31.332975414499998</v>
      </c>
      <c r="J26" s="232">
        <f t="shared" si="1"/>
        <v>57661.403581580009</v>
      </c>
      <c r="K26" s="232">
        <f t="shared" si="1"/>
        <v>110.0282756</v>
      </c>
      <c r="L26" s="232">
        <f t="shared" si="1"/>
        <v>264.00839999999999</v>
      </c>
      <c r="M26" s="232">
        <f t="shared" si="1"/>
        <v>2166.6187893773294</v>
      </c>
      <c r="N26" s="232">
        <f t="shared" si="1"/>
        <v>73.352183731000011</v>
      </c>
      <c r="O26" s="232">
        <f t="shared" si="1"/>
        <v>66.59350331600001</v>
      </c>
      <c r="P26" s="232">
        <f t="shared" si="1"/>
        <v>32573.281599999998</v>
      </c>
      <c r="Q26" s="232">
        <f t="shared" si="1"/>
        <v>8268.1192318899975</v>
      </c>
      <c r="R26" s="232">
        <f>SUM(R14:R24)</f>
        <v>5.7429999999999998E-3</v>
      </c>
      <c r="S26" s="232">
        <f t="shared" ref="S26:W26" si="2">SUM(S14:S24)</f>
        <v>146.70436742000001</v>
      </c>
      <c r="T26" s="232">
        <f t="shared" si="2"/>
        <v>514859.77218999999</v>
      </c>
      <c r="U26" s="232">
        <f t="shared" si="2"/>
        <v>1930083.4599999997</v>
      </c>
      <c r="V26" s="232">
        <f t="shared" si="2"/>
        <v>525244.63</v>
      </c>
      <c r="W26" s="41">
        <f t="shared" si="2"/>
        <v>1619272.53</v>
      </c>
    </row>
  </sheetData>
  <mergeCells count="10">
    <mergeCell ref="F1:M1"/>
    <mergeCell ref="N1:T1"/>
    <mergeCell ref="U1:W1"/>
    <mergeCell ref="X1:AC1"/>
    <mergeCell ref="AD1:BD1"/>
    <mergeCell ref="Y14:Y24"/>
    <mergeCell ref="C3:C10"/>
    <mergeCell ref="D3:D10"/>
    <mergeCell ref="E3:E10"/>
    <mergeCell ref="A3:A11"/>
  </mergeCells>
  <phoneticPr fontId="43" type="noConversion"/>
  <pageMargins left="0.7" right="0.7" top="0.75" bottom="0.75" header="0.3" footer="0.3"/>
  <pageSetup paperSize="9" orientation="portrait" horizontalDpi="4294967293" verticalDpi="0"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0C38AD-0AEF-4D17-A21C-B05AC0D6B547}">
  <sheetPr>
    <tabColor theme="5" tint="0.39997558519241921"/>
  </sheetPr>
  <dimension ref="A1:BG168"/>
  <sheetViews>
    <sheetView topLeftCell="F1" zoomScaleNormal="100" workbookViewId="0">
      <selection activeCell="M3" sqref="M3"/>
    </sheetView>
  </sheetViews>
  <sheetFormatPr defaultColWidth="8.88671875" defaultRowHeight="12" x14ac:dyDescent="0.25"/>
  <cols>
    <col min="1" max="1" width="17" style="258" customWidth="1"/>
    <col min="2" max="2" width="24.88671875" style="258" customWidth="1"/>
    <col min="3" max="5" width="8.88671875" style="258"/>
    <col min="6" max="6" width="9.44140625" style="258" bestFit="1" customWidth="1"/>
    <col min="7" max="7" width="9.33203125" style="258" bestFit="1" customWidth="1"/>
    <col min="8" max="8" width="12.44140625" style="258" bestFit="1" customWidth="1"/>
    <col min="9" max="10" width="9.33203125" style="258" customWidth="1"/>
    <col min="11" max="11" width="13" style="258" bestFit="1" customWidth="1"/>
    <col min="12" max="12" width="12" style="258" bestFit="1" customWidth="1"/>
    <col min="13" max="14" width="12.44140625" style="258" bestFit="1" customWidth="1"/>
    <col min="15" max="15" width="12" style="258" bestFit="1" customWidth="1"/>
    <col min="16" max="16" width="12.44140625" style="258" bestFit="1" customWidth="1"/>
    <col min="17" max="18" width="8.88671875" style="258" bestFit="1" customWidth="1"/>
    <col min="19" max="20" width="12" style="258" bestFit="1" customWidth="1"/>
    <col min="21" max="22" width="12.44140625" style="258" bestFit="1" customWidth="1"/>
    <col min="23" max="24" width="8.88671875" style="258" bestFit="1" customWidth="1"/>
    <col min="25" max="25" width="12.44140625" style="258" bestFit="1" customWidth="1"/>
    <col min="26" max="27" width="8.88671875" style="258" bestFit="1" customWidth="1"/>
    <col min="28" max="36" width="8.88671875" style="258"/>
    <col min="37" max="37" width="13.44140625" style="258" bestFit="1" customWidth="1"/>
    <col min="38" max="38" width="8.88671875" style="258"/>
    <col min="39" max="39" width="8.88671875" style="258" bestFit="1" customWidth="1"/>
    <col min="40" max="16384" width="8.88671875" style="258"/>
  </cols>
  <sheetData>
    <row r="1" spans="1:59" s="48" customFormat="1" ht="12.6" thickBot="1" x14ac:dyDescent="0.3">
      <c r="A1" s="243"/>
      <c r="B1" s="244"/>
      <c r="C1" s="245"/>
      <c r="D1" s="246"/>
      <c r="E1" s="247"/>
      <c r="F1" s="635" t="s">
        <v>557</v>
      </c>
      <c r="G1" s="636"/>
      <c r="H1" s="636"/>
      <c r="I1" s="636"/>
      <c r="J1" s="636"/>
      <c r="K1" s="636"/>
      <c r="L1" s="636"/>
      <c r="M1" s="637"/>
      <c r="N1" s="635" t="s">
        <v>457</v>
      </c>
      <c r="O1" s="636"/>
      <c r="P1" s="636"/>
      <c r="Q1" s="636"/>
      <c r="R1" s="636"/>
      <c r="S1" s="636"/>
      <c r="T1" s="637"/>
      <c r="U1" s="635" t="s">
        <v>458</v>
      </c>
      <c r="V1" s="636"/>
      <c r="W1" s="637"/>
      <c r="X1" s="635" t="s">
        <v>452</v>
      </c>
      <c r="Y1" s="636"/>
      <c r="Z1" s="636"/>
      <c r="AA1" s="636"/>
      <c r="AB1" s="636"/>
      <c r="AC1" s="637"/>
      <c r="AD1" s="635" t="s">
        <v>4</v>
      </c>
      <c r="AE1" s="636"/>
      <c r="AF1" s="636"/>
      <c r="AG1" s="636"/>
      <c r="AH1" s="636"/>
      <c r="AI1" s="636"/>
      <c r="AJ1" s="636"/>
      <c r="AK1" s="636"/>
      <c r="AL1" s="636"/>
      <c r="AM1" s="636"/>
      <c r="AN1" s="636"/>
      <c r="AO1" s="636"/>
      <c r="AP1" s="636"/>
      <c r="AQ1" s="636"/>
      <c r="AR1" s="636"/>
      <c r="AS1" s="636"/>
      <c r="AT1" s="636"/>
      <c r="AU1" s="636"/>
      <c r="AV1" s="636"/>
      <c r="AW1" s="636"/>
      <c r="AX1" s="636"/>
      <c r="AY1" s="636"/>
      <c r="AZ1" s="636"/>
      <c r="BA1" s="636"/>
      <c r="BB1" s="636"/>
      <c r="BC1" s="636"/>
      <c r="BD1" s="637"/>
      <c r="BE1" s="246"/>
      <c r="BF1" s="245"/>
      <c r="BG1" s="245"/>
    </row>
    <row r="2" spans="1:59" s="232" customFormat="1" ht="36.6" thickBot="1" x14ac:dyDescent="0.3">
      <c r="A2" s="487" t="s">
        <v>538</v>
      </c>
      <c r="B2" s="453" t="s">
        <v>5</v>
      </c>
      <c r="C2" s="454" t="s">
        <v>101</v>
      </c>
      <c r="D2" s="455" t="s">
        <v>437</v>
      </c>
      <c r="E2" s="456" t="s">
        <v>438</v>
      </c>
      <c r="F2" s="137" t="s">
        <v>82</v>
      </c>
      <c r="G2" s="138" t="s">
        <v>439</v>
      </c>
      <c r="H2" s="138" t="s">
        <v>136</v>
      </c>
      <c r="I2" s="138" t="s">
        <v>440</v>
      </c>
      <c r="J2" s="138" t="s">
        <v>315</v>
      </c>
      <c r="K2" s="138" t="s">
        <v>441</v>
      </c>
      <c r="L2" s="138" t="s">
        <v>684</v>
      </c>
      <c r="M2" s="138" t="s">
        <v>443</v>
      </c>
      <c r="N2" s="137" t="s">
        <v>444</v>
      </c>
      <c r="O2" s="138" t="s">
        <v>81</v>
      </c>
      <c r="P2" s="138" t="s">
        <v>7</v>
      </c>
      <c r="Q2" s="138" t="s">
        <v>127</v>
      </c>
      <c r="R2" s="138" t="s">
        <v>445</v>
      </c>
      <c r="S2" s="138" t="s">
        <v>446</v>
      </c>
      <c r="T2" s="139" t="s">
        <v>447</v>
      </c>
      <c r="U2" s="138" t="s">
        <v>448</v>
      </c>
      <c r="V2" s="138" t="s">
        <v>449</v>
      </c>
      <c r="W2" s="138" t="s">
        <v>450</v>
      </c>
      <c r="X2" s="137" t="s">
        <v>84</v>
      </c>
      <c r="Y2" s="138" t="s">
        <v>451</v>
      </c>
      <c r="Z2" s="138" t="s">
        <v>452</v>
      </c>
      <c r="AA2" s="138" t="s">
        <v>83</v>
      </c>
      <c r="AB2" s="138" t="s">
        <v>453</v>
      </c>
      <c r="AC2" s="139" t="s">
        <v>454</v>
      </c>
      <c r="AD2" s="137" t="s">
        <v>9</v>
      </c>
      <c r="AE2" s="138" t="s">
        <v>10</v>
      </c>
      <c r="AF2" s="138" t="s">
        <v>11</v>
      </c>
      <c r="AG2" s="138" t="s">
        <v>12</v>
      </c>
      <c r="AH2" s="138" t="s">
        <v>13</v>
      </c>
      <c r="AI2" s="138" t="s">
        <v>14</v>
      </c>
      <c r="AJ2" s="138" t="s">
        <v>15</v>
      </c>
      <c r="AK2" s="138" t="s">
        <v>16</v>
      </c>
      <c r="AL2" s="138" t="s">
        <v>17</v>
      </c>
      <c r="AM2" s="140" t="s">
        <v>18</v>
      </c>
      <c r="AN2" s="140" t="s">
        <v>19</v>
      </c>
      <c r="AO2" s="140" t="s">
        <v>20</v>
      </c>
      <c r="AP2" s="140" t="s">
        <v>21</v>
      </c>
      <c r="AQ2" s="140" t="s">
        <v>22</v>
      </c>
      <c r="AR2" s="140" t="s">
        <v>23</v>
      </c>
      <c r="AS2" s="140" t="s">
        <v>24</v>
      </c>
      <c r="AT2" s="140" t="s">
        <v>25</v>
      </c>
      <c r="AU2" s="140" t="s">
        <v>26</v>
      </c>
      <c r="AV2" s="140" t="s">
        <v>27</v>
      </c>
      <c r="AW2" s="140" t="s">
        <v>28</v>
      </c>
      <c r="AX2" s="140" t="s">
        <v>29</v>
      </c>
      <c r="AY2" s="140" t="s">
        <v>30</v>
      </c>
      <c r="AZ2" s="140" t="s">
        <v>31</v>
      </c>
      <c r="BA2" s="140" t="s">
        <v>32</v>
      </c>
      <c r="BB2" s="140" t="s">
        <v>33</v>
      </c>
      <c r="BC2" s="140" t="s">
        <v>34</v>
      </c>
      <c r="BD2" s="140" t="s">
        <v>35</v>
      </c>
      <c r="BE2" s="141" t="s">
        <v>459</v>
      </c>
      <c r="BF2" s="142"/>
      <c r="BG2" s="143" t="s">
        <v>79</v>
      </c>
    </row>
    <row r="3" spans="1:59" s="298" customFormat="1" ht="36.6" thickBot="1" x14ac:dyDescent="0.3">
      <c r="A3" s="488" t="s">
        <v>638</v>
      </c>
      <c r="B3" s="492" t="s">
        <v>576</v>
      </c>
      <c r="C3" s="490" t="s">
        <v>38</v>
      </c>
      <c r="D3" s="491">
        <v>2018</v>
      </c>
      <c r="E3" s="489" t="s">
        <v>428</v>
      </c>
      <c r="F3" s="300">
        <f>'2.2.b'!F15</f>
        <v>12150469.276951812</v>
      </c>
      <c r="G3" s="300">
        <f>'2.2.b'!G15</f>
        <v>0</v>
      </c>
      <c r="H3" s="300">
        <f>'2.2.b'!H15</f>
        <v>39002.327218395039</v>
      </c>
      <c r="I3" s="300">
        <f>'2.2.b'!I15</f>
        <v>27963300.579163108</v>
      </c>
      <c r="J3" s="301"/>
      <c r="K3" s="301"/>
      <c r="L3" s="301"/>
      <c r="M3" s="302"/>
      <c r="N3" s="300">
        <f>'2.2.b'!L15</f>
        <v>1757858.1946005577</v>
      </c>
      <c r="O3" s="300">
        <f>'2.2.b'!M15</f>
        <v>32634.836593877462</v>
      </c>
      <c r="P3" s="300">
        <f>'2.2.b'!N15</f>
        <v>5773.4221278774603</v>
      </c>
      <c r="Q3" s="300">
        <f>'2.2.b'!Y15</f>
        <v>0</v>
      </c>
      <c r="R3" s="300"/>
      <c r="S3" s="300"/>
      <c r="T3" s="300">
        <f>'2.2.b'!O15</f>
        <v>780.84930814804648</v>
      </c>
      <c r="U3" s="299">
        <f>'2.2.b'!P15</f>
        <v>45222.823810877439</v>
      </c>
      <c r="V3" s="232"/>
      <c r="W3" s="41"/>
      <c r="X3" s="300">
        <f>'2.2.b'!S15</f>
        <v>18258.491539187333</v>
      </c>
      <c r="Y3" s="300">
        <f>'2.2.b'!T15</f>
        <v>1566.1667838471578</v>
      </c>
      <c r="Z3" s="300">
        <f>'2.2.b'!U15</f>
        <v>536.2205003920667</v>
      </c>
      <c r="AA3" s="300">
        <f>'2.2.b'!V15</f>
        <v>470.0799999999997</v>
      </c>
      <c r="AB3" s="232"/>
      <c r="AC3" s="41"/>
      <c r="BG3" s="298">
        <f>SUM(F3:BD3)</f>
        <v>42015873.26859808</v>
      </c>
    </row>
    <row r="4" spans="1:59" ht="12.6" thickBot="1" x14ac:dyDescent="0.3"/>
    <row r="5" spans="1:59" ht="12.6" thickBot="1" x14ac:dyDescent="0.3">
      <c r="A5" s="259"/>
      <c r="B5" s="260"/>
      <c r="C5" s="261"/>
      <c r="D5" s="262"/>
      <c r="E5" s="263"/>
      <c r="F5" s="638" t="s">
        <v>0</v>
      </c>
      <c r="G5" s="639"/>
      <c r="H5" s="639"/>
      <c r="I5" s="639"/>
      <c r="J5" s="639"/>
      <c r="K5" s="640"/>
      <c r="L5" s="638" t="s">
        <v>251</v>
      </c>
      <c r="M5" s="639"/>
      <c r="N5" s="639"/>
      <c r="O5" s="640"/>
      <c r="P5" s="638" t="s">
        <v>2</v>
      </c>
      <c r="Q5" s="639"/>
      <c r="R5" s="640"/>
      <c r="S5" s="638" t="s">
        <v>3</v>
      </c>
      <c r="T5" s="639"/>
      <c r="U5" s="639"/>
      <c r="V5" s="639"/>
      <c r="W5" s="639"/>
      <c r="X5" s="264"/>
    </row>
    <row r="6" spans="1:59" ht="36.6" thickBot="1" x14ac:dyDescent="0.3">
      <c r="A6" s="265" t="s">
        <v>538</v>
      </c>
      <c r="B6" s="266" t="s">
        <v>5</v>
      </c>
      <c r="C6" s="267" t="s">
        <v>101</v>
      </c>
      <c r="D6" s="268" t="s">
        <v>437</v>
      </c>
      <c r="E6" s="265" t="s">
        <v>438</v>
      </c>
      <c r="F6" s="485" t="s">
        <v>82</v>
      </c>
      <c r="G6" s="486" t="s">
        <v>439</v>
      </c>
      <c r="H6" s="486" t="s">
        <v>136</v>
      </c>
      <c r="I6" s="486" t="s">
        <v>440</v>
      </c>
      <c r="J6" s="486" t="s">
        <v>315</v>
      </c>
      <c r="K6" s="486" t="s">
        <v>452</v>
      </c>
      <c r="L6" s="270" t="s">
        <v>549</v>
      </c>
      <c r="M6" s="269" t="s">
        <v>81</v>
      </c>
      <c r="N6" s="269" t="s">
        <v>7</v>
      </c>
      <c r="O6" s="271" t="s">
        <v>545</v>
      </c>
      <c r="P6" s="269" t="s">
        <v>448</v>
      </c>
      <c r="Q6" s="269" t="s">
        <v>449</v>
      </c>
      <c r="R6" s="269" t="s">
        <v>577</v>
      </c>
      <c r="S6" s="287" t="s">
        <v>84</v>
      </c>
      <c r="T6" s="288" t="s">
        <v>8</v>
      </c>
      <c r="U6" s="288" t="s">
        <v>452</v>
      </c>
      <c r="V6" s="288" t="s">
        <v>83</v>
      </c>
      <c r="W6" s="288" t="s">
        <v>453</v>
      </c>
      <c r="X6" s="289" t="s">
        <v>578</v>
      </c>
      <c r="Z6" s="286" t="s">
        <v>6</v>
      </c>
    </row>
    <row r="7" spans="1:59" s="273" customFormat="1" ht="14.4" customHeight="1" x14ac:dyDescent="0.25">
      <c r="A7" s="641" t="s">
        <v>637</v>
      </c>
      <c r="B7" s="272" t="s">
        <v>676</v>
      </c>
      <c r="C7" s="647" t="s">
        <v>38</v>
      </c>
      <c r="D7" s="650">
        <v>2018</v>
      </c>
      <c r="E7" s="653" t="s">
        <v>428</v>
      </c>
      <c r="F7" s="86">
        <f>(E25+G25+R25+T25+V25)*1000</f>
        <v>10848836.823818568</v>
      </c>
      <c r="G7" s="47"/>
      <c r="H7" s="47">
        <f>(E43+G43+R43+T43+V43)*1000</f>
        <v>39002.327218395039</v>
      </c>
      <c r="I7" s="47">
        <f>(E24+G24+R24+T24+V24)*1000+(E39+G39+R39+T39+V39)*1000</f>
        <v>27956082.018310107</v>
      </c>
      <c r="J7" s="47"/>
      <c r="K7" s="87"/>
      <c r="L7" s="47">
        <f>(E23+G23+R23+T23+V23)*1000</f>
        <v>1598615.8761245704</v>
      </c>
      <c r="M7" s="47">
        <f>(E31+G31+R31+T31+V31)*1000</f>
        <v>32143.976593877505</v>
      </c>
      <c r="N7" s="47">
        <f>(E35+G35+R35+T35+V35)*1000</f>
        <v>387.17518792763434</v>
      </c>
      <c r="O7" s="47">
        <f>(E33+R33+T33+V33)*1000+(E32+G32+R32+T32+V32)*1000</f>
        <v>780.84930814804648</v>
      </c>
      <c r="P7" s="86">
        <f>(E30+G30+R30+T30+V30)*1000</f>
        <v>17571.522205415433</v>
      </c>
      <c r="Q7" s="47"/>
      <c r="R7" s="87"/>
      <c r="S7" s="86">
        <f>(E26+G26+R26+T26+V26)*1000+(E27+G27+R27+T27+V27)*1000+(E28+G28+R28+T28+V28)*1000+(E29+G29+R29+T29+V29)*1000+(E37+G37+R37+T37+V37)*1000</f>
        <v>14476.267616385641</v>
      </c>
      <c r="T7" s="47"/>
      <c r="U7" s="47">
        <f>(E34+G34+R34+T34+V34)*1000+(E36+G36+R36+T36+V36)*1000+(E40+G40+R40+T40+V40)*1000+(E41+G41+R41+T41+V41)*1000</f>
        <v>278.87475291001562</v>
      </c>
      <c r="V7" s="47"/>
      <c r="W7" s="47"/>
      <c r="X7" s="87"/>
      <c r="Z7" s="644" t="s">
        <v>428</v>
      </c>
    </row>
    <row r="8" spans="1:59" ht="14.4" customHeight="1" x14ac:dyDescent="0.25">
      <c r="A8" s="642"/>
      <c r="B8" s="274" t="s">
        <v>579</v>
      </c>
      <c r="C8" s="648"/>
      <c r="D8" s="651"/>
      <c r="E8" s="654"/>
      <c r="F8" s="88">
        <f>(I25+J25)*1000</f>
        <v>294424.92999998399</v>
      </c>
      <c r="G8" s="48"/>
      <c r="H8" s="48"/>
      <c r="I8" s="48"/>
      <c r="J8" s="48"/>
      <c r="K8" s="89"/>
      <c r="L8" s="48">
        <f>(I23+J23)*1000</f>
        <v>117816.03036001777</v>
      </c>
      <c r="M8" s="48">
        <f>(I31+J31)*1000</f>
        <v>490.85999999995767</v>
      </c>
      <c r="N8" s="48">
        <f>(I35+J35)*1000</f>
        <v>16.361999999999146</v>
      </c>
      <c r="O8" s="48">
        <f>(I33+J33)*1000+(I32+J32)*1000</f>
        <v>0</v>
      </c>
      <c r="P8" s="88">
        <f>(I30+J30)*1000</f>
        <v>3702.6283999997427</v>
      </c>
      <c r="Q8" s="48"/>
      <c r="R8" s="89"/>
      <c r="S8" s="88">
        <f>(I26+J26)*1000+(I27+J27)*1000+(I28+J28)*1000+(I29+J29)*1000+(I37+J37)*1000</f>
        <v>2455.5175199999612</v>
      </c>
      <c r="T8" s="48"/>
      <c r="U8" s="48">
        <f>(I34+J34)*1000+(I36+J36)*1000+(I40+J40)*1000+(I41+J41)*1000</f>
        <v>21.816000000001598</v>
      </c>
      <c r="V8" s="48"/>
      <c r="W8" s="48"/>
      <c r="X8" s="89"/>
      <c r="Z8" s="645"/>
    </row>
    <row r="9" spans="1:59" ht="14.4" customHeight="1" x14ac:dyDescent="0.25">
      <c r="A9" s="642"/>
      <c r="B9" s="274" t="s">
        <v>580</v>
      </c>
      <c r="C9" s="648"/>
      <c r="D9" s="651"/>
      <c r="E9" s="654"/>
      <c r="F9" s="88">
        <f>(K25+L25)*1000</f>
        <v>648055.7342923712</v>
      </c>
      <c r="G9" s="48"/>
      <c r="H9" s="48"/>
      <c r="I9" s="48"/>
      <c r="J9" s="48"/>
      <c r="K9" s="89"/>
      <c r="L9" s="48">
        <f>(K23+L23)*1000</f>
        <v>19265.094500575</v>
      </c>
      <c r="M9" s="48"/>
      <c r="N9" s="48">
        <f>L35*1000</f>
        <v>2150.9330665359726</v>
      </c>
      <c r="O9" s="48"/>
      <c r="P9" s="88">
        <f>L30*1000</f>
        <v>13866.45511605128</v>
      </c>
      <c r="Q9" s="48"/>
      <c r="R9" s="89"/>
      <c r="S9" s="88">
        <f>L37*1000</f>
        <v>1197.4860076001023</v>
      </c>
      <c r="T9" s="48"/>
      <c r="U9" s="48"/>
      <c r="V9" s="48"/>
      <c r="W9" s="48"/>
      <c r="X9" s="89"/>
      <c r="Z9" s="645"/>
    </row>
    <row r="10" spans="1:59" ht="14.4" customHeight="1" x14ac:dyDescent="0.25">
      <c r="A10" s="642"/>
      <c r="B10" s="274" t="s">
        <v>581</v>
      </c>
      <c r="C10" s="648"/>
      <c r="D10" s="651"/>
      <c r="E10" s="654"/>
      <c r="F10" s="88">
        <f>M25*1000</f>
        <v>174496.8599999992</v>
      </c>
      <c r="G10" s="48"/>
      <c r="H10" s="48"/>
      <c r="I10" s="48"/>
      <c r="J10" s="48"/>
      <c r="K10" s="89"/>
      <c r="L10" s="48">
        <f>M23*1000</f>
        <v>1329.4450000000049</v>
      </c>
      <c r="M10" s="48"/>
      <c r="N10" s="48"/>
      <c r="O10" s="48"/>
      <c r="P10" s="88"/>
      <c r="Q10" s="48"/>
      <c r="R10" s="89"/>
      <c r="S10" s="88"/>
      <c r="T10" s="48"/>
      <c r="U10" s="48"/>
      <c r="V10" s="48">
        <f>M42*1000</f>
        <v>470.0799999999997</v>
      </c>
      <c r="W10" s="48"/>
      <c r="X10" s="89"/>
      <c r="Z10" s="645"/>
    </row>
    <row r="11" spans="1:59" ht="14.4" customHeight="1" x14ac:dyDescent="0.25">
      <c r="A11" s="642"/>
      <c r="B11" s="274" t="s">
        <v>582</v>
      </c>
      <c r="C11" s="648"/>
      <c r="D11" s="651"/>
      <c r="E11" s="654"/>
      <c r="F11" s="88">
        <f>N25*1000</f>
        <v>109497.0288408872</v>
      </c>
      <c r="G11" s="48"/>
      <c r="H11" s="48"/>
      <c r="I11" s="48">
        <f>N39*1000</f>
        <v>7218.5608529999945</v>
      </c>
      <c r="J11" s="48"/>
      <c r="K11" s="89"/>
      <c r="L11" s="48">
        <f>N23*1000</f>
        <v>18862.87761539482</v>
      </c>
      <c r="M11" s="48"/>
      <c r="N11" s="48">
        <f>N35*1000</f>
        <v>3218.9518734138542</v>
      </c>
      <c r="O11" s="48">
        <f>N32*1000</f>
        <v>0</v>
      </c>
      <c r="P11" s="88">
        <f>N30*1000</f>
        <v>10082.218089410986</v>
      </c>
      <c r="Q11" s="48"/>
      <c r="R11" s="89"/>
      <c r="S11" s="88">
        <f>N26*1000+N27*1000+N28*1000+N29*1000+N37*1000</f>
        <v>129.220395201629</v>
      </c>
      <c r="T11" s="48">
        <f>N38*1000</f>
        <v>1566.1667838471578</v>
      </c>
      <c r="U11" s="48">
        <f>N34*1000+N36*1000+N40*1000+N41*1000</f>
        <v>235.52974748204952</v>
      </c>
      <c r="V11" s="48"/>
      <c r="W11" s="48"/>
      <c r="X11" s="89"/>
      <c r="Z11" s="645"/>
    </row>
    <row r="12" spans="1:59" ht="14.4" customHeight="1" x14ac:dyDescent="0.25">
      <c r="A12" s="642"/>
      <c r="B12" s="274" t="s">
        <v>113</v>
      </c>
      <c r="C12" s="648"/>
      <c r="D12" s="651"/>
      <c r="E12" s="654"/>
      <c r="F12" s="88">
        <f>O25*1000</f>
        <v>8167.8999999991165</v>
      </c>
      <c r="G12" s="48"/>
      <c r="H12" s="48"/>
      <c r="I12" s="48"/>
      <c r="J12" s="48"/>
      <c r="K12" s="89"/>
      <c r="L12" s="48">
        <f>O23*1000</f>
        <v>420.96099999997682</v>
      </c>
      <c r="M12" s="48"/>
      <c r="N12" s="48"/>
      <c r="O12" s="48"/>
      <c r="P12" s="88"/>
      <c r="Q12" s="48"/>
      <c r="R12" s="89"/>
      <c r="S12" s="88"/>
      <c r="T12" s="48"/>
      <c r="U12" s="48"/>
      <c r="V12" s="48"/>
      <c r="W12" s="48"/>
      <c r="X12" s="89"/>
      <c r="Z12" s="645"/>
    </row>
    <row r="13" spans="1:59" ht="14.4" customHeight="1" x14ac:dyDescent="0.25">
      <c r="A13" s="642"/>
      <c r="B13" s="274" t="s">
        <v>677</v>
      </c>
      <c r="C13" s="648"/>
      <c r="D13" s="651"/>
      <c r="E13" s="654"/>
      <c r="F13" s="88">
        <f>P25*1000</f>
        <v>66990.000000003361</v>
      </c>
      <c r="G13" s="48"/>
      <c r="H13" s="48"/>
      <c r="I13" s="48"/>
      <c r="J13" s="48"/>
      <c r="K13" s="89"/>
      <c r="L13" s="48"/>
      <c r="M13" s="48"/>
      <c r="N13" s="48"/>
      <c r="O13" s="48"/>
      <c r="P13" s="88"/>
      <c r="Q13" s="48"/>
      <c r="R13" s="89"/>
      <c r="S13" s="88"/>
      <c r="T13" s="48"/>
      <c r="U13" s="48"/>
      <c r="V13" s="48"/>
      <c r="W13" s="48"/>
      <c r="X13" s="89"/>
      <c r="Z13" s="645"/>
    </row>
    <row r="14" spans="1:59" s="276" customFormat="1" ht="14.7" customHeight="1" thickBot="1" x14ac:dyDescent="0.3">
      <c r="A14" s="643"/>
      <c r="B14" s="275" t="s">
        <v>115</v>
      </c>
      <c r="C14" s="649"/>
      <c r="D14" s="652"/>
      <c r="E14" s="655"/>
      <c r="F14" s="90"/>
      <c r="G14" s="51"/>
      <c r="H14" s="51"/>
      <c r="I14" s="51"/>
      <c r="J14" s="51"/>
      <c r="K14" s="91"/>
      <c r="L14" s="51">
        <f>Q23*1000</f>
        <v>1547.9099999999662</v>
      </c>
      <c r="M14" s="51"/>
      <c r="N14" s="51"/>
      <c r="O14" s="51"/>
      <c r="P14" s="90"/>
      <c r="Q14" s="51"/>
      <c r="R14" s="91"/>
      <c r="S14" s="90"/>
      <c r="T14" s="51"/>
      <c r="U14" s="51"/>
      <c r="V14" s="51"/>
      <c r="W14" s="51"/>
      <c r="X14" s="91"/>
      <c r="Z14" s="646"/>
    </row>
    <row r="15" spans="1:59" s="278" customFormat="1" ht="12.6" thickBot="1" x14ac:dyDescent="0.3">
      <c r="A15" s="277"/>
      <c r="B15" s="277" t="s">
        <v>79</v>
      </c>
      <c r="E15" s="279"/>
      <c r="F15" s="280">
        <f>SUM(F7:F14)</f>
        <v>12150469.276951812</v>
      </c>
      <c r="G15" s="281"/>
      <c r="H15" s="281">
        <f t="shared" ref="H15:Y15" si="0">SUM(H7:H14)</f>
        <v>39002.327218395039</v>
      </c>
      <c r="I15" s="281">
        <f>SUM(I7:I11)</f>
        <v>27963300.579163108</v>
      </c>
      <c r="J15" s="281"/>
      <c r="K15" s="282"/>
      <c r="L15" s="281">
        <f t="shared" si="0"/>
        <v>1757858.1946005577</v>
      </c>
      <c r="M15" s="281">
        <f t="shared" si="0"/>
        <v>32634.836593877462</v>
      </c>
      <c r="N15" s="281">
        <f t="shared" si="0"/>
        <v>5773.4221278774603</v>
      </c>
      <c r="O15" s="281">
        <f t="shared" si="0"/>
        <v>780.84930814804648</v>
      </c>
      <c r="P15" s="280">
        <f t="shared" si="0"/>
        <v>45222.823810877439</v>
      </c>
      <c r="Q15" s="281"/>
      <c r="R15" s="282"/>
      <c r="S15" s="281">
        <f t="shared" si="0"/>
        <v>18258.491539187333</v>
      </c>
      <c r="T15" s="281">
        <f t="shared" si="0"/>
        <v>1566.1667838471578</v>
      </c>
      <c r="U15" s="281">
        <f t="shared" si="0"/>
        <v>536.2205003920667</v>
      </c>
      <c r="V15" s="281">
        <f t="shared" si="0"/>
        <v>470.0799999999997</v>
      </c>
      <c r="W15" s="281"/>
      <c r="X15" s="281"/>
      <c r="Y15" s="281">
        <f t="shared" si="0"/>
        <v>0</v>
      </c>
    </row>
    <row r="17" spans="1:24" s="276" customFormat="1" ht="12.6" thickBot="1" x14ac:dyDescent="0.3">
      <c r="A17" s="283" t="s">
        <v>583</v>
      </c>
      <c r="B17" s="284"/>
    </row>
    <row r="18" spans="1:24" x14ac:dyDescent="0.25">
      <c r="A18" s="285"/>
      <c r="B18" s="285" t="s">
        <v>654</v>
      </c>
      <c r="C18" s="285"/>
      <c r="D18" s="285"/>
      <c r="E18" s="285"/>
      <c r="F18" s="285"/>
      <c r="G18" s="285"/>
      <c r="H18" s="285"/>
      <c r="I18" s="285"/>
      <c r="J18" s="285"/>
      <c r="K18" s="285"/>
      <c r="L18" s="285"/>
      <c r="M18" s="285"/>
      <c r="N18" s="285"/>
      <c r="O18" s="285"/>
      <c r="P18" s="285"/>
      <c r="Q18" s="285"/>
      <c r="R18" s="285"/>
      <c r="S18" s="285"/>
      <c r="T18" s="285"/>
      <c r="U18" s="285"/>
      <c r="V18" s="285"/>
      <c r="W18" s="285"/>
      <c r="X18" s="285"/>
    </row>
    <row r="19" spans="1:24" x14ac:dyDescent="0.25">
      <c r="A19" s="285"/>
      <c r="B19" s="285"/>
      <c r="C19" s="285"/>
      <c r="D19" s="285"/>
      <c r="E19" s="285"/>
      <c r="F19" s="285"/>
      <c r="G19" s="285"/>
      <c r="H19" s="285"/>
      <c r="I19" s="285"/>
      <c r="J19" s="285"/>
      <c r="K19" s="285"/>
      <c r="L19" s="285"/>
      <c r="M19" s="285"/>
      <c r="N19" s="285"/>
      <c r="O19" s="285"/>
      <c r="P19" s="285"/>
      <c r="Q19" s="285"/>
      <c r="R19" s="285"/>
      <c r="S19" s="285"/>
      <c r="T19" s="285"/>
      <c r="U19" s="285"/>
      <c r="V19" s="285"/>
      <c r="W19" s="285"/>
      <c r="X19" s="285"/>
    </row>
    <row r="20" spans="1:24" x14ac:dyDescent="0.25">
      <c r="A20" s="285" t="s">
        <v>92</v>
      </c>
      <c r="B20" s="285"/>
      <c r="C20" s="285"/>
      <c r="D20" s="285" t="s">
        <v>93</v>
      </c>
      <c r="E20" s="285" t="s">
        <v>94</v>
      </c>
      <c r="F20" s="285"/>
      <c r="G20" s="285"/>
      <c r="H20" s="285"/>
      <c r="I20" s="285"/>
      <c r="J20" s="285"/>
      <c r="K20" s="285"/>
      <c r="L20" s="285"/>
      <c r="M20" s="285"/>
      <c r="N20" s="285"/>
      <c r="O20" s="285"/>
      <c r="P20" s="285"/>
      <c r="Q20" s="285"/>
      <c r="R20" s="285" t="s">
        <v>95</v>
      </c>
      <c r="S20" s="285"/>
      <c r="T20" s="285" t="s">
        <v>96</v>
      </c>
      <c r="U20" s="285"/>
      <c r="V20" s="285" t="s">
        <v>97</v>
      </c>
      <c r="W20" s="285"/>
      <c r="X20" s="285"/>
    </row>
    <row r="21" spans="1:24" x14ac:dyDescent="0.25">
      <c r="A21" s="285"/>
      <c r="B21" s="285" t="s">
        <v>98</v>
      </c>
      <c r="C21" s="285" t="s">
        <v>99</v>
      </c>
      <c r="D21" s="285">
        <v>46.693897161564408</v>
      </c>
      <c r="E21" s="285">
        <v>37.001315493094964</v>
      </c>
      <c r="F21" s="285">
        <v>60</v>
      </c>
      <c r="G21" s="285">
        <v>50</v>
      </c>
      <c r="H21" s="285">
        <v>30</v>
      </c>
      <c r="I21" s="285">
        <v>45</v>
      </c>
      <c r="J21" s="285">
        <v>15</v>
      </c>
      <c r="K21" s="285">
        <v>60</v>
      </c>
      <c r="L21" s="285">
        <v>60</v>
      </c>
      <c r="M21" s="285">
        <v>30</v>
      </c>
      <c r="N21" s="285">
        <v>50</v>
      </c>
      <c r="O21" s="285">
        <v>30</v>
      </c>
      <c r="P21" s="285">
        <v>30</v>
      </c>
      <c r="Q21" s="285">
        <v>50</v>
      </c>
      <c r="R21" s="285">
        <v>37.001315493094964</v>
      </c>
      <c r="S21" s="285">
        <v>60</v>
      </c>
      <c r="T21" s="285">
        <v>37.001315493094964</v>
      </c>
      <c r="U21" s="285">
        <v>60</v>
      </c>
      <c r="V21" s="285">
        <v>37.001315493094964</v>
      </c>
      <c r="W21" s="285">
        <v>60</v>
      </c>
      <c r="X21" s="285"/>
    </row>
    <row r="22" spans="1:24" x14ac:dyDescent="0.25">
      <c r="A22" s="285"/>
      <c r="B22" s="285" t="s">
        <v>100</v>
      </c>
      <c r="C22" s="285" t="s">
        <v>101</v>
      </c>
      <c r="D22" s="285" t="s">
        <v>102</v>
      </c>
      <c r="E22" s="285" t="s">
        <v>103</v>
      </c>
      <c r="F22" s="285" t="s">
        <v>104</v>
      </c>
      <c r="G22" s="285" t="s">
        <v>105</v>
      </c>
      <c r="H22" s="285" t="s">
        <v>106</v>
      </c>
      <c r="I22" s="285" t="s">
        <v>107</v>
      </c>
      <c r="J22" s="285" t="s">
        <v>108</v>
      </c>
      <c r="K22" s="285" t="s">
        <v>109</v>
      </c>
      <c r="L22" s="285" t="s">
        <v>110</v>
      </c>
      <c r="M22" s="285" t="s">
        <v>111</v>
      </c>
      <c r="N22" s="285" t="s">
        <v>112</v>
      </c>
      <c r="O22" s="285" t="s">
        <v>113</v>
      </c>
      <c r="P22" s="285" t="s">
        <v>114</v>
      </c>
      <c r="Q22" s="285" t="s">
        <v>115</v>
      </c>
      <c r="R22" s="285" t="s">
        <v>116</v>
      </c>
      <c r="S22" s="285" t="s">
        <v>104</v>
      </c>
      <c r="T22" s="285" t="s">
        <v>116</v>
      </c>
      <c r="U22" s="285" t="s">
        <v>104</v>
      </c>
      <c r="V22" s="285" t="s">
        <v>116</v>
      </c>
      <c r="W22" s="285" t="s">
        <v>104</v>
      </c>
      <c r="X22" s="285" t="s">
        <v>117</v>
      </c>
    </row>
    <row r="23" spans="1:24" x14ac:dyDescent="0.25">
      <c r="A23" s="285"/>
      <c r="B23" s="285" t="s">
        <v>118</v>
      </c>
      <c r="C23" s="285" t="s">
        <v>91</v>
      </c>
      <c r="D23" s="285">
        <v>3228.5565062144801</v>
      </c>
      <c r="E23" s="285">
        <v>1311.9829388401561</v>
      </c>
      <c r="F23" s="285">
        <v>983.54838149672423</v>
      </c>
      <c r="G23" s="285">
        <v>115.18766093926288</v>
      </c>
      <c r="H23" s="285"/>
      <c r="I23" s="285">
        <v>116.05984236001788</v>
      </c>
      <c r="J23" s="285">
        <v>1.7561879999999008</v>
      </c>
      <c r="K23" s="285"/>
      <c r="L23" s="285">
        <v>19.265094500575</v>
      </c>
      <c r="M23" s="285">
        <v>1.3294450000000049</v>
      </c>
      <c r="N23" s="285">
        <v>18.862877615394819</v>
      </c>
      <c r="O23" s="285">
        <v>0.42096099999997683</v>
      </c>
      <c r="P23" s="285"/>
      <c r="Q23" s="285">
        <v>1.5479099999999661</v>
      </c>
      <c r="R23" s="285">
        <v>61.17323369036356</v>
      </c>
      <c r="S23" s="285">
        <v>363.12679668441382</v>
      </c>
      <c r="T23" s="285">
        <v>28.351798670846801</v>
      </c>
      <c r="U23" s="285">
        <v>53.335063155822994</v>
      </c>
      <c r="V23" s="285">
        <v>81.920243983940907</v>
      </c>
      <c r="W23" s="285">
        <v>70.688070276962065</v>
      </c>
      <c r="X23" s="285" t="s">
        <v>119</v>
      </c>
    </row>
    <row r="24" spans="1:24" x14ac:dyDescent="0.25">
      <c r="A24" s="285"/>
      <c r="B24" s="285" t="s">
        <v>120</v>
      </c>
      <c r="C24" s="285" t="s">
        <v>91</v>
      </c>
      <c r="D24" s="285">
        <v>27956.082018310106</v>
      </c>
      <c r="E24" s="285">
        <v>26937.925957306055</v>
      </c>
      <c r="F24" s="285"/>
      <c r="G24" s="285"/>
      <c r="H24" s="285"/>
      <c r="I24" s="285"/>
      <c r="J24" s="285"/>
      <c r="K24" s="285"/>
      <c r="L24" s="285"/>
      <c r="M24" s="285"/>
      <c r="N24" s="285"/>
      <c r="O24" s="285"/>
      <c r="P24" s="285"/>
      <c r="Q24" s="285"/>
      <c r="R24" s="285">
        <v>552.48646413434494</v>
      </c>
      <c r="S24" s="285"/>
      <c r="T24" s="285">
        <v>117.60848856130508</v>
      </c>
      <c r="U24" s="285"/>
      <c r="V24" s="285">
        <v>348.06110830839998</v>
      </c>
      <c r="W24" s="285"/>
      <c r="X24" s="285"/>
    </row>
    <row r="25" spans="1:24" x14ac:dyDescent="0.25">
      <c r="A25" s="285"/>
      <c r="B25" s="285" t="s">
        <v>82</v>
      </c>
      <c r="C25" s="285" t="s">
        <v>91</v>
      </c>
      <c r="D25" s="285">
        <v>40250.318420297364</v>
      </c>
      <c r="E25" s="285">
        <v>5395.9886487320882</v>
      </c>
      <c r="F25" s="285">
        <v>18441.863672217958</v>
      </c>
      <c r="G25" s="285">
        <v>599.97708884425185</v>
      </c>
      <c r="H25" s="285">
        <v>471.29199999999997</v>
      </c>
      <c r="I25" s="285">
        <v>292.24332999998416</v>
      </c>
      <c r="J25" s="285">
        <v>2.181599999999825</v>
      </c>
      <c r="K25" s="285">
        <v>638.10511457109783</v>
      </c>
      <c r="L25" s="285">
        <v>9.9506197212733678</v>
      </c>
      <c r="M25" s="285">
        <v>174.4968599999992</v>
      </c>
      <c r="N25" s="285">
        <v>109.4970288408872</v>
      </c>
      <c r="O25" s="285">
        <v>8.1678999999991166</v>
      </c>
      <c r="P25" s="285">
        <v>66.990000000003363</v>
      </c>
      <c r="Q25" s="285"/>
      <c r="R25" s="285">
        <v>182.61259337976631</v>
      </c>
      <c r="S25" s="285">
        <v>6932.6689347471211</v>
      </c>
      <c r="T25" s="285">
        <v>1198.935476769544</v>
      </c>
      <c r="U25" s="285">
        <v>930.09292322625629</v>
      </c>
      <c r="V25" s="285">
        <v>3471.3230160929174</v>
      </c>
      <c r="W25" s="285">
        <v>1323.9316131542207</v>
      </c>
      <c r="X25" s="285"/>
    </row>
    <row r="26" spans="1:24" x14ac:dyDescent="0.25">
      <c r="A26" s="285"/>
      <c r="B26" s="285" t="s">
        <v>121</v>
      </c>
      <c r="C26" s="285" t="s">
        <v>91</v>
      </c>
      <c r="D26" s="285">
        <v>3.5695130684641367</v>
      </c>
      <c r="E26" s="285">
        <v>2.5714422739632319</v>
      </c>
      <c r="F26" s="285"/>
      <c r="G26" s="285"/>
      <c r="H26" s="285"/>
      <c r="I26" s="285">
        <v>0.89314999999994993</v>
      </c>
      <c r="J26" s="285"/>
      <c r="K26" s="285"/>
      <c r="L26" s="285"/>
      <c r="M26" s="285"/>
      <c r="N26" s="285">
        <v>0.10492079450095498</v>
      </c>
      <c r="O26" s="285"/>
      <c r="P26" s="285"/>
      <c r="Q26" s="285"/>
      <c r="R26" s="285"/>
      <c r="S26" s="285"/>
      <c r="T26" s="285"/>
      <c r="U26" s="285"/>
      <c r="V26" s="285"/>
      <c r="W26" s="285"/>
      <c r="X26" s="285"/>
    </row>
    <row r="27" spans="1:24" x14ac:dyDescent="0.25">
      <c r="A27" s="285"/>
      <c r="B27" s="285" t="s">
        <v>122</v>
      </c>
      <c r="C27" s="285" t="s">
        <v>91</v>
      </c>
      <c r="D27" s="285">
        <v>27.863128078063212</v>
      </c>
      <c r="E27" s="285">
        <v>4.488119154093237</v>
      </c>
      <c r="F27" s="285"/>
      <c r="G27" s="285"/>
      <c r="H27" s="285">
        <v>22.150724</v>
      </c>
      <c r="I27" s="285">
        <v>1.202612839999974</v>
      </c>
      <c r="J27" s="285"/>
      <c r="K27" s="285"/>
      <c r="L27" s="285"/>
      <c r="M27" s="285"/>
      <c r="N27" s="285">
        <v>2.1672083970000023E-2</v>
      </c>
      <c r="O27" s="285"/>
      <c r="P27" s="285"/>
      <c r="Q27" s="285"/>
      <c r="R27" s="285"/>
      <c r="S27" s="285"/>
      <c r="T27" s="285"/>
      <c r="U27" s="285"/>
      <c r="V27" s="285"/>
      <c r="W27" s="285"/>
      <c r="X27" s="285"/>
    </row>
    <row r="28" spans="1:24" x14ac:dyDescent="0.25">
      <c r="A28" s="285"/>
      <c r="B28" s="285" t="s">
        <v>123</v>
      </c>
      <c r="C28" s="285" t="s">
        <v>91</v>
      </c>
      <c r="D28" s="285">
        <v>0.22608927549733129</v>
      </c>
      <c r="E28" s="285">
        <v>0.13095307876664602</v>
      </c>
      <c r="F28" s="285"/>
      <c r="G28" s="285"/>
      <c r="H28" s="285"/>
      <c r="I28" s="285">
        <v>9.2508680000011292E-2</v>
      </c>
      <c r="J28" s="285"/>
      <c r="K28" s="285"/>
      <c r="L28" s="285"/>
      <c r="M28" s="285"/>
      <c r="N28" s="285">
        <v>2.6275167306739964E-3</v>
      </c>
      <c r="O28" s="285"/>
      <c r="P28" s="285"/>
      <c r="Q28" s="285"/>
      <c r="R28" s="285"/>
      <c r="S28" s="285"/>
      <c r="T28" s="285"/>
      <c r="U28" s="285"/>
      <c r="V28" s="285"/>
      <c r="W28" s="285"/>
      <c r="X28" s="285"/>
    </row>
    <row r="29" spans="1:24" x14ac:dyDescent="0.25">
      <c r="A29" s="285"/>
      <c r="B29" s="285" t="s">
        <v>124</v>
      </c>
      <c r="C29" s="285" t="s">
        <v>91</v>
      </c>
      <c r="D29" s="285">
        <v>7.50391310956255</v>
      </c>
      <c r="E29" s="285">
        <v>7.2857531095625259</v>
      </c>
      <c r="F29" s="285"/>
      <c r="G29" s="285"/>
      <c r="H29" s="285"/>
      <c r="I29" s="285"/>
      <c r="J29" s="285">
        <v>0.21816000000002411</v>
      </c>
      <c r="K29" s="285"/>
      <c r="L29" s="285"/>
      <c r="M29" s="285"/>
      <c r="N29" s="285"/>
      <c r="O29" s="285"/>
      <c r="P29" s="285"/>
      <c r="Q29" s="285"/>
      <c r="R29" s="285"/>
      <c r="S29" s="285"/>
      <c r="T29" s="285"/>
      <c r="U29" s="285"/>
      <c r="V29" s="285"/>
      <c r="W29" s="285"/>
      <c r="X29" s="285"/>
    </row>
    <row r="30" spans="1:24" x14ac:dyDescent="0.25">
      <c r="A30" s="285"/>
      <c r="B30" s="285" t="s">
        <v>125</v>
      </c>
      <c r="C30" s="285" t="s">
        <v>91</v>
      </c>
      <c r="D30" s="285">
        <v>45.222823810877443</v>
      </c>
      <c r="E30" s="285">
        <v>17.571522205415434</v>
      </c>
      <c r="F30" s="285"/>
      <c r="G30" s="285"/>
      <c r="H30" s="285"/>
      <c r="I30" s="285">
        <v>3.7026283999997425</v>
      </c>
      <c r="J30" s="285"/>
      <c r="K30" s="285"/>
      <c r="L30" s="285">
        <v>13.866455116051281</v>
      </c>
      <c r="M30" s="285"/>
      <c r="N30" s="285">
        <v>10.082218089410986</v>
      </c>
      <c r="O30" s="285"/>
      <c r="P30" s="285"/>
      <c r="Q30" s="285"/>
      <c r="R30" s="285"/>
      <c r="S30" s="285"/>
      <c r="T30" s="285"/>
      <c r="U30" s="285"/>
      <c r="V30" s="285"/>
      <c r="W30" s="285"/>
      <c r="X30" s="285"/>
    </row>
    <row r="31" spans="1:24" x14ac:dyDescent="0.25">
      <c r="A31" s="285"/>
      <c r="B31" s="285" t="s">
        <v>81</v>
      </c>
      <c r="C31" s="285" t="s">
        <v>91</v>
      </c>
      <c r="D31" s="285">
        <v>65.248242993877454</v>
      </c>
      <c r="E31" s="285">
        <v>0</v>
      </c>
      <c r="F31" s="285"/>
      <c r="G31" s="285">
        <v>18.015309037987123</v>
      </c>
      <c r="H31" s="285">
        <v>32.613406400000002</v>
      </c>
      <c r="I31" s="285"/>
      <c r="J31" s="285">
        <v>0.49085999999995766</v>
      </c>
      <c r="K31" s="285"/>
      <c r="L31" s="285"/>
      <c r="M31" s="285"/>
      <c r="N31" s="285"/>
      <c r="O31" s="285"/>
      <c r="P31" s="285"/>
      <c r="Q31" s="285"/>
      <c r="R31" s="285">
        <v>12.954925438676456</v>
      </c>
      <c r="S31" s="285"/>
      <c r="T31" s="285">
        <v>0.30205928593286224</v>
      </c>
      <c r="U31" s="285"/>
      <c r="V31" s="285">
        <v>0.87168283128106638</v>
      </c>
      <c r="W31" s="285"/>
      <c r="X31" s="285"/>
    </row>
    <row r="32" spans="1:24" x14ac:dyDescent="0.25">
      <c r="A32" s="285"/>
      <c r="B32" s="285" t="s">
        <v>126</v>
      </c>
      <c r="C32" s="285" t="s">
        <v>91</v>
      </c>
      <c r="D32" s="285">
        <v>0.78084930814804643</v>
      </c>
      <c r="E32" s="285">
        <v>0</v>
      </c>
      <c r="F32" s="285"/>
      <c r="G32" s="285">
        <v>0.78084930814804643</v>
      </c>
      <c r="H32" s="285"/>
      <c r="I32" s="285"/>
      <c r="J32" s="285"/>
      <c r="K32" s="285"/>
      <c r="L32" s="285"/>
      <c r="M32" s="285"/>
      <c r="N32" s="285"/>
      <c r="O32" s="285"/>
      <c r="P32" s="285"/>
      <c r="Q32" s="285"/>
      <c r="R32" s="285"/>
      <c r="S32" s="285"/>
      <c r="T32" s="285"/>
      <c r="U32" s="285"/>
      <c r="V32" s="285"/>
      <c r="W32" s="285"/>
      <c r="X32" s="285"/>
    </row>
    <row r="33" spans="1:24" x14ac:dyDescent="0.25">
      <c r="A33" s="285"/>
      <c r="B33" s="285" t="s">
        <v>127</v>
      </c>
      <c r="C33" s="285" t="s">
        <v>91</v>
      </c>
      <c r="D33" s="285">
        <v>2.0910727581331106</v>
      </c>
      <c r="E33" s="285">
        <v>0</v>
      </c>
      <c r="F33" s="285"/>
      <c r="G33" s="285">
        <v>1.5492706588831147</v>
      </c>
      <c r="H33" s="285"/>
      <c r="I33" s="285"/>
      <c r="J33" s="285"/>
      <c r="K33" s="285"/>
      <c r="L33" s="285"/>
      <c r="M33" s="285"/>
      <c r="N33" s="285">
        <v>0.54180209924999567</v>
      </c>
      <c r="O33" s="285"/>
      <c r="P33" s="285"/>
      <c r="Q33" s="285"/>
      <c r="R33" s="285"/>
      <c r="S33" s="285"/>
      <c r="T33" s="285"/>
      <c r="U33" s="285"/>
      <c r="V33" s="285"/>
      <c r="W33" s="285"/>
      <c r="X33" s="285"/>
    </row>
    <row r="34" spans="1:24" x14ac:dyDescent="0.25">
      <c r="A34" s="285"/>
      <c r="B34" s="285" t="s">
        <v>128</v>
      </c>
      <c r="C34" s="285" t="s">
        <v>91</v>
      </c>
      <c r="D34" s="285">
        <v>0.27887475291001562</v>
      </c>
      <c r="E34" s="285">
        <v>0</v>
      </c>
      <c r="F34" s="285"/>
      <c r="G34" s="285">
        <v>0.27887475291001562</v>
      </c>
      <c r="H34" s="285"/>
      <c r="I34" s="285"/>
      <c r="J34" s="285"/>
      <c r="K34" s="285"/>
      <c r="L34" s="285"/>
      <c r="M34" s="285"/>
      <c r="N34" s="285"/>
      <c r="O34" s="285"/>
      <c r="P34" s="285"/>
      <c r="Q34" s="285"/>
      <c r="R34" s="285"/>
      <c r="S34" s="285"/>
      <c r="T34" s="285"/>
      <c r="U34" s="285"/>
      <c r="V34" s="285"/>
      <c r="W34" s="285"/>
      <c r="X34" s="285"/>
    </row>
    <row r="35" spans="1:24" x14ac:dyDescent="0.25">
      <c r="A35" s="285"/>
      <c r="B35" s="285" t="s">
        <v>7</v>
      </c>
      <c r="C35" s="285" t="s">
        <v>91</v>
      </c>
      <c r="D35" s="285">
        <v>13.753644763384649</v>
      </c>
      <c r="E35" s="285">
        <v>0</v>
      </c>
      <c r="F35" s="285">
        <v>5.4471080348941241</v>
      </c>
      <c r="G35" s="285"/>
      <c r="H35" s="285"/>
      <c r="I35" s="285"/>
      <c r="J35" s="285">
        <v>1.6361999999999145E-2</v>
      </c>
      <c r="K35" s="285"/>
      <c r="L35" s="285">
        <v>2.1509330665359725</v>
      </c>
      <c r="M35" s="285"/>
      <c r="N35" s="285">
        <v>3.2189518734138542</v>
      </c>
      <c r="O35" s="285"/>
      <c r="P35" s="285"/>
      <c r="Q35" s="285"/>
      <c r="R35" s="285"/>
      <c r="S35" s="285">
        <v>1.7886333133382948</v>
      </c>
      <c r="T35" s="285">
        <v>9.8784546259210182E-2</v>
      </c>
      <c r="U35" s="285">
        <v>0.35877851973073549</v>
      </c>
      <c r="V35" s="285">
        <v>0.28839064166842415</v>
      </c>
      <c r="W35" s="285">
        <v>0.38570276754403404</v>
      </c>
      <c r="X35" s="285"/>
    </row>
    <row r="36" spans="1:24" x14ac:dyDescent="0.25">
      <c r="A36" s="285"/>
      <c r="B36" s="285" t="s">
        <v>129</v>
      </c>
      <c r="C36" s="285" t="s">
        <v>91</v>
      </c>
      <c r="D36" s="285">
        <v>2.1816000000001598E-2</v>
      </c>
      <c r="E36" s="285"/>
      <c r="F36" s="285"/>
      <c r="G36" s="285"/>
      <c r="H36" s="285"/>
      <c r="I36" s="285"/>
      <c r="J36" s="285">
        <v>2.1816000000001598E-2</v>
      </c>
      <c r="K36" s="285"/>
      <c r="L36" s="285"/>
      <c r="M36" s="285"/>
      <c r="N36" s="285"/>
      <c r="O36" s="285"/>
      <c r="P36" s="285"/>
      <c r="Q36" s="285"/>
      <c r="R36" s="285"/>
      <c r="S36" s="285"/>
      <c r="T36" s="285"/>
      <c r="U36" s="285"/>
      <c r="V36" s="285"/>
      <c r="W36" s="285"/>
      <c r="X36" s="285"/>
    </row>
    <row r="37" spans="1:24" x14ac:dyDescent="0.25">
      <c r="A37" s="285"/>
      <c r="B37" s="285" t="s">
        <v>130</v>
      </c>
      <c r="C37" s="285" t="s">
        <v>91</v>
      </c>
      <c r="D37" s="285">
        <v>1.2465720076001043</v>
      </c>
      <c r="E37" s="285"/>
      <c r="F37" s="285"/>
      <c r="G37" s="285"/>
      <c r="H37" s="285"/>
      <c r="I37" s="285"/>
      <c r="J37" s="285">
        <v>4.9086000000002031E-2</v>
      </c>
      <c r="K37" s="285"/>
      <c r="L37" s="285">
        <v>1.1974860076001024</v>
      </c>
      <c r="M37" s="285"/>
      <c r="N37" s="285"/>
      <c r="O37" s="285"/>
      <c r="P37" s="285"/>
      <c r="Q37" s="285"/>
      <c r="R37" s="285"/>
      <c r="S37" s="285"/>
      <c r="T37" s="285"/>
      <c r="U37" s="285"/>
      <c r="V37" s="285"/>
      <c r="W37" s="285"/>
      <c r="X37" s="285"/>
    </row>
    <row r="38" spans="1:24" x14ac:dyDescent="0.25">
      <c r="A38" s="285"/>
      <c r="B38" s="285" t="s">
        <v>131</v>
      </c>
      <c r="C38" s="285" t="s">
        <v>91</v>
      </c>
      <c r="D38" s="285">
        <v>1.5661667838471578</v>
      </c>
      <c r="E38" s="285"/>
      <c r="F38" s="285"/>
      <c r="G38" s="285"/>
      <c r="H38" s="285"/>
      <c r="I38" s="285"/>
      <c r="J38" s="285"/>
      <c r="K38" s="285"/>
      <c r="L38" s="285"/>
      <c r="M38" s="285"/>
      <c r="N38" s="285">
        <v>1.5661667838471578</v>
      </c>
      <c r="O38" s="285"/>
      <c r="P38" s="285"/>
      <c r="Q38" s="285"/>
      <c r="R38" s="285"/>
      <c r="S38" s="285"/>
      <c r="T38" s="285"/>
      <c r="U38" s="285"/>
      <c r="V38" s="285"/>
      <c r="W38" s="285"/>
      <c r="X38" s="285"/>
    </row>
    <row r="39" spans="1:24" x14ac:dyDescent="0.25">
      <c r="A39" s="285"/>
      <c r="B39" s="285" t="s">
        <v>132</v>
      </c>
      <c r="C39" s="285" t="s">
        <v>91</v>
      </c>
      <c r="D39" s="285">
        <v>7.2185608529999943</v>
      </c>
      <c r="E39" s="285"/>
      <c r="F39" s="285"/>
      <c r="G39" s="285"/>
      <c r="H39" s="285"/>
      <c r="I39" s="285"/>
      <c r="J39" s="285"/>
      <c r="K39" s="285"/>
      <c r="L39" s="285"/>
      <c r="M39" s="285"/>
      <c r="N39" s="285">
        <v>7.2185608529999943</v>
      </c>
      <c r="O39" s="285"/>
      <c r="P39" s="285"/>
      <c r="Q39" s="285"/>
      <c r="R39" s="285"/>
      <c r="S39" s="285"/>
      <c r="T39" s="285"/>
      <c r="U39" s="285"/>
      <c r="V39" s="285"/>
      <c r="W39" s="285"/>
      <c r="X39" s="285" t="s">
        <v>133</v>
      </c>
    </row>
    <row r="40" spans="1:24" x14ac:dyDescent="0.25">
      <c r="A40" s="285"/>
      <c r="B40" s="285" t="s">
        <v>134</v>
      </c>
      <c r="C40" s="285" t="s">
        <v>91</v>
      </c>
      <c r="D40" s="285">
        <v>0.11633328564704962</v>
      </c>
      <c r="E40" s="285"/>
      <c r="F40" s="285"/>
      <c r="G40" s="285"/>
      <c r="H40" s="285"/>
      <c r="I40" s="285"/>
      <c r="J40" s="285"/>
      <c r="K40" s="285"/>
      <c r="L40" s="285"/>
      <c r="M40" s="285"/>
      <c r="N40" s="285">
        <v>0.11633328564704962</v>
      </c>
      <c r="O40" s="285"/>
      <c r="P40" s="285"/>
      <c r="Q40" s="285"/>
      <c r="R40" s="285"/>
      <c r="S40" s="285"/>
      <c r="T40" s="285"/>
      <c r="U40" s="285"/>
      <c r="V40" s="285"/>
      <c r="W40" s="285"/>
      <c r="X40" s="285"/>
    </row>
    <row r="41" spans="1:24" x14ac:dyDescent="0.25">
      <c r="A41" s="285"/>
      <c r="B41" s="285" t="s">
        <v>135</v>
      </c>
      <c r="C41" s="285" t="s">
        <v>91</v>
      </c>
      <c r="D41" s="285">
        <v>0.11919646183499989</v>
      </c>
      <c r="E41" s="285"/>
      <c r="F41" s="285"/>
      <c r="G41" s="285"/>
      <c r="H41" s="285"/>
      <c r="I41" s="285"/>
      <c r="J41" s="285"/>
      <c r="K41" s="285"/>
      <c r="L41" s="285"/>
      <c r="M41" s="285"/>
      <c r="N41" s="285">
        <v>0.11919646183499989</v>
      </c>
      <c r="O41" s="285"/>
      <c r="P41" s="285"/>
      <c r="Q41" s="285"/>
      <c r="R41" s="285"/>
      <c r="S41" s="285"/>
      <c r="T41" s="285"/>
      <c r="U41" s="285"/>
      <c r="V41" s="285"/>
      <c r="W41" s="285"/>
      <c r="X41" s="285"/>
    </row>
    <row r="42" spans="1:24" x14ac:dyDescent="0.25">
      <c r="A42" s="285"/>
      <c r="B42" s="285" t="s">
        <v>83</v>
      </c>
      <c r="C42" s="285" t="s">
        <v>91</v>
      </c>
      <c r="D42" s="285">
        <v>0.47007999999999972</v>
      </c>
      <c r="E42" s="285"/>
      <c r="F42" s="285"/>
      <c r="G42" s="285"/>
      <c r="H42" s="285"/>
      <c r="I42" s="285"/>
      <c r="J42" s="285"/>
      <c r="K42" s="285"/>
      <c r="L42" s="285">
        <v>0</v>
      </c>
      <c r="M42" s="285">
        <v>0.47007999999999972</v>
      </c>
      <c r="N42" s="285"/>
      <c r="O42" s="285"/>
      <c r="P42" s="285"/>
      <c r="Q42" s="285"/>
      <c r="R42" s="285"/>
      <c r="S42" s="285"/>
      <c r="T42" s="285"/>
      <c r="U42" s="285"/>
      <c r="V42" s="285"/>
      <c r="W42" s="285"/>
      <c r="X42" s="285" t="s">
        <v>133</v>
      </c>
    </row>
    <row r="43" spans="1:24" x14ac:dyDescent="0.25">
      <c r="A43" s="285"/>
      <c r="B43" s="285" t="s">
        <v>136</v>
      </c>
      <c r="C43" s="285" t="s">
        <v>91</v>
      </c>
      <c r="D43" s="285">
        <v>39.002327218395038</v>
      </c>
      <c r="E43" s="285">
        <v>0</v>
      </c>
      <c r="F43" s="285"/>
      <c r="G43" s="285"/>
      <c r="H43" s="285"/>
      <c r="I43" s="285"/>
      <c r="J43" s="285"/>
      <c r="K43" s="285"/>
      <c r="L43" s="285"/>
      <c r="M43" s="285"/>
      <c r="N43" s="285"/>
      <c r="O43" s="285"/>
      <c r="P43" s="285"/>
      <c r="Q43" s="285"/>
      <c r="R43" s="285"/>
      <c r="S43" s="285"/>
      <c r="T43" s="285">
        <v>9.6508452080774791</v>
      </c>
      <c r="U43" s="285"/>
      <c r="V43" s="285">
        <v>29.351482010317561</v>
      </c>
      <c r="W43" s="285"/>
      <c r="X43" s="285" t="s">
        <v>137</v>
      </c>
    </row>
    <row r="44" spans="1:24" x14ac:dyDescent="0.25">
      <c r="A44" s="285"/>
      <c r="B44" s="285" t="s">
        <v>138</v>
      </c>
      <c r="C44" s="285" t="s">
        <v>91</v>
      </c>
      <c r="D44" s="285">
        <v>71651.256149351218</v>
      </c>
      <c r="E44" s="285">
        <v>33677.945334700104</v>
      </c>
      <c r="F44" s="285">
        <v>19430.859161749577</v>
      </c>
      <c r="G44" s="285">
        <v>735.78905354144297</v>
      </c>
      <c r="H44" s="285">
        <v>526.05613040000003</v>
      </c>
      <c r="I44" s="285">
        <v>414.19407228000171</v>
      </c>
      <c r="J44" s="285">
        <v>4.7340719999997098</v>
      </c>
      <c r="K44" s="285">
        <v>638.10511457109783</v>
      </c>
      <c r="L44" s="285">
        <v>46.430588412035718</v>
      </c>
      <c r="M44" s="285">
        <v>176.29638499999919</v>
      </c>
      <c r="N44" s="285">
        <v>151.35235629788767</v>
      </c>
      <c r="O44" s="285">
        <v>8.5888609999990937</v>
      </c>
      <c r="P44" s="285">
        <v>66.990000000003363</v>
      </c>
      <c r="Q44" s="285">
        <v>1.5479099999999661</v>
      </c>
      <c r="R44" s="285">
        <v>809.22721664315122</v>
      </c>
      <c r="S44" s="285">
        <v>7297.5843647448728</v>
      </c>
      <c r="T44" s="285">
        <v>1354.9474530419654</v>
      </c>
      <c r="U44" s="285">
        <v>983.7867649018101</v>
      </c>
      <c r="V44" s="285">
        <v>3931.8159238685248</v>
      </c>
      <c r="W44" s="285">
        <v>1395.0053861987267</v>
      </c>
      <c r="X44" s="285"/>
    </row>
    <row r="45" spans="1:24" x14ac:dyDescent="0.25">
      <c r="A45" s="285"/>
      <c r="B45" s="285" t="s">
        <v>139</v>
      </c>
      <c r="C45" s="285" t="s">
        <v>91</v>
      </c>
      <c r="D45" s="285">
        <v>1</v>
      </c>
      <c r="E45" s="285">
        <v>0.47002588851340116</v>
      </c>
      <c r="F45" s="285">
        <v>0.27118658075229735</v>
      </c>
      <c r="G45" s="285">
        <v>1.0269032157757995E-2</v>
      </c>
      <c r="H45" s="285">
        <v>7.3418968301613412E-3</v>
      </c>
      <c r="I45" s="285">
        <v>5.7806951969780942E-3</v>
      </c>
      <c r="J45" s="285">
        <v>6.6071025888672795E-5</v>
      </c>
      <c r="K45" s="285">
        <v>8.9057072948033125E-3</v>
      </c>
      <c r="L45" s="285">
        <v>6.4800801698793574E-4</v>
      </c>
      <c r="M45" s="285">
        <v>2.4604786360273114E-3</v>
      </c>
      <c r="N45" s="285">
        <v>2.1123475627894922E-3</v>
      </c>
      <c r="O45" s="285">
        <v>1.1987034787075206E-4</v>
      </c>
      <c r="P45" s="285">
        <v>9.349452277622063E-4</v>
      </c>
      <c r="Q45" s="285">
        <v>2.1603389573149611E-5</v>
      </c>
      <c r="R45" s="285">
        <v>1.1293971105773539E-2</v>
      </c>
      <c r="S45" s="285">
        <v>0.1018486591433045</v>
      </c>
      <c r="T45" s="285">
        <v>1.8910309823706197E-2</v>
      </c>
      <c r="U45" s="285">
        <v>1.3730209598156752E-2</v>
      </c>
      <c r="V45" s="285">
        <v>5.4874347431857637E-2</v>
      </c>
      <c r="W45" s="285">
        <v>1.946937794490234E-2</v>
      </c>
      <c r="X45" s="285"/>
    </row>
    <row r="46" spans="1:24" x14ac:dyDescent="0.25">
      <c r="A46" s="285"/>
      <c r="B46" s="285" t="s">
        <v>140</v>
      </c>
      <c r="C46" s="285" t="s">
        <v>91</v>
      </c>
      <c r="D46" s="285">
        <v>1624.6872960817032</v>
      </c>
      <c r="E46" s="285">
        <v>910.18237827206292</v>
      </c>
      <c r="F46" s="285">
        <v>323.8476526958263</v>
      </c>
      <c r="G46" s="285">
        <v>14.715781070828859</v>
      </c>
      <c r="H46" s="285">
        <v>17.535204346666667</v>
      </c>
      <c r="I46" s="285">
        <v>9.2043127173333712</v>
      </c>
      <c r="J46" s="285">
        <v>0.31560479999998065</v>
      </c>
      <c r="K46" s="285">
        <v>10.63508524285163</v>
      </c>
      <c r="L46" s="285">
        <v>0.7738431402005953</v>
      </c>
      <c r="M46" s="285">
        <v>5.8765461666666399</v>
      </c>
      <c r="N46" s="285">
        <v>3.0270471259577532</v>
      </c>
      <c r="O46" s="285">
        <v>0.28629536666663646</v>
      </c>
      <c r="P46" s="285">
        <v>2.233000000000112</v>
      </c>
      <c r="Q46" s="285">
        <v>3.0958199999999322E-2</v>
      </c>
      <c r="R46" s="285">
        <v>21.870228284023199</v>
      </c>
      <c r="S46" s="285">
        <v>121.62640607908121</v>
      </c>
      <c r="T46" s="285">
        <v>36.618899490068678</v>
      </c>
      <c r="U46" s="285">
        <v>16.396446081696833</v>
      </c>
      <c r="V46" s="285">
        <v>106.26151723179314</v>
      </c>
      <c r="W46" s="285">
        <v>23.250089769978779</v>
      </c>
      <c r="X46" s="285"/>
    </row>
    <row r="47" spans="1:24" x14ac:dyDescent="0.25">
      <c r="A47" s="285"/>
      <c r="B47" s="285"/>
      <c r="C47" s="285"/>
      <c r="D47" s="285"/>
      <c r="E47" s="285"/>
      <c r="F47" s="285"/>
      <c r="G47" s="285"/>
      <c r="H47" s="285"/>
      <c r="I47" s="285"/>
      <c r="J47" s="285"/>
      <c r="K47" s="285"/>
      <c r="L47" s="285"/>
      <c r="M47" s="285"/>
      <c r="N47" s="285"/>
      <c r="O47" s="285"/>
      <c r="P47" s="285"/>
      <c r="Q47" s="285"/>
      <c r="R47" s="285"/>
      <c r="S47" s="285"/>
      <c r="T47" s="285"/>
      <c r="U47" s="285"/>
      <c r="V47" s="285"/>
      <c r="W47" s="285"/>
      <c r="X47" s="285"/>
    </row>
    <row r="48" spans="1:24" x14ac:dyDescent="0.25">
      <c r="A48" s="285" t="s">
        <v>141</v>
      </c>
      <c r="B48" s="285"/>
      <c r="C48" s="285" t="s">
        <v>101</v>
      </c>
      <c r="D48" s="285"/>
      <c r="E48" s="285" t="s">
        <v>142</v>
      </c>
      <c r="F48" s="285" t="s">
        <v>118</v>
      </c>
      <c r="G48" s="285" t="s">
        <v>120</v>
      </c>
      <c r="H48" s="285" t="s">
        <v>82</v>
      </c>
      <c r="I48" s="285" t="s">
        <v>81</v>
      </c>
      <c r="J48" s="285" t="s">
        <v>7</v>
      </c>
      <c r="K48" s="285" t="s">
        <v>125</v>
      </c>
      <c r="L48" s="285" t="s">
        <v>84</v>
      </c>
      <c r="M48" s="285" t="s">
        <v>79</v>
      </c>
      <c r="N48" s="285"/>
      <c r="O48" s="285"/>
      <c r="P48" s="285"/>
      <c r="Q48" s="285"/>
      <c r="R48" s="285"/>
      <c r="S48" s="285"/>
      <c r="T48" s="285"/>
      <c r="U48" s="285"/>
      <c r="V48" s="285"/>
      <c r="W48" s="285"/>
      <c r="X48" s="285"/>
    </row>
    <row r="49" spans="1:23" x14ac:dyDescent="0.25">
      <c r="A49" s="285" t="s">
        <v>143</v>
      </c>
      <c r="B49" s="285"/>
      <c r="C49" s="285" t="s">
        <v>91</v>
      </c>
      <c r="D49" s="285"/>
      <c r="E49" s="285" t="s">
        <v>94</v>
      </c>
      <c r="F49" s="285">
        <v>2569.9612997521299</v>
      </c>
      <c r="G49" s="285">
        <v>26937.925957306055</v>
      </c>
      <c r="H49" s="285">
        <v>26210.75386292754</v>
      </c>
      <c r="I49" s="285">
        <v>51.119575437987081</v>
      </c>
      <c r="J49" s="285">
        <v>10.833354974843949</v>
      </c>
      <c r="K49" s="285">
        <v>45.222823810877443</v>
      </c>
      <c r="L49" s="285">
        <v>40.666561286669392</v>
      </c>
      <c r="M49" s="285">
        <v>55866.483435496106</v>
      </c>
      <c r="N49" s="285"/>
      <c r="O49" s="285"/>
      <c r="P49" s="285"/>
      <c r="Q49" s="285"/>
      <c r="R49" s="285"/>
      <c r="S49" s="285"/>
      <c r="T49" s="285"/>
      <c r="U49" s="285"/>
      <c r="V49" s="285"/>
      <c r="W49" s="285"/>
    </row>
    <row r="50" spans="1:23" x14ac:dyDescent="0.25">
      <c r="A50" s="285"/>
      <c r="B50" s="285"/>
      <c r="C50" s="285" t="s">
        <v>91</v>
      </c>
      <c r="D50" s="285"/>
      <c r="E50" s="285" t="s">
        <v>95</v>
      </c>
      <c r="F50" s="285">
        <v>424.30003037477741</v>
      </c>
      <c r="G50" s="285">
        <v>552.48646413434494</v>
      </c>
      <c r="H50" s="285">
        <v>7115.2815281268877</v>
      </c>
      <c r="I50" s="285">
        <v>12.954925438676456</v>
      </c>
      <c r="J50" s="285">
        <v>1.7886333133382948</v>
      </c>
      <c r="K50" s="285">
        <v>0</v>
      </c>
      <c r="L50" s="285">
        <v>0</v>
      </c>
      <c r="M50" s="285">
        <v>8106.8115813880249</v>
      </c>
      <c r="N50" s="285"/>
      <c r="O50" s="285"/>
      <c r="P50" s="285"/>
      <c r="Q50" s="285"/>
      <c r="R50" s="285"/>
      <c r="S50" s="285"/>
      <c r="T50" s="285"/>
      <c r="U50" s="285"/>
      <c r="V50" s="285"/>
      <c r="W50" s="285"/>
    </row>
    <row r="51" spans="1:23" x14ac:dyDescent="0.25">
      <c r="A51" s="285"/>
      <c r="B51" s="285"/>
      <c r="C51" s="285" t="s">
        <v>91</v>
      </c>
      <c r="D51" s="285"/>
      <c r="E51" s="285" t="s">
        <v>96</v>
      </c>
      <c r="F51" s="285">
        <v>81.686861826669798</v>
      </c>
      <c r="G51" s="285">
        <v>117.60848856130508</v>
      </c>
      <c r="H51" s="285">
        <v>2129.0283999958001</v>
      </c>
      <c r="I51" s="285">
        <v>0.30205928593286224</v>
      </c>
      <c r="J51" s="285">
        <v>0.45756306598994567</v>
      </c>
      <c r="K51" s="285">
        <v>0</v>
      </c>
      <c r="L51" s="285">
        <v>0</v>
      </c>
      <c r="M51" s="285">
        <v>2329.083372735698</v>
      </c>
      <c r="N51" s="285"/>
      <c r="O51" s="285"/>
      <c r="P51" s="285"/>
      <c r="Q51" s="285"/>
      <c r="R51" s="285"/>
      <c r="S51" s="285"/>
      <c r="T51" s="285"/>
      <c r="U51" s="285"/>
      <c r="V51" s="285"/>
      <c r="W51" s="285"/>
    </row>
    <row r="52" spans="1:23" x14ac:dyDescent="0.25">
      <c r="A52" s="285"/>
      <c r="B52" s="285"/>
      <c r="C52" s="285" t="s">
        <v>91</v>
      </c>
      <c r="D52" s="285"/>
      <c r="E52" s="285" t="s">
        <v>97</v>
      </c>
      <c r="F52" s="285">
        <v>152.60831426090297</v>
      </c>
      <c r="G52" s="285">
        <v>348.06110830839998</v>
      </c>
      <c r="H52" s="285">
        <v>4795.2546292471379</v>
      </c>
      <c r="I52" s="285">
        <v>0.87168283128106638</v>
      </c>
      <c r="J52" s="285">
        <v>0.67409340921245819</v>
      </c>
      <c r="K52" s="285">
        <v>0</v>
      </c>
      <c r="L52" s="285">
        <v>0</v>
      </c>
      <c r="M52" s="285">
        <v>5297.4698280569337</v>
      </c>
      <c r="N52" s="285"/>
      <c r="O52" s="285"/>
      <c r="P52" s="285"/>
      <c r="Q52" s="285"/>
      <c r="R52" s="285"/>
      <c r="S52" s="285"/>
      <c r="T52" s="285"/>
      <c r="U52" s="285"/>
      <c r="V52" s="285"/>
      <c r="W52" s="285"/>
    </row>
    <row r="53" spans="1:23" x14ac:dyDescent="0.25">
      <c r="A53" s="285"/>
      <c r="B53" s="285"/>
      <c r="C53" s="285" t="s">
        <v>91</v>
      </c>
      <c r="D53" s="285"/>
      <c r="E53" s="285" t="s">
        <v>79</v>
      </c>
      <c r="F53" s="285">
        <v>3228.5565062144806</v>
      </c>
      <c r="G53" s="285">
        <v>27956.082018310106</v>
      </c>
      <c r="H53" s="285">
        <v>40250.318420297364</v>
      </c>
      <c r="I53" s="285">
        <v>65.248242993877454</v>
      </c>
      <c r="J53" s="285">
        <v>13.753644763384649</v>
      </c>
      <c r="K53" s="285">
        <v>45.222823810877443</v>
      </c>
      <c r="L53" s="285">
        <v>40.666561286669392</v>
      </c>
      <c r="M53" s="285">
        <v>71599.848217676772</v>
      </c>
      <c r="N53" s="285"/>
      <c r="O53" s="285"/>
      <c r="P53" s="285"/>
      <c r="Q53" s="285"/>
      <c r="R53" s="285"/>
      <c r="S53" s="285"/>
      <c r="T53" s="285"/>
      <c r="U53" s="285"/>
      <c r="V53" s="285"/>
      <c r="W53" s="285"/>
    </row>
    <row r="54" spans="1:23" x14ac:dyDescent="0.25">
      <c r="A54" s="285"/>
      <c r="B54" s="285"/>
      <c r="C54" s="285"/>
      <c r="D54" s="285"/>
      <c r="E54" s="285" t="s">
        <v>144</v>
      </c>
      <c r="F54" s="285">
        <v>4.5091666904084379E-2</v>
      </c>
      <c r="G54" s="285">
        <v>0.39044890058032594</v>
      </c>
      <c r="H54" s="285">
        <v>0.56215647689543913</v>
      </c>
      <c r="I54" s="285">
        <v>9.1129024178250681E-4</v>
      </c>
      <c r="J54" s="285">
        <v>1.9209041786752155E-4</v>
      </c>
      <c r="K54" s="285">
        <v>6.3160502342674951E-4</v>
      </c>
      <c r="L54" s="285">
        <v>5.67969937073547E-4</v>
      </c>
      <c r="M54" s="285">
        <v>1</v>
      </c>
      <c r="N54" s="285"/>
      <c r="O54" s="285"/>
      <c r="P54" s="285"/>
      <c r="Q54" s="285"/>
      <c r="R54" s="285"/>
      <c r="S54" s="285"/>
      <c r="T54" s="285"/>
      <c r="U54" s="285"/>
      <c r="V54" s="285"/>
      <c r="W54" s="285"/>
    </row>
    <row r="55" spans="1:23" x14ac:dyDescent="0.25">
      <c r="A55" s="285" t="s">
        <v>145</v>
      </c>
      <c r="B55" s="285"/>
      <c r="C55" s="285"/>
      <c r="D55" s="285"/>
      <c r="E55" s="285" t="s">
        <v>94</v>
      </c>
      <c r="F55" s="285"/>
      <c r="G55" s="285"/>
      <c r="H55" s="285"/>
      <c r="I55" s="285"/>
      <c r="J55" s="285"/>
      <c r="K55" s="285"/>
      <c r="L55" s="285"/>
      <c r="M55" s="285"/>
      <c r="N55" s="285" t="s">
        <v>95</v>
      </c>
      <c r="O55" s="285"/>
      <c r="P55" s="285"/>
      <c r="Q55" s="285"/>
      <c r="R55" s="285"/>
      <c r="S55" s="285" t="s">
        <v>96</v>
      </c>
      <c r="T55" s="285"/>
      <c r="U55" s="285" t="s">
        <v>97</v>
      </c>
      <c r="V55" s="285"/>
      <c r="W55" s="285"/>
    </row>
    <row r="56" spans="1:23" x14ac:dyDescent="0.25">
      <c r="A56" s="285"/>
      <c r="B56" s="285" t="s">
        <v>100</v>
      </c>
      <c r="C56" s="285" t="s">
        <v>101</v>
      </c>
      <c r="D56" s="285" t="s">
        <v>102</v>
      </c>
      <c r="E56" s="285" t="s">
        <v>103</v>
      </c>
      <c r="F56" s="285" t="s">
        <v>104</v>
      </c>
      <c r="G56" s="285" t="s">
        <v>105</v>
      </c>
      <c r="H56" s="285" t="s">
        <v>107</v>
      </c>
      <c r="I56" s="285" t="s">
        <v>108</v>
      </c>
      <c r="J56" s="285" t="s">
        <v>109</v>
      </c>
      <c r="K56" s="285" t="s">
        <v>110</v>
      </c>
      <c r="L56" s="285" t="s">
        <v>111</v>
      </c>
      <c r="M56" s="285" t="s">
        <v>112</v>
      </c>
      <c r="N56" s="285" t="s">
        <v>116</v>
      </c>
      <c r="O56" s="285"/>
      <c r="P56" s="285"/>
      <c r="Q56" s="285"/>
      <c r="R56" s="285" t="s">
        <v>104</v>
      </c>
      <c r="S56" s="285" t="s">
        <v>116</v>
      </c>
      <c r="T56" s="285" t="s">
        <v>104</v>
      </c>
      <c r="U56" s="285" t="s">
        <v>116</v>
      </c>
      <c r="V56" s="285" t="s">
        <v>104</v>
      </c>
      <c r="W56" s="285" t="s">
        <v>117</v>
      </c>
    </row>
    <row r="57" spans="1:23" x14ac:dyDescent="0.25">
      <c r="A57" s="285"/>
      <c r="B57" s="285" t="s">
        <v>118</v>
      </c>
      <c r="C57" s="285" t="s">
        <v>91</v>
      </c>
      <c r="D57" s="285">
        <v>23.375983698448216</v>
      </c>
      <c r="E57" s="285">
        <v>10.399718489504146</v>
      </c>
      <c r="F57" s="285">
        <v>2.719093769970907</v>
      </c>
      <c r="G57" s="285">
        <v>1.0425977892868395E-2</v>
      </c>
      <c r="H57" s="285"/>
      <c r="I57" s="285"/>
      <c r="J57" s="285"/>
      <c r="K57" s="285"/>
      <c r="L57" s="285"/>
      <c r="M57" s="285"/>
      <c r="N57" s="285">
        <v>0.4499244997149901</v>
      </c>
      <c r="O57" s="285"/>
      <c r="P57" s="285"/>
      <c r="Q57" s="285"/>
      <c r="R57" s="285">
        <v>3.964963770509665</v>
      </c>
      <c r="S57" s="285">
        <v>5.3259185528835822</v>
      </c>
      <c r="T57" s="285">
        <v>0.50593863797205951</v>
      </c>
      <c r="U57" s="285">
        <v>0</v>
      </c>
      <c r="V57" s="285">
        <v>0</v>
      </c>
      <c r="W57" s="285"/>
    </row>
    <row r="58" spans="1:23" x14ac:dyDescent="0.25">
      <c r="A58" s="285"/>
      <c r="B58" s="285" t="s">
        <v>120</v>
      </c>
      <c r="C58" s="285" t="s">
        <v>91</v>
      </c>
      <c r="D58" s="285">
        <v>293.07768988384151</v>
      </c>
      <c r="E58" s="285">
        <v>264.65481899468614</v>
      </c>
      <c r="F58" s="285"/>
      <c r="G58" s="285"/>
      <c r="H58" s="285"/>
      <c r="I58" s="285"/>
      <c r="J58" s="285"/>
      <c r="K58" s="285"/>
      <c r="L58" s="285"/>
      <c r="M58" s="285"/>
      <c r="N58" s="285">
        <v>5.579288452617214</v>
      </c>
      <c r="O58" s="285"/>
      <c r="P58" s="285"/>
      <c r="Q58" s="285"/>
      <c r="R58" s="285"/>
      <c r="S58" s="285">
        <v>22.843582436538174</v>
      </c>
      <c r="T58" s="285"/>
      <c r="U58" s="285">
        <v>0</v>
      </c>
      <c r="V58" s="285"/>
      <c r="W58" s="285"/>
    </row>
    <row r="59" spans="1:23" x14ac:dyDescent="0.25">
      <c r="A59" s="285"/>
      <c r="B59" s="285" t="s">
        <v>82</v>
      </c>
      <c r="C59" s="285" t="s">
        <v>91</v>
      </c>
      <c r="D59" s="285">
        <v>380.35730596420689</v>
      </c>
      <c r="E59" s="285">
        <v>47.166201581521335</v>
      </c>
      <c r="F59" s="285">
        <v>40.155926086697086</v>
      </c>
      <c r="G59" s="285">
        <v>0.51429025853409982</v>
      </c>
      <c r="H59" s="285"/>
      <c r="I59" s="285"/>
      <c r="J59" s="285"/>
      <c r="K59" s="285"/>
      <c r="L59" s="285"/>
      <c r="M59" s="285"/>
      <c r="N59" s="285">
        <v>0.60835881718722296</v>
      </c>
      <c r="O59" s="285"/>
      <c r="P59" s="285"/>
      <c r="Q59" s="285"/>
      <c r="R59" s="285">
        <v>58.5423678595076</v>
      </c>
      <c r="S59" s="285">
        <v>225.86777126699712</v>
      </c>
      <c r="T59" s="285">
        <v>7.50239009376239</v>
      </c>
      <c r="U59" s="285"/>
      <c r="V59" s="285"/>
      <c r="W59" s="285"/>
    </row>
    <row r="60" spans="1:23" x14ac:dyDescent="0.25">
      <c r="A60" s="285"/>
      <c r="B60" s="285" t="s">
        <v>121</v>
      </c>
      <c r="C60" s="285" t="s">
        <v>91</v>
      </c>
      <c r="D60" s="285">
        <v>2.5263436786099196E-2</v>
      </c>
      <c r="E60" s="285">
        <v>2.5263436786099196E-2</v>
      </c>
      <c r="F60" s="285"/>
      <c r="G60" s="285"/>
      <c r="H60" s="285"/>
      <c r="I60" s="285"/>
      <c r="J60" s="285"/>
      <c r="K60" s="285"/>
      <c r="L60" s="285"/>
      <c r="M60" s="285"/>
      <c r="N60" s="285"/>
      <c r="O60" s="285"/>
      <c r="P60" s="285"/>
      <c r="Q60" s="285"/>
      <c r="R60" s="285"/>
      <c r="S60" s="285"/>
      <c r="T60" s="285"/>
      <c r="U60" s="285"/>
      <c r="V60" s="285"/>
      <c r="W60" s="285"/>
    </row>
    <row r="61" spans="1:23" x14ac:dyDescent="0.25">
      <c r="A61" s="285"/>
      <c r="B61" s="285" t="s">
        <v>122</v>
      </c>
      <c r="C61" s="285" t="s">
        <v>91</v>
      </c>
      <c r="D61" s="285">
        <v>4.4094054020182412E-2</v>
      </c>
      <c r="E61" s="285">
        <v>4.4094054020182412E-2</v>
      </c>
      <c r="F61" s="285"/>
      <c r="G61" s="285"/>
      <c r="H61" s="285"/>
      <c r="I61" s="285"/>
      <c r="J61" s="285"/>
      <c r="K61" s="285"/>
      <c r="L61" s="285"/>
      <c r="M61" s="285"/>
      <c r="N61" s="285"/>
      <c r="O61" s="285"/>
      <c r="P61" s="285"/>
      <c r="Q61" s="285"/>
      <c r="R61" s="285"/>
      <c r="S61" s="285"/>
      <c r="T61" s="285"/>
      <c r="U61" s="285"/>
      <c r="V61" s="285"/>
      <c r="W61" s="285"/>
    </row>
    <row r="62" spans="1:23" x14ac:dyDescent="0.25">
      <c r="A62" s="285"/>
      <c r="B62" s="285" t="s">
        <v>123</v>
      </c>
      <c r="C62" s="285" t="s">
        <v>91</v>
      </c>
      <c r="D62" s="285">
        <v>1.2865639104032E-3</v>
      </c>
      <c r="E62" s="285">
        <v>1.2865639104032E-3</v>
      </c>
      <c r="F62" s="285"/>
      <c r="G62" s="285"/>
      <c r="H62" s="285"/>
      <c r="I62" s="285"/>
      <c r="J62" s="285"/>
      <c r="K62" s="285"/>
      <c r="L62" s="285"/>
      <c r="M62" s="285"/>
      <c r="N62" s="285"/>
      <c r="O62" s="285"/>
      <c r="P62" s="285"/>
      <c r="Q62" s="285"/>
      <c r="R62" s="285"/>
      <c r="S62" s="285"/>
      <c r="T62" s="285"/>
      <c r="U62" s="285"/>
      <c r="V62" s="285"/>
      <c r="W62" s="285"/>
    </row>
    <row r="63" spans="1:23" x14ac:dyDescent="0.25">
      <c r="A63" s="285"/>
      <c r="B63" s="285" t="s">
        <v>124</v>
      </c>
      <c r="C63" s="285" t="s">
        <v>91</v>
      </c>
      <c r="D63" s="285">
        <v>7.1579737560614434E-2</v>
      </c>
      <c r="E63" s="285">
        <v>7.1579737560614434E-2</v>
      </c>
      <c r="F63" s="285"/>
      <c r="G63" s="285"/>
      <c r="H63" s="285"/>
      <c r="I63" s="285"/>
      <c r="J63" s="285"/>
      <c r="K63" s="285"/>
      <c r="L63" s="285"/>
      <c r="M63" s="285"/>
      <c r="N63" s="285"/>
      <c r="O63" s="285"/>
      <c r="P63" s="285"/>
      <c r="Q63" s="285"/>
      <c r="R63" s="285"/>
      <c r="S63" s="285"/>
      <c r="T63" s="285"/>
      <c r="U63" s="285"/>
      <c r="V63" s="285"/>
      <c r="W63" s="285"/>
    </row>
    <row r="64" spans="1:23" x14ac:dyDescent="0.25">
      <c r="A64" s="285"/>
      <c r="B64" s="285" t="s">
        <v>125</v>
      </c>
      <c r="C64" s="285" t="s">
        <v>91</v>
      </c>
      <c r="D64" s="285">
        <v>0.17263348470501122</v>
      </c>
      <c r="E64" s="285">
        <v>0.17263348470501122</v>
      </c>
      <c r="F64" s="285"/>
      <c r="G64" s="285"/>
      <c r="H64" s="285"/>
      <c r="I64" s="285"/>
      <c r="J64" s="285"/>
      <c r="K64" s="285"/>
      <c r="L64" s="285"/>
      <c r="M64" s="285"/>
      <c r="N64" s="285"/>
      <c r="O64" s="285"/>
      <c r="P64" s="285"/>
      <c r="Q64" s="285"/>
      <c r="R64" s="285"/>
      <c r="S64" s="285"/>
      <c r="T64" s="285"/>
      <c r="U64" s="285"/>
      <c r="V64" s="285"/>
      <c r="W64" s="285"/>
    </row>
    <row r="65" spans="1:20" x14ac:dyDescent="0.25">
      <c r="A65" s="285"/>
      <c r="B65" s="285" t="s">
        <v>81</v>
      </c>
      <c r="C65" s="285" t="s">
        <v>91</v>
      </c>
      <c r="D65" s="285">
        <v>0.1927152814713036</v>
      </c>
      <c r="E65" s="285"/>
      <c r="F65" s="285"/>
      <c r="G65" s="285">
        <v>4.0790180172516233E-2</v>
      </c>
      <c r="H65" s="285"/>
      <c r="I65" s="285"/>
      <c r="J65" s="285"/>
      <c r="K65" s="285"/>
      <c r="L65" s="285"/>
      <c r="M65" s="285"/>
      <c r="N65" s="285">
        <v>9.5282495222411029E-2</v>
      </c>
      <c r="O65" s="285"/>
      <c r="P65" s="285"/>
      <c r="Q65" s="285"/>
      <c r="R65" s="285"/>
      <c r="S65" s="285">
        <v>5.6642606076376327E-2</v>
      </c>
      <c r="T65" s="285"/>
    </row>
    <row r="66" spans="1:20" x14ac:dyDescent="0.25">
      <c r="A66" s="285"/>
      <c r="B66" s="285" t="s">
        <v>126</v>
      </c>
      <c r="C66" s="285" t="s">
        <v>91</v>
      </c>
      <c r="D66" s="285">
        <v>1.76799542543414E-3</v>
      </c>
      <c r="E66" s="285"/>
      <c r="F66" s="285"/>
      <c r="G66" s="285">
        <v>1.76799542543414E-3</v>
      </c>
      <c r="H66" s="285"/>
      <c r="I66" s="285"/>
      <c r="J66" s="285"/>
      <c r="K66" s="285"/>
      <c r="L66" s="285"/>
      <c r="M66" s="285"/>
      <c r="N66" s="285"/>
      <c r="O66" s="285"/>
      <c r="P66" s="285"/>
      <c r="Q66" s="285"/>
      <c r="R66" s="285"/>
      <c r="S66" s="285"/>
      <c r="T66" s="285"/>
    </row>
    <row r="67" spans="1:20" x14ac:dyDescent="0.25">
      <c r="A67" s="285"/>
      <c r="B67" s="285" t="s">
        <v>127</v>
      </c>
      <c r="C67" s="285" t="s">
        <v>91</v>
      </c>
      <c r="D67" s="285">
        <v>5.4807858188458332E-5</v>
      </c>
      <c r="E67" s="285"/>
      <c r="F67" s="285"/>
      <c r="G67" s="285">
        <v>5.4807858188458332E-5</v>
      </c>
      <c r="H67" s="285"/>
      <c r="I67" s="285"/>
      <c r="J67" s="285"/>
      <c r="K67" s="285"/>
      <c r="L67" s="285"/>
      <c r="M67" s="285"/>
      <c r="N67" s="285"/>
      <c r="O67" s="285"/>
      <c r="P67" s="285"/>
      <c r="Q67" s="285"/>
      <c r="R67" s="285"/>
      <c r="S67" s="285"/>
      <c r="T67" s="285"/>
    </row>
    <row r="68" spans="1:20" x14ac:dyDescent="0.25">
      <c r="A68" s="285"/>
      <c r="B68" s="285" t="s">
        <v>128</v>
      </c>
      <c r="C68" s="285" t="s">
        <v>91</v>
      </c>
      <c r="D68" s="285">
        <v>6.3142693765504967E-4</v>
      </c>
      <c r="E68" s="285"/>
      <c r="F68" s="285"/>
      <c r="G68" s="285">
        <v>6.3142693765504967E-4</v>
      </c>
      <c r="H68" s="285"/>
      <c r="I68" s="285"/>
      <c r="J68" s="285"/>
      <c r="K68" s="285"/>
      <c r="L68" s="285"/>
      <c r="M68" s="285"/>
      <c r="N68" s="285"/>
      <c r="O68" s="285"/>
      <c r="P68" s="285"/>
      <c r="Q68" s="285"/>
      <c r="R68" s="285"/>
      <c r="S68" s="285"/>
      <c r="T68" s="285"/>
    </row>
    <row r="69" spans="1:20" x14ac:dyDescent="0.25">
      <c r="A69" s="285"/>
      <c r="B69" s="285" t="s">
        <v>7</v>
      </c>
      <c r="C69" s="285" t="s">
        <v>91</v>
      </c>
      <c r="D69" s="285">
        <v>8.6322740591421115E-2</v>
      </c>
      <c r="E69" s="285"/>
      <c r="F69" s="285">
        <v>2.5503586385414317E-2</v>
      </c>
      <c r="G69" s="285"/>
      <c r="H69" s="285"/>
      <c r="I69" s="285"/>
      <c r="J69" s="285"/>
      <c r="K69" s="285"/>
      <c r="L69" s="285"/>
      <c r="M69" s="285"/>
      <c r="N69" s="285"/>
      <c r="O69" s="285"/>
      <c r="P69" s="285"/>
      <c r="Q69" s="285"/>
      <c r="R69" s="285">
        <v>3.7147846518780239E-2</v>
      </c>
      <c r="S69" s="285">
        <v>1.8826488515355504E-2</v>
      </c>
      <c r="T69" s="285">
        <v>4.8448191718710402E-3</v>
      </c>
    </row>
    <row r="70" spans="1:20" x14ac:dyDescent="0.25">
      <c r="A70" s="285"/>
      <c r="B70" s="285" t="s">
        <v>129</v>
      </c>
      <c r="C70" s="285" t="s">
        <v>91</v>
      </c>
      <c r="D70" s="285">
        <v>0</v>
      </c>
      <c r="E70" s="285"/>
      <c r="F70" s="285"/>
      <c r="G70" s="285"/>
      <c r="H70" s="285"/>
      <c r="I70" s="285"/>
      <c r="J70" s="285"/>
      <c r="K70" s="285"/>
      <c r="L70" s="285"/>
      <c r="M70" s="285"/>
      <c r="N70" s="285"/>
      <c r="O70" s="285"/>
      <c r="P70" s="285"/>
      <c r="Q70" s="285"/>
      <c r="R70" s="285"/>
      <c r="S70" s="285"/>
      <c r="T70" s="285"/>
    </row>
    <row r="71" spans="1:20" x14ac:dyDescent="0.25">
      <c r="A71" s="285"/>
      <c r="B71" s="285" t="s">
        <v>130</v>
      </c>
      <c r="C71" s="285" t="s">
        <v>91</v>
      </c>
      <c r="D71" s="285">
        <v>0</v>
      </c>
      <c r="E71" s="285"/>
      <c r="F71" s="285"/>
      <c r="G71" s="285"/>
      <c r="H71" s="285"/>
      <c r="I71" s="285"/>
      <c r="J71" s="285"/>
      <c r="K71" s="285"/>
      <c r="L71" s="285"/>
      <c r="M71" s="285"/>
      <c r="N71" s="285"/>
      <c r="O71" s="285"/>
      <c r="P71" s="285"/>
      <c r="Q71" s="285"/>
      <c r="R71" s="285"/>
      <c r="S71" s="285"/>
      <c r="T71" s="285"/>
    </row>
    <row r="72" spans="1:20" x14ac:dyDescent="0.25">
      <c r="A72" s="285"/>
      <c r="B72" s="285" t="s">
        <v>131</v>
      </c>
      <c r="C72" s="285" t="s">
        <v>91</v>
      </c>
      <c r="D72" s="285">
        <v>0</v>
      </c>
      <c r="E72" s="285"/>
      <c r="F72" s="285"/>
      <c r="G72" s="285"/>
      <c r="H72" s="285"/>
      <c r="I72" s="285"/>
      <c r="J72" s="285"/>
      <c r="K72" s="285"/>
      <c r="L72" s="285"/>
      <c r="M72" s="285"/>
      <c r="N72" s="285"/>
      <c r="O72" s="285"/>
      <c r="P72" s="285"/>
      <c r="Q72" s="285"/>
      <c r="R72" s="285"/>
      <c r="S72" s="285"/>
      <c r="T72" s="285"/>
    </row>
    <row r="73" spans="1:20" x14ac:dyDescent="0.25">
      <c r="A73" s="285"/>
      <c r="B73" s="285" t="s">
        <v>132</v>
      </c>
      <c r="C73" s="285" t="s">
        <v>91</v>
      </c>
      <c r="D73" s="285">
        <v>0</v>
      </c>
      <c r="E73" s="285"/>
      <c r="F73" s="285"/>
      <c r="G73" s="285"/>
      <c r="H73" s="285"/>
      <c r="I73" s="285"/>
      <c r="J73" s="285"/>
      <c r="K73" s="285"/>
      <c r="L73" s="285"/>
      <c r="M73" s="285"/>
      <c r="N73" s="285"/>
      <c r="O73" s="285"/>
      <c r="P73" s="285"/>
      <c r="Q73" s="285"/>
      <c r="R73" s="285"/>
      <c r="S73" s="285"/>
      <c r="T73" s="285"/>
    </row>
    <row r="74" spans="1:20" x14ac:dyDescent="0.25">
      <c r="A74" s="285"/>
      <c r="B74" s="285" t="s">
        <v>134</v>
      </c>
      <c r="C74" s="285" t="s">
        <v>91</v>
      </c>
      <c r="D74" s="285">
        <v>0</v>
      </c>
      <c r="E74" s="285"/>
      <c r="F74" s="285"/>
      <c r="G74" s="285"/>
      <c r="H74" s="285"/>
      <c r="I74" s="285"/>
      <c r="J74" s="285"/>
      <c r="K74" s="285"/>
      <c r="L74" s="285"/>
      <c r="M74" s="285"/>
      <c r="N74" s="285"/>
      <c r="O74" s="285"/>
      <c r="P74" s="285"/>
      <c r="Q74" s="285"/>
      <c r="R74" s="285"/>
      <c r="S74" s="285"/>
      <c r="T74" s="285"/>
    </row>
    <row r="75" spans="1:20" x14ac:dyDescent="0.25">
      <c r="A75" s="285"/>
      <c r="B75" s="285" t="s">
        <v>135</v>
      </c>
      <c r="C75" s="285" t="s">
        <v>91</v>
      </c>
      <c r="D75" s="285">
        <v>0</v>
      </c>
      <c r="E75" s="285"/>
      <c r="F75" s="285"/>
      <c r="G75" s="285"/>
      <c r="H75" s="285"/>
      <c r="I75" s="285"/>
      <c r="J75" s="285"/>
      <c r="K75" s="285"/>
      <c r="L75" s="285"/>
      <c r="M75" s="285"/>
      <c r="N75" s="285"/>
      <c r="O75" s="285"/>
      <c r="P75" s="285"/>
      <c r="Q75" s="285"/>
      <c r="R75" s="285"/>
      <c r="S75" s="285"/>
      <c r="T75" s="285"/>
    </row>
    <row r="76" spans="1:20" x14ac:dyDescent="0.25">
      <c r="A76" s="285"/>
      <c r="B76" s="285" t="s">
        <v>83</v>
      </c>
      <c r="C76" s="285" t="s">
        <v>91</v>
      </c>
      <c r="D76" s="285">
        <v>0</v>
      </c>
      <c r="E76" s="285"/>
      <c r="F76" s="285"/>
      <c r="G76" s="285"/>
      <c r="H76" s="285"/>
      <c r="I76" s="285"/>
      <c r="J76" s="285"/>
      <c r="K76" s="285"/>
      <c r="L76" s="285"/>
      <c r="M76" s="285"/>
      <c r="N76" s="285"/>
      <c r="O76" s="285"/>
      <c r="P76" s="285"/>
      <c r="Q76" s="285"/>
      <c r="R76" s="285"/>
      <c r="S76" s="285"/>
      <c r="T76" s="285"/>
    </row>
    <row r="77" spans="1:20" x14ac:dyDescent="0.25">
      <c r="A77" s="285"/>
      <c r="B77" s="285" t="s">
        <v>136</v>
      </c>
      <c r="C77" s="285" t="s">
        <v>91</v>
      </c>
      <c r="D77" s="285">
        <v>1.94647914247065</v>
      </c>
      <c r="E77" s="285"/>
      <c r="F77" s="285"/>
      <c r="G77" s="285"/>
      <c r="H77" s="285"/>
      <c r="I77" s="285"/>
      <c r="J77" s="285"/>
      <c r="K77" s="285"/>
      <c r="L77" s="285"/>
      <c r="M77" s="285"/>
      <c r="N77" s="285"/>
      <c r="O77" s="285"/>
      <c r="P77" s="285"/>
      <c r="Q77" s="285"/>
      <c r="R77" s="285"/>
      <c r="S77" s="285">
        <v>1.94647914247065</v>
      </c>
      <c r="T77" s="285"/>
    </row>
    <row r="78" spans="1:20" x14ac:dyDescent="0.25">
      <c r="A78" s="285"/>
      <c r="B78" s="285"/>
      <c r="C78" s="285"/>
      <c r="D78" s="285"/>
      <c r="E78" s="285"/>
      <c r="F78" s="285"/>
      <c r="G78" s="285"/>
      <c r="H78" s="285"/>
      <c r="I78" s="285"/>
      <c r="J78" s="285"/>
      <c r="K78" s="285"/>
      <c r="L78" s="285"/>
      <c r="M78" s="285"/>
      <c r="N78" s="285"/>
      <c r="O78" s="285"/>
      <c r="P78" s="285"/>
      <c r="Q78" s="285"/>
      <c r="R78" s="285"/>
      <c r="S78" s="285"/>
      <c r="T78" s="285"/>
    </row>
    <row r="79" spans="1:20" x14ac:dyDescent="0.25">
      <c r="A79" s="285" t="s">
        <v>146</v>
      </c>
      <c r="B79" s="285"/>
      <c r="C79" s="285" t="s">
        <v>101</v>
      </c>
      <c r="D79" s="285"/>
      <c r="E79" s="285" t="s">
        <v>142</v>
      </c>
      <c r="F79" s="285" t="s">
        <v>118</v>
      </c>
      <c r="G79" s="285" t="s">
        <v>120</v>
      </c>
      <c r="H79" s="285" t="s">
        <v>82</v>
      </c>
      <c r="I79" s="285" t="s">
        <v>81</v>
      </c>
      <c r="J79" s="285" t="s">
        <v>7</v>
      </c>
      <c r="K79" s="285" t="s">
        <v>125</v>
      </c>
      <c r="L79" s="285" t="s">
        <v>84</v>
      </c>
      <c r="M79" s="285" t="s">
        <v>79</v>
      </c>
      <c r="N79" s="285"/>
      <c r="O79" s="285"/>
      <c r="P79" s="285"/>
      <c r="Q79" s="285"/>
      <c r="R79" s="285"/>
      <c r="S79" s="285"/>
      <c r="T79" s="285"/>
    </row>
    <row r="80" spans="1:20" x14ac:dyDescent="0.25">
      <c r="A80" s="285"/>
      <c r="B80" s="285"/>
      <c r="C80" s="285" t="s">
        <v>91</v>
      </c>
      <c r="D80" s="285"/>
      <c r="E80" s="285" t="s">
        <v>94</v>
      </c>
      <c r="F80" s="285">
        <v>13.129238237367922</v>
      </c>
      <c r="G80" s="285">
        <v>264.65481899468614</v>
      </c>
      <c r="H80" s="285">
        <v>87.836417926752532</v>
      </c>
      <c r="I80" s="285">
        <v>4.0790180172516233E-2</v>
      </c>
      <c r="J80" s="285">
        <v>2.5503586385414317E-2</v>
      </c>
      <c r="K80" s="285">
        <v>0.17263348470501122</v>
      </c>
      <c r="L80" s="285">
        <v>0.14222379227729925</v>
      </c>
      <c r="M80" s="285">
        <v>366.00162620234681</v>
      </c>
      <c r="N80" s="285"/>
      <c r="O80" s="285"/>
      <c r="P80" s="285"/>
      <c r="Q80" s="285"/>
      <c r="R80" s="285"/>
      <c r="S80" s="285"/>
      <c r="T80" s="285"/>
    </row>
    <row r="81" spans="1:13" x14ac:dyDescent="0.25">
      <c r="A81" s="285" t="s">
        <v>147</v>
      </c>
      <c r="B81" s="285"/>
      <c r="C81" s="285" t="s">
        <v>91</v>
      </c>
      <c r="D81" s="285"/>
      <c r="E81" s="285" t="s">
        <v>95</v>
      </c>
      <c r="F81" s="285">
        <v>4.4148882702246555</v>
      </c>
      <c r="G81" s="285">
        <v>5.579288452617214</v>
      </c>
      <c r="H81" s="285">
        <v>59.150726676694823</v>
      </c>
      <c r="I81" s="285">
        <v>9.5282495222411029E-2</v>
      </c>
      <c r="J81" s="285">
        <v>3.7147846518780239E-2</v>
      </c>
      <c r="K81" s="285">
        <v>0</v>
      </c>
      <c r="L81" s="285">
        <v>0</v>
      </c>
      <c r="M81" s="285">
        <v>69.277333741277872</v>
      </c>
    </row>
    <row r="82" spans="1:13" x14ac:dyDescent="0.25">
      <c r="A82" s="285" t="s">
        <v>143</v>
      </c>
      <c r="B82" s="285"/>
      <c r="C82" s="285" t="s">
        <v>91</v>
      </c>
      <c r="D82" s="285"/>
      <c r="E82" s="285" t="s">
        <v>96</v>
      </c>
      <c r="F82" s="285">
        <v>5.8318571908556418</v>
      </c>
      <c r="G82" s="285">
        <v>22.843582436538174</v>
      </c>
      <c r="H82" s="285">
        <v>233.37016136075951</v>
      </c>
      <c r="I82" s="285">
        <v>5.6642606076376327E-2</v>
      </c>
      <c r="J82" s="285">
        <v>2.3671307687226542E-2</v>
      </c>
      <c r="K82" s="285">
        <v>0</v>
      </c>
      <c r="L82" s="285">
        <v>0</v>
      </c>
      <c r="M82" s="285">
        <v>262.12591490191687</v>
      </c>
    </row>
    <row r="83" spans="1:13" x14ac:dyDescent="0.25">
      <c r="A83" s="285"/>
      <c r="B83" s="285"/>
      <c r="C83" s="285" t="s">
        <v>91</v>
      </c>
      <c r="D83" s="285"/>
      <c r="E83" s="285" t="s">
        <v>97</v>
      </c>
      <c r="F83" s="285">
        <v>0</v>
      </c>
      <c r="G83" s="285">
        <v>0</v>
      </c>
      <c r="H83" s="285">
        <v>0</v>
      </c>
      <c r="I83" s="285">
        <v>0</v>
      </c>
      <c r="J83" s="285">
        <v>0</v>
      </c>
      <c r="K83" s="285">
        <v>0</v>
      </c>
      <c r="L83" s="285">
        <v>0</v>
      </c>
      <c r="M83" s="285">
        <v>0</v>
      </c>
    </row>
    <row r="84" spans="1:13" x14ac:dyDescent="0.25">
      <c r="A84" s="285"/>
      <c r="B84" s="285"/>
      <c r="C84" s="285" t="s">
        <v>91</v>
      </c>
      <c r="D84" s="285"/>
      <c r="E84" s="285" t="s">
        <v>79</v>
      </c>
      <c r="F84" s="285">
        <v>23.375983698448216</v>
      </c>
      <c r="G84" s="285">
        <v>293.07768988384151</v>
      </c>
      <c r="H84" s="285">
        <v>380.35730596420683</v>
      </c>
      <c r="I84" s="285">
        <v>0.1927152814713036</v>
      </c>
      <c r="J84" s="285">
        <v>8.6322740591421102E-2</v>
      </c>
      <c r="K84" s="285">
        <v>0.17263348470501122</v>
      </c>
      <c r="L84" s="285">
        <v>0.14222379227729925</v>
      </c>
      <c r="M84" s="285">
        <v>697.4048748455416</v>
      </c>
    </row>
    <row r="85" spans="1:13" x14ac:dyDescent="0.25">
      <c r="A85" s="285"/>
      <c r="B85" s="285"/>
      <c r="C85" s="285"/>
      <c r="D85" s="285"/>
      <c r="E85" s="285" t="s">
        <v>144</v>
      </c>
      <c r="F85" s="285">
        <v>3.3518526384871392E-2</v>
      </c>
      <c r="G85" s="285">
        <v>0.42024038037983485</v>
      </c>
      <c r="H85" s="285">
        <v>0.5453895143025016</v>
      </c>
      <c r="I85" s="285">
        <v>2.7633199655219704E-4</v>
      </c>
      <c r="J85" s="285">
        <v>1.2377708230178276E-4</v>
      </c>
      <c r="K85" s="285">
        <v>2.4753696300623852E-4</v>
      </c>
      <c r="L85" s="285">
        <v>2.0393289093196889E-4</v>
      </c>
      <c r="M85" s="285">
        <v>1</v>
      </c>
    </row>
    <row r="86" spans="1:13" x14ac:dyDescent="0.25">
      <c r="A86" s="285"/>
      <c r="B86" s="285"/>
      <c r="C86" s="285"/>
      <c r="D86" s="285"/>
      <c r="E86" s="285"/>
      <c r="F86" s="285"/>
      <c r="G86" s="285"/>
      <c r="H86" s="285"/>
      <c r="I86" s="285"/>
      <c r="J86" s="285"/>
      <c r="K86" s="285"/>
      <c r="L86" s="285"/>
      <c r="M86" s="285"/>
    </row>
    <row r="87" spans="1:13" x14ac:dyDescent="0.25">
      <c r="A87" s="285" t="s">
        <v>148</v>
      </c>
      <c r="B87" s="285"/>
      <c r="C87" s="285" t="s">
        <v>101</v>
      </c>
      <c r="D87" s="285" t="s">
        <v>149</v>
      </c>
      <c r="E87" s="285" t="s">
        <v>150</v>
      </c>
      <c r="F87" s="285" t="s">
        <v>151</v>
      </c>
      <c r="G87" s="285" t="s">
        <v>152</v>
      </c>
      <c r="H87" s="285"/>
      <c r="I87" s="285" t="s">
        <v>153</v>
      </c>
      <c r="J87" s="285"/>
      <c r="K87" s="285"/>
      <c r="L87" s="285"/>
      <c r="M87" s="285"/>
    </row>
    <row r="88" spans="1:13" x14ac:dyDescent="0.25">
      <c r="A88" s="285" t="s">
        <v>154</v>
      </c>
      <c r="B88" s="285"/>
      <c r="C88" s="285" t="s">
        <v>155</v>
      </c>
      <c r="D88" s="285">
        <v>8458.8517691423531</v>
      </c>
      <c r="E88" s="285">
        <v>2476.1906982634691</v>
      </c>
      <c r="F88" s="285">
        <v>5262.2969328774916</v>
      </c>
      <c r="G88" s="285">
        <v>720.36413800139212</v>
      </c>
      <c r="H88" s="285"/>
      <c r="I88" s="285"/>
      <c r="J88" s="285">
        <v>1</v>
      </c>
      <c r="K88" s="285"/>
      <c r="L88" s="285"/>
      <c r="M88" s="285"/>
    </row>
    <row r="89" spans="1:13" x14ac:dyDescent="0.25">
      <c r="A89" s="285" t="s">
        <v>156</v>
      </c>
      <c r="B89" s="285"/>
      <c r="C89" s="285" t="s">
        <v>155</v>
      </c>
      <c r="D89" s="285">
        <v>7380.9917123018895</v>
      </c>
      <c r="E89" s="285">
        <v>2299.1026958257212</v>
      </c>
      <c r="F89" s="285">
        <v>4364.0054714546159</v>
      </c>
      <c r="G89" s="285">
        <v>717.8835450215521</v>
      </c>
      <c r="H89" s="285"/>
      <c r="I89" s="285">
        <v>1</v>
      </c>
      <c r="J89" s="285">
        <v>0.87257607932409154</v>
      </c>
      <c r="K89" s="285"/>
      <c r="L89" s="285"/>
      <c r="M89" s="285"/>
    </row>
    <row r="90" spans="1:13" x14ac:dyDescent="0.25">
      <c r="A90" s="285" t="s">
        <v>157</v>
      </c>
      <c r="B90" s="285"/>
      <c r="C90" s="285" t="s">
        <v>155</v>
      </c>
      <c r="D90" s="285">
        <v>7308.4762918973456</v>
      </c>
      <c r="E90" s="285">
        <v>2236.3231520020936</v>
      </c>
      <c r="F90" s="285">
        <v>4354.2695948737</v>
      </c>
      <c r="G90" s="285">
        <v>717.8835450215521</v>
      </c>
      <c r="H90" s="285"/>
      <c r="I90" s="285">
        <v>0.99017538249180226</v>
      </c>
      <c r="J90" s="285"/>
      <c r="K90" s="285"/>
      <c r="L90" s="285"/>
      <c r="M90" s="285"/>
    </row>
    <row r="91" spans="1:13" x14ac:dyDescent="0.25">
      <c r="A91" s="285" t="s">
        <v>158</v>
      </c>
      <c r="B91" s="285"/>
      <c r="C91" s="285" t="s">
        <v>155</v>
      </c>
      <c r="D91" s="285">
        <v>5941.2589968579759</v>
      </c>
      <c r="E91" s="285">
        <v>1384.1333341325765</v>
      </c>
      <c r="F91" s="285">
        <v>3894.4298886576835</v>
      </c>
      <c r="G91" s="285">
        <v>662.695774067716</v>
      </c>
      <c r="H91" s="285"/>
      <c r="I91" s="285">
        <v>0.80494047797881785</v>
      </c>
      <c r="J91" s="285"/>
      <c r="K91" s="285"/>
      <c r="L91" s="285"/>
      <c r="M91" s="285"/>
    </row>
    <row r="92" spans="1:13" x14ac:dyDescent="0.25">
      <c r="A92" s="285" t="s">
        <v>159</v>
      </c>
      <c r="B92" s="285"/>
      <c r="C92" s="285" t="s">
        <v>155</v>
      </c>
      <c r="D92" s="285">
        <v>1206.7383154668364</v>
      </c>
      <c r="E92" s="285">
        <v>706.75879359734461</v>
      </c>
      <c r="F92" s="285">
        <v>445.08280320133582</v>
      </c>
      <c r="G92" s="285">
        <v>54.896718668156005</v>
      </c>
      <c r="H92" s="285"/>
      <c r="I92" s="285">
        <v>0.16349270701057247</v>
      </c>
      <c r="J92" s="285"/>
      <c r="K92" s="285"/>
      <c r="L92" s="285"/>
      <c r="M92" s="285"/>
    </row>
    <row r="93" spans="1:13" x14ac:dyDescent="0.25">
      <c r="A93" s="285" t="s">
        <v>160</v>
      </c>
      <c r="B93" s="285"/>
      <c r="C93" s="285" t="s">
        <v>155</v>
      </c>
      <c r="D93" s="285">
        <v>156.657889283538</v>
      </c>
      <c r="E93" s="285">
        <v>141.60993398317399</v>
      </c>
      <c r="F93" s="285">
        <v>14.756903014683999</v>
      </c>
      <c r="G93" s="285">
        <v>0.29105228567999997</v>
      </c>
      <c r="H93" s="285"/>
      <c r="I93" s="285">
        <v>2.1224504157406992E-2</v>
      </c>
      <c r="J93" s="285"/>
      <c r="K93" s="285"/>
      <c r="L93" s="285"/>
      <c r="M93" s="285"/>
    </row>
    <row r="94" spans="1:13" x14ac:dyDescent="0.25">
      <c r="A94" s="285" t="s">
        <v>161</v>
      </c>
      <c r="B94" s="285"/>
      <c r="C94" s="285" t="s">
        <v>155</v>
      </c>
      <c r="D94" s="285">
        <v>72.515420404541587</v>
      </c>
      <c r="E94" s="285">
        <v>62.779543823627591</v>
      </c>
      <c r="F94" s="285">
        <v>9.7358765809140007</v>
      </c>
      <c r="G94" s="285">
        <v>0</v>
      </c>
      <c r="H94" s="285"/>
      <c r="I94" s="285">
        <v>9.8246175081974727E-3</v>
      </c>
      <c r="J94" s="285"/>
      <c r="K94" s="285"/>
      <c r="L94" s="285"/>
      <c r="M94" s="285"/>
    </row>
    <row r="95" spans="1:13" x14ac:dyDescent="0.25">
      <c r="A95" s="285" t="s">
        <v>162</v>
      </c>
      <c r="B95" s="285"/>
      <c r="C95" s="285" t="s">
        <v>155</v>
      </c>
      <c r="D95" s="285">
        <v>218.49684823509403</v>
      </c>
      <c r="E95" s="285">
        <v>75.367079710934064</v>
      </c>
      <c r="F95" s="285">
        <v>142.20092685055997</v>
      </c>
      <c r="G95" s="285">
        <v>0.92884167360000003</v>
      </c>
      <c r="H95" s="285"/>
      <c r="I95" s="285">
        <v>1</v>
      </c>
      <c r="J95" s="285">
        <v>2.5830556463013601E-2</v>
      </c>
      <c r="K95" s="285"/>
      <c r="L95" s="285"/>
      <c r="M95" s="285"/>
    </row>
    <row r="96" spans="1:13" x14ac:dyDescent="0.25">
      <c r="A96" s="285" t="s">
        <v>161</v>
      </c>
      <c r="B96" s="285"/>
      <c r="C96" s="285" t="s">
        <v>155</v>
      </c>
      <c r="D96" s="285">
        <v>1.6070277668999999</v>
      </c>
      <c r="E96" s="285">
        <v>0.7897714575</v>
      </c>
      <c r="F96" s="285">
        <v>0.81725630939999994</v>
      </c>
      <c r="G96" s="285">
        <v>0</v>
      </c>
      <c r="H96" s="285"/>
      <c r="I96" s="285">
        <v>7.3549242466458883E-3</v>
      </c>
      <c r="J96" s="285"/>
      <c r="K96" s="285"/>
      <c r="L96" s="285"/>
      <c r="M96" s="285"/>
    </row>
    <row r="97" spans="1:10" x14ac:dyDescent="0.25">
      <c r="A97" s="285" t="s">
        <v>163</v>
      </c>
      <c r="B97" s="285"/>
      <c r="C97" s="285" t="s">
        <v>155</v>
      </c>
      <c r="D97" s="285">
        <v>221.28885416326918</v>
      </c>
      <c r="E97" s="285">
        <v>15.028291957715004</v>
      </c>
      <c r="F97" s="285">
        <v>206.26056220555418</v>
      </c>
      <c r="G97" s="285">
        <v>0</v>
      </c>
      <c r="H97" s="285"/>
      <c r="I97" s="285">
        <v>1</v>
      </c>
      <c r="J97" s="285">
        <v>2.6160625602936385E-2</v>
      </c>
    </row>
    <row r="98" spans="1:10" x14ac:dyDescent="0.25">
      <c r="A98" s="285" t="s">
        <v>161</v>
      </c>
      <c r="B98" s="285"/>
      <c r="C98" s="285" t="s">
        <v>155</v>
      </c>
      <c r="D98" s="285">
        <v>41.496414707968007</v>
      </c>
      <c r="E98" s="285">
        <v>0</v>
      </c>
      <c r="F98" s="285">
        <v>41.496414707968007</v>
      </c>
      <c r="G98" s="285">
        <v>0</v>
      </c>
      <c r="H98" s="285"/>
      <c r="I98" s="285">
        <v>0.187521485729017</v>
      </c>
      <c r="J98" s="285" t="s">
        <v>164</v>
      </c>
    </row>
    <row r="99" spans="1:10" x14ac:dyDescent="0.25">
      <c r="A99" s="285" t="s">
        <v>165</v>
      </c>
      <c r="B99" s="285"/>
      <c r="C99" s="285" t="s">
        <v>155</v>
      </c>
      <c r="D99" s="285">
        <v>638.59548079198987</v>
      </c>
      <c r="E99" s="285">
        <v>87.213757118996952</v>
      </c>
      <c r="F99" s="285">
        <v>549.82997236675294</v>
      </c>
      <c r="G99" s="285">
        <v>1.5517513062399999</v>
      </c>
      <c r="H99" s="285"/>
      <c r="I99" s="285">
        <v>1</v>
      </c>
      <c r="J99" s="285">
        <v>7.549434583090435E-2</v>
      </c>
    </row>
    <row r="100" spans="1:10" x14ac:dyDescent="0.25">
      <c r="A100" s="285"/>
      <c r="B100" s="285"/>
      <c r="C100" s="285"/>
      <c r="D100" s="285"/>
      <c r="E100" s="285"/>
      <c r="F100" s="285"/>
      <c r="G100" s="285"/>
      <c r="H100" s="285"/>
      <c r="I100" s="285"/>
      <c r="J100" s="285"/>
    </row>
    <row r="101" spans="1:10" x14ac:dyDescent="0.25">
      <c r="A101" s="285" t="s">
        <v>166</v>
      </c>
      <c r="B101" s="285"/>
      <c r="C101" s="285" t="s">
        <v>155</v>
      </c>
      <c r="D101" s="285">
        <v>7147.9973123248128</v>
      </c>
      <c r="E101" s="285"/>
      <c r="F101" s="285"/>
      <c r="G101" s="285"/>
      <c r="H101" s="285"/>
      <c r="I101" s="285"/>
      <c r="J101" s="285"/>
    </row>
    <row r="102" spans="1:10" x14ac:dyDescent="0.25">
      <c r="A102" s="285" t="s">
        <v>167</v>
      </c>
      <c r="B102" s="285"/>
      <c r="C102" s="285"/>
      <c r="D102" s="285"/>
      <c r="E102" s="285"/>
      <c r="F102" s="285"/>
      <c r="G102" s="285" t="s">
        <v>168</v>
      </c>
      <c r="H102" s="285"/>
      <c r="I102" s="285"/>
      <c r="J102" s="285"/>
    </row>
    <row r="103" spans="1:10" x14ac:dyDescent="0.25">
      <c r="A103" s="285" t="s">
        <v>169</v>
      </c>
      <c r="B103" s="285"/>
      <c r="C103" s="285"/>
      <c r="D103" s="285"/>
      <c r="E103" s="285"/>
      <c r="F103" s="285"/>
      <c r="G103" s="285"/>
      <c r="H103" s="285"/>
      <c r="I103" s="285"/>
      <c r="J103" s="285"/>
    </row>
    <row r="104" spans="1:10" x14ac:dyDescent="0.25">
      <c r="A104" s="285"/>
      <c r="B104" s="285"/>
      <c r="C104" s="285" t="s">
        <v>101</v>
      </c>
      <c r="D104" s="285"/>
      <c r="E104" s="285" t="s">
        <v>170</v>
      </c>
      <c r="F104" s="285"/>
      <c r="G104" s="285"/>
      <c r="H104" s="285"/>
      <c r="I104" s="285"/>
      <c r="J104" s="285"/>
    </row>
    <row r="105" spans="1:10" x14ac:dyDescent="0.25">
      <c r="A105" s="285"/>
      <c r="B105" s="285" t="s">
        <v>171</v>
      </c>
      <c r="C105" s="285" t="s">
        <v>91</v>
      </c>
      <c r="D105" s="285">
        <v>71651.256149351218</v>
      </c>
      <c r="E105" s="285">
        <v>1</v>
      </c>
      <c r="F105" s="285"/>
      <c r="G105" s="285"/>
      <c r="H105" s="285"/>
      <c r="I105" s="285"/>
      <c r="J105" s="285"/>
    </row>
    <row r="106" spans="1:10" x14ac:dyDescent="0.25">
      <c r="A106" s="285"/>
      <c r="B106" s="285" t="s">
        <v>172</v>
      </c>
      <c r="C106" s="285" t="s">
        <v>91</v>
      </c>
      <c r="D106" s="285">
        <v>699.35380821823344</v>
      </c>
      <c r="E106" s="285">
        <v>9.7605240410647831E-3</v>
      </c>
      <c r="F106" s="285"/>
      <c r="G106" s="285"/>
      <c r="H106" s="285"/>
      <c r="I106" s="285"/>
      <c r="J106" s="285"/>
    </row>
    <row r="107" spans="1:10" x14ac:dyDescent="0.25">
      <c r="A107" s="285"/>
      <c r="B107" s="285" t="s">
        <v>173</v>
      </c>
      <c r="C107" s="285" t="s">
        <v>91</v>
      </c>
      <c r="D107" s="285">
        <v>70951.902341132984</v>
      </c>
      <c r="E107" s="285">
        <v>0.99023947595893524</v>
      </c>
      <c r="F107" s="285"/>
      <c r="G107" s="285"/>
      <c r="H107" s="285"/>
      <c r="I107" s="285"/>
      <c r="J107" s="285"/>
    </row>
    <row r="108" spans="1:10" x14ac:dyDescent="0.25">
      <c r="A108" s="285"/>
      <c r="B108" s="285" t="s">
        <v>174</v>
      </c>
      <c r="C108" s="285" t="s">
        <v>91</v>
      </c>
      <c r="D108" s="285">
        <v>57674.996372641479</v>
      </c>
      <c r="E108" s="285">
        <v>0.80494047797881785</v>
      </c>
      <c r="F108" s="285"/>
      <c r="G108" s="285"/>
      <c r="H108" s="285"/>
      <c r="I108" s="285"/>
      <c r="J108" s="285"/>
    </row>
    <row r="109" spans="1:10" x14ac:dyDescent="0.25">
      <c r="A109" s="285"/>
      <c r="B109" s="285" t="s">
        <v>175</v>
      </c>
      <c r="C109" s="285" t="s">
        <v>176</v>
      </c>
      <c r="D109" s="285">
        <v>19.100000000000001</v>
      </c>
      <c r="E109" s="285" t="s">
        <v>177</v>
      </c>
      <c r="F109" s="285"/>
      <c r="G109" s="285"/>
      <c r="H109" s="285"/>
      <c r="I109" s="285"/>
      <c r="J109" s="285"/>
    </row>
    <row r="110" spans="1:10" x14ac:dyDescent="0.25">
      <c r="A110" s="285"/>
      <c r="B110" s="285" t="s">
        <v>178</v>
      </c>
      <c r="C110" s="285" t="s">
        <v>179</v>
      </c>
      <c r="D110" s="285">
        <v>3.019633317939344</v>
      </c>
      <c r="E110" s="285"/>
      <c r="F110" s="285"/>
      <c r="G110" s="285"/>
      <c r="H110" s="285"/>
      <c r="I110" s="285"/>
      <c r="J110" s="285"/>
    </row>
    <row r="111" spans="1:10" x14ac:dyDescent="0.25">
      <c r="A111" s="285"/>
      <c r="B111" s="285" t="s">
        <v>180</v>
      </c>
      <c r="C111" s="285" t="s">
        <v>181</v>
      </c>
      <c r="D111" s="285">
        <v>4.1459657653588398</v>
      </c>
      <c r="E111" s="285" t="s">
        <v>182</v>
      </c>
      <c r="F111" s="285">
        <v>17282163</v>
      </c>
      <c r="G111" s="285" t="s">
        <v>183</v>
      </c>
      <c r="H111" s="285"/>
      <c r="I111" s="285"/>
      <c r="J111" s="285"/>
    </row>
    <row r="113" spans="1:25" x14ac:dyDescent="0.25">
      <c r="A113" s="285"/>
      <c r="B113" s="285"/>
      <c r="C113" s="285"/>
      <c r="D113" s="285"/>
      <c r="E113" s="285"/>
      <c r="F113" s="285"/>
      <c r="G113" s="285"/>
      <c r="H113" s="285"/>
      <c r="I113" s="285"/>
      <c r="J113" s="285"/>
      <c r="K113" s="285"/>
      <c r="L113" s="285"/>
      <c r="M113" s="285"/>
      <c r="N113" s="285"/>
      <c r="O113" s="285"/>
      <c r="P113" s="285"/>
      <c r="Q113" s="285"/>
      <c r="R113" s="285"/>
      <c r="S113" s="285"/>
      <c r="T113" s="285"/>
      <c r="U113" s="285"/>
      <c r="V113" s="285"/>
      <c r="W113" s="285"/>
      <c r="X113" s="285"/>
      <c r="Y113" s="285" t="s">
        <v>184</v>
      </c>
    </row>
    <row r="114" spans="1:25" x14ac:dyDescent="0.25">
      <c r="A114" s="285" t="s">
        <v>185</v>
      </c>
      <c r="B114" s="285"/>
      <c r="C114" s="285" t="s">
        <v>101</v>
      </c>
      <c r="D114" s="285">
        <v>2000</v>
      </c>
      <c r="E114" s="285">
        <v>2001</v>
      </c>
      <c r="F114" s="285">
        <v>2002</v>
      </c>
      <c r="G114" s="285">
        <v>2003</v>
      </c>
      <c r="H114" s="285">
        <v>2004</v>
      </c>
      <c r="I114" s="285">
        <v>2005</v>
      </c>
      <c r="J114" s="285">
        <v>2006</v>
      </c>
      <c r="K114" s="285">
        <v>2007</v>
      </c>
      <c r="L114" s="285">
        <v>2008</v>
      </c>
      <c r="M114" s="285">
        <v>2009</v>
      </c>
      <c r="N114" s="285">
        <v>2010</v>
      </c>
      <c r="O114" s="285">
        <v>2011</v>
      </c>
      <c r="P114" s="285">
        <v>2012</v>
      </c>
      <c r="Q114" s="285">
        <v>2013</v>
      </c>
      <c r="R114" s="285">
        <v>2014</v>
      </c>
      <c r="S114" s="285">
        <v>2015</v>
      </c>
      <c r="T114" s="285" t="s">
        <v>186</v>
      </c>
      <c r="U114" s="285">
        <v>2017</v>
      </c>
      <c r="V114" s="285">
        <v>2018</v>
      </c>
      <c r="W114" s="285">
        <v>2019</v>
      </c>
      <c r="X114" s="285">
        <v>2020</v>
      </c>
      <c r="Y114" s="285" t="s">
        <v>187</v>
      </c>
    </row>
    <row r="115" spans="1:25" x14ac:dyDescent="0.25">
      <c r="A115" s="285" t="s">
        <v>188</v>
      </c>
      <c r="B115" s="285"/>
      <c r="C115" s="285" t="s">
        <v>155</v>
      </c>
      <c r="D115" s="285"/>
      <c r="E115" s="285"/>
      <c r="F115" s="285"/>
      <c r="G115" s="285"/>
      <c r="H115" s="285"/>
      <c r="I115" s="285"/>
      <c r="J115" s="285"/>
      <c r="K115" s="285">
        <v>6830</v>
      </c>
      <c r="L115" s="285">
        <v>6830</v>
      </c>
      <c r="M115" s="285">
        <v>6823</v>
      </c>
      <c r="N115" s="285">
        <v>7002</v>
      </c>
      <c r="O115" s="285">
        <v>7000</v>
      </c>
      <c r="P115" s="285">
        <v>7033</v>
      </c>
      <c r="Q115" s="285">
        <v>7028</v>
      </c>
      <c r="R115" s="285">
        <v>7030</v>
      </c>
      <c r="S115" s="285">
        <v>7021</v>
      </c>
      <c r="T115" s="285">
        <v>7219</v>
      </c>
      <c r="U115" s="285">
        <v>7146</v>
      </c>
      <c r="V115" s="285">
        <v>7114</v>
      </c>
      <c r="W115" s="285">
        <v>7097</v>
      </c>
      <c r="X115" s="285"/>
      <c r="Y115" s="285" t="s">
        <v>189</v>
      </c>
    </row>
    <row r="116" spans="1:25" x14ac:dyDescent="0.25">
      <c r="A116" s="285" t="s">
        <v>190</v>
      </c>
      <c r="B116" s="285"/>
      <c r="C116" s="285" t="s">
        <v>155</v>
      </c>
      <c r="D116" s="285"/>
      <c r="E116" s="285"/>
      <c r="F116" s="285"/>
      <c r="G116" s="285"/>
      <c r="H116" s="285"/>
      <c r="I116" s="285"/>
      <c r="J116" s="285"/>
      <c r="K116" s="285">
        <v>104</v>
      </c>
      <c r="L116" s="285">
        <v>91.3</v>
      </c>
      <c r="M116" s="285">
        <v>105</v>
      </c>
      <c r="N116" s="285">
        <v>131</v>
      </c>
      <c r="O116" s="285">
        <v>139</v>
      </c>
      <c r="P116" s="285">
        <v>108</v>
      </c>
      <c r="Q116" s="285">
        <v>94</v>
      </c>
      <c r="R116" s="285">
        <v>125</v>
      </c>
      <c r="S116" s="285">
        <v>196</v>
      </c>
      <c r="T116" s="285"/>
      <c r="U116" s="285"/>
      <c r="V116" s="285"/>
      <c r="W116" s="285"/>
      <c r="X116" s="285"/>
      <c r="Y116" s="285"/>
    </row>
    <row r="117" spans="1:25" x14ac:dyDescent="0.25">
      <c r="A117" s="285" t="s">
        <v>107</v>
      </c>
      <c r="B117" s="285"/>
      <c r="C117" s="285" t="s">
        <v>191</v>
      </c>
      <c r="D117" s="285"/>
      <c r="E117" s="285"/>
      <c r="F117" s="285"/>
      <c r="G117" s="285"/>
      <c r="H117" s="285"/>
      <c r="I117" s="285"/>
      <c r="J117" s="285"/>
      <c r="K117" s="285">
        <v>7488</v>
      </c>
      <c r="L117" s="285">
        <v>7508</v>
      </c>
      <c r="M117" s="285">
        <v>7533</v>
      </c>
      <c r="N117" s="285">
        <v>7342</v>
      </c>
      <c r="O117" s="285">
        <v>7352</v>
      </c>
      <c r="P117" s="285">
        <v>7195</v>
      </c>
      <c r="Q117" s="285">
        <v>7172</v>
      </c>
      <c r="R117" s="285">
        <v>7151</v>
      </c>
      <c r="S117" s="285">
        <v>7071</v>
      </c>
      <c r="T117" s="285">
        <v>7006</v>
      </c>
      <c r="U117" s="285">
        <v>6922</v>
      </c>
      <c r="V117" s="285">
        <v>6795</v>
      </c>
      <c r="W117" s="285">
        <v>6560</v>
      </c>
      <c r="X117" s="285"/>
      <c r="Y117" s="285" t="s">
        <v>168</v>
      </c>
    </row>
    <row r="118" spans="1:25" x14ac:dyDescent="0.25">
      <c r="A118" s="285" t="s">
        <v>190</v>
      </c>
      <c r="B118" s="285"/>
      <c r="C118" s="285" t="s">
        <v>191</v>
      </c>
      <c r="D118" s="285"/>
      <c r="E118" s="285"/>
      <c r="F118" s="285"/>
      <c r="G118" s="285"/>
      <c r="H118" s="285"/>
      <c r="I118" s="285"/>
      <c r="J118" s="285"/>
      <c r="K118" s="285">
        <v>126</v>
      </c>
      <c r="L118" s="285">
        <v>138</v>
      </c>
      <c r="M118" s="285">
        <v>130</v>
      </c>
      <c r="N118" s="285">
        <v>122</v>
      </c>
      <c r="O118" s="285">
        <v>215</v>
      </c>
      <c r="P118" s="285">
        <v>153</v>
      </c>
      <c r="Q118" s="285">
        <v>141</v>
      </c>
      <c r="R118" s="285">
        <v>149</v>
      </c>
      <c r="S118" s="285">
        <v>168</v>
      </c>
      <c r="T118" s="285"/>
      <c r="U118" s="285"/>
      <c r="V118" s="285"/>
      <c r="W118" s="285"/>
      <c r="X118" s="285"/>
      <c r="Y118" s="285"/>
    </row>
    <row r="119" spans="1:25" x14ac:dyDescent="0.25">
      <c r="A119" s="285" t="s">
        <v>114</v>
      </c>
      <c r="B119" s="285"/>
      <c r="C119" s="285" t="s">
        <v>191</v>
      </c>
      <c r="D119" s="285"/>
      <c r="E119" s="285"/>
      <c r="F119" s="285"/>
      <c r="G119" s="285"/>
      <c r="H119" s="285"/>
      <c r="I119" s="285"/>
      <c r="J119" s="285"/>
      <c r="K119" s="285">
        <v>2720</v>
      </c>
      <c r="L119" s="285">
        <v>2696</v>
      </c>
      <c r="M119" s="285">
        <v>2659</v>
      </c>
      <c r="N119" s="285">
        <v>2736</v>
      </c>
      <c r="O119" s="285">
        <v>2759</v>
      </c>
      <c r="P119" s="285">
        <v>2731</v>
      </c>
      <c r="Q119" s="285">
        <v>2651</v>
      </c>
      <c r="R119" s="285">
        <v>2612</v>
      </c>
      <c r="S119" s="285">
        <v>2589</v>
      </c>
      <c r="T119" s="285">
        <v>2368</v>
      </c>
      <c r="U119" s="285">
        <v>2369</v>
      </c>
      <c r="V119" s="285">
        <v>2519</v>
      </c>
      <c r="W119" s="285">
        <v>2477</v>
      </c>
      <c r="X119" s="285"/>
      <c r="Y119" s="285"/>
    </row>
    <row r="120" spans="1:25" x14ac:dyDescent="0.25">
      <c r="A120" s="285" t="s">
        <v>192</v>
      </c>
      <c r="B120" s="285"/>
      <c r="C120" s="285" t="s">
        <v>191</v>
      </c>
      <c r="D120" s="285"/>
      <c r="E120" s="285"/>
      <c r="F120" s="285"/>
      <c r="G120" s="285"/>
      <c r="H120" s="285"/>
      <c r="I120" s="285"/>
      <c r="J120" s="285"/>
      <c r="K120" s="285">
        <v>2066</v>
      </c>
      <c r="L120" s="285">
        <v>2059</v>
      </c>
      <c r="M120" s="285">
        <v>2036</v>
      </c>
      <c r="N120" s="285">
        <v>1673</v>
      </c>
      <c r="O120" s="285">
        <v>1677</v>
      </c>
      <c r="P120" s="285">
        <v>1614</v>
      </c>
      <c r="Q120" s="285">
        <v>1606</v>
      </c>
      <c r="R120" s="285">
        <v>1595</v>
      </c>
      <c r="S120" s="285">
        <v>1598</v>
      </c>
      <c r="T120" s="285"/>
      <c r="U120" s="285"/>
      <c r="V120" s="285"/>
      <c r="W120" s="285"/>
      <c r="X120" s="285"/>
      <c r="Y120" s="285"/>
    </row>
    <row r="121" spans="1:25" x14ac:dyDescent="0.25">
      <c r="A121" s="285" t="s">
        <v>113</v>
      </c>
      <c r="B121" s="285"/>
      <c r="C121" s="285" t="s">
        <v>191</v>
      </c>
      <c r="D121" s="285"/>
      <c r="E121" s="285"/>
      <c r="F121" s="285"/>
      <c r="G121" s="285"/>
      <c r="H121" s="285"/>
      <c r="I121" s="285"/>
      <c r="J121" s="285"/>
      <c r="K121" s="285">
        <v>10882</v>
      </c>
      <c r="L121" s="285">
        <v>11337</v>
      </c>
      <c r="M121" s="285">
        <v>11581</v>
      </c>
      <c r="N121" s="285">
        <v>11523</v>
      </c>
      <c r="O121" s="285">
        <v>11599</v>
      </c>
      <c r="P121" s="285">
        <v>11683</v>
      </c>
      <c r="Q121" s="285">
        <v>11843</v>
      </c>
      <c r="R121" s="285">
        <v>11944</v>
      </c>
      <c r="S121" s="285">
        <v>12036</v>
      </c>
      <c r="T121" s="285">
        <v>12093</v>
      </c>
      <c r="U121" s="285">
        <v>11890</v>
      </c>
      <c r="V121" s="285">
        <v>11751</v>
      </c>
      <c r="W121" s="285">
        <v>11586</v>
      </c>
      <c r="X121" s="285"/>
      <c r="Y121" s="285"/>
    </row>
    <row r="122" spans="1:25" x14ac:dyDescent="0.25">
      <c r="A122" s="285" t="s">
        <v>193</v>
      </c>
      <c r="B122" s="285"/>
      <c r="C122" s="285" t="s">
        <v>191</v>
      </c>
      <c r="D122" s="285"/>
      <c r="E122" s="285"/>
      <c r="F122" s="285"/>
      <c r="G122" s="285"/>
      <c r="H122" s="285"/>
      <c r="I122" s="285"/>
      <c r="J122" s="285"/>
      <c r="K122" s="285">
        <v>386</v>
      </c>
      <c r="L122" s="285">
        <v>387</v>
      </c>
      <c r="M122" s="285">
        <v>389</v>
      </c>
      <c r="N122" s="285">
        <v>391</v>
      </c>
      <c r="O122" s="285">
        <v>396</v>
      </c>
      <c r="P122" s="285">
        <v>402</v>
      </c>
      <c r="Q122" s="285">
        <v>402</v>
      </c>
      <c r="R122" s="285">
        <v>403</v>
      </c>
      <c r="S122" s="285">
        <v>404</v>
      </c>
      <c r="T122" s="285">
        <v>404</v>
      </c>
      <c r="U122" s="285">
        <v>404</v>
      </c>
      <c r="V122" s="285">
        <v>399</v>
      </c>
      <c r="W122" s="285">
        <v>400</v>
      </c>
      <c r="X122" s="285"/>
      <c r="Y122" s="285"/>
    </row>
    <row r="123" spans="1:25" x14ac:dyDescent="0.25">
      <c r="A123" s="285" t="s">
        <v>194</v>
      </c>
      <c r="B123" s="285"/>
      <c r="C123" s="285" t="s">
        <v>191</v>
      </c>
      <c r="D123" s="285"/>
      <c r="E123" s="285"/>
      <c r="F123" s="285"/>
      <c r="G123" s="285"/>
      <c r="H123" s="285"/>
      <c r="I123" s="285"/>
      <c r="J123" s="285"/>
      <c r="K123" s="285"/>
      <c r="L123" s="285"/>
      <c r="M123" s="285"/>
      <c r="N123" s="285"/>
      <c r="O123" s="285"/>
      <c r="P123" s="285"/>
      <c r="Q123" s="285"/>
      <c r="R123" s="285"/>
      <c r="S123" s="285">
        <v>56</v>
      </c>
      <c r="T123" s="285">
        <v>56</v>
      </c>
      <c r="U123" s="285">
        <v>56</v>
      </c>
      <c r="V123" s="285">
        <v>69</v>
      </c>
      <c r="W123" s="285">
        <v>67</v>
      </c>
      <c r="X123" s="285"/>
      <c r="Y123" s="285" t="s">
        <v>195</v>
      </c>
    </row>
    <row r="124" spans="1:25" x14ac:dyDescent="0.25">
      <c r="A124" s="285" t="s">
        <v>41</v>
      </c>
      <c r="B124" s="285"/>
      <c r="C124" s="285" t="s">
        <v>191</v>
      </c>
      <c r="D124" s="285"/>
      <c r="E124" s="285"/>
      <c r="F124" s="285"/>
      <c r="G124" s="285"/>
      <c r="H124" s="285"/>
      <c r="I124" s="285"/>
      <c r="J124" s="285"/>
      <c r="K124" s="285"/>
      <c r="L124" s="285"/>
      <c r="M124" s="285"/>
      <c r="N124" s="285"/>
      <c r="O124" s="285"/>
      <c r="P124" s="285"/>
      <c r="Q124" s="285"/>
      <c r="R124" s="285"/>
      <c r="S124" s="285">
        <v>15</v>
      </c>
      <c r="T124" s="285">
        <v>15</v>
      </c>
      <c r="U124" s="285">
        <v>18</v>
      </c>
      <c r="V124" s="285">
        <v>24</v>
      </c>
      <c r="W124" s="285">
        <v>26</v>
      </c>
      <c r="X124" s="285"/>
      <c r="Y124" s="285" t="s">
        <v>195</v>
      </c>
    </row>
    <row r="125" spans="1:25" x14ac:dyDescent="0.25">
      <c r="A125" s="285" t="s">
        <v>196</v>
      </c>
      <c r="B125" s="285"/>
      <c r="C125" s="285" t="s">
        <v>197</v>
      </c>
      <c r="D125" s="285"/>
      <c r="E125" s="285"/>
      <c r="F125" s="285"/>
      <c r="G125" s="285"/>
      <c r="H125" s="285"/>
      <c r="I125" s="285"/>
      <c r="J125" s="285"/>
      <c r="K125" s="285"/>
      <c r="L125" s="285"/>
      <c r="M125" s="285"/>
      <c r="N125" s="285"/>
      <c r="O125" s="285"/>
      <c r="P125" s="285"/>
      <c r="Q125" s="285"/>
      <c r="R125" s="285"/>
      <c r="S125" s="285">
        <v>53</v>
      </c>
      <c r="T125" s="285">
        <v>54</v>
      </c>
      <c r="U125" s="285">
        <v>54</v>
      </c>
      <c r="V125" s="285">
        <v>55</v>
      </c>
      <c r="W125" s="285">
        <v>57</v>
      </c>
      <c r="X125" s="285"/>
      <c r="Y125" s="285" t="s">
        <v>195</v>
      </c>
    </row>
    <row r="126" spans="1:25" x14ac:dyDescent="0.25">
      <c r="A126" s="285" t="s">
        <v>198</v>
      </c>
      <c r="B126" s="285"/>
      <c r="C126" s="285" t="s">
        <v>197</v>
      </c>
      <c r="D126" s="285"/>
      <c r="E126" s="285"/>
      <c r="F126" s="285"/>
      <c r="G126" s="285"/>
      <c r="H126" s="285"/>
      <c r="I126" s="285"/>
      <c r="J126" s="285"/>
      <c r="K126" s="285"/>
      <c r="L126" s="285"/>
      <c r="M126" s="285"/>
      <c r="N126" s="285"/>
      <c r="O126" s="285"/>
      <c r="P126" s="285"/>
      <c r="Q126" s="285"/>
      <c r="R126" s="285"/>
      <c r="S126" s="285">
        <v>39</v>
      </c>
      <c r="T126" s="285">
        <v>40</v>
      </c>
      <c r="U126" s="285">
        <v>41</v>
      </c>
      <c r="V126" s="285">
        <v>42</v>
      </c>
      <c r="W126" s="285">
        <v>43</v>
      </c>
      <c r="X126" s="285"/>
      <c r="Y126" s="285" t="s">
        <v>195</v>
      </c>
    </row>
    <row r="127" spans="1:25" x14ac:dyDescent="0.25">
      <c r="A127" s="285" t="s">
        <v>199</v>
      </c>
      <c r="B127" s="285"/>
      <c r="C127" s="285" t="s">
        <v>197</v>
      </c>
      <c r="D127" s="285"/>
      <c r="E127" s="285"/>
      <c r="F127" s="285"/>
      <c r="G127" s="285"/>
      <c r="H127" s="285"/>
      <c r="I127" s="285"/>
      <c r="J127" s="285"/>
      <c r="K127" s="285"/>
      <c r="L127" s="285"/>
      <c r="M127" s="285"/>
      <c r="N127" s="285"/>
      <c r="O127" s="285"/>
      <c r="P127" s="285"/>
      <c r="Q127" s="285"/>
      <c r="R127" s="285"/>
      <c r="S127" s="285">
        <v>14</v>
      </c>
      <c r="T127" s="285">
        <v>14</v>
      </c>
      <c r="U127" s="285">
        <v>13</v>
      </c>
      <c r="V127" s="285">
        <v>13</v>
      </c>
      <c r="W127" s="285">
        <v>14</v>
      </c>
      <c r="X127" s="285"/>
      <c r="Y127" s="285" t="s">
        <v>195</v>
      </c>
    </row>
    <row r="128" spans="1:25" x14ac:dyDescent="0.25">
      <c r="A128" s="285" t="s">
        <v>200</v>
      </c>
      <c r="B128" s="285"/>
      <c r="C128" s="285" t="s">
        <v>201</v>
      </c>
      <c r="D128" s="285"/>
      <c r="E128" s="285"/>
      <c r="F128" s="285"/>
      <c r="G128" s="285"/>
      <c r="H128" s="285">
        <v>129</v>
      </c>
      <c r="I128" s="285"/>
      <c r="J128" s="285"/>
      <c r="K128" s="285"/>
      <c r="L128" s="285"/>
      <c r="M128" s="285"/>
      <c r="N128" s="285"/>
      <c r="O128" s="285"/>
      <c r="P128" s="285"/>
      <c r="Q128" s="285"/>
      <c r="R128" s="285"/>
      <c r="S128" s="285">
        <v>157</v>
      </c>
      <c r="T128" s="285">
        <v>159</v>
      </c>
      <c r="U128" s="285">
        <v>160</v>
      </c>
      <c r="V128" s="285">
        <v>164</v>
      </c>
      <c r="W128" s="285">
        <v>165</v>
      </c>
      <c r="X128" s="285"/>
      <c r="Y128" s="285" t="s">
        <v>195</v>
      </c>
    </row>
    <row r="129" spans="1:26" x14ac:dyDescent="0.25">
      <c r="A129" s="285" t="s">
        <v>202</v>
      </c>
      <c r="B129" s="285"/>
      <c r="C129" s="285" t="s">
        <v>201</v>
      </c>
      <c r="D129" s="285"/>
      <c r="E129" s="285"/>
      <c r="F129" s="285"/>
      <c r="G129" s="285"/>
      <c r="H129" s="285"/>
      <c r="I129" s="285"/>
      <c r="J129" s="285"/>
      <c r="K129" s="285"/>
      <c r="L129" s="285"/>
      <c r="M129" s="285"/>
      <c r="N129" s="285"/>
      <c r="O129" s="285"/>
      <c r="P129" s="285"/>
      <c r="Q129" s="285"/>
      <c r="R129" s="285"/>
      <c r="S129" s="285">
        <v>145</v>
      </c>
      <c r="T129" s="285">
        <v>147</v>
      </c>
      <c r="U129" s="285">
        <v>149</v>
      </c>
      <c r="V129" s="285">
        <v>153</v>
      </c>
      <c r="W129" s="285">
        <v>153</v>
      </c>
      <c r="X129" s="285"/>
      <c r="Y129" s="285" t="s">
        <v>195</v>
      </c>
      <c r="Z129" s="285"/>
    </row>
    <row r="130" spans="1:26" x14ac:dyDescent="0.25">
      <c r="A130" s="285" t="s">
        <v>203</v>
      </c>
      <c r="B130" s="285"/>
      <c r="C130" s="285" t="s">
        <v>201</v>
      </c>
      <c r="D130" s="285"/>
      <c r="E130" s="285"/>
      <c r="F130" s="285"/>
      <c r="G130" s="285"/>
      <c r="H130" s="285"/>
      <c r="I130" s="285"/>
      <c r="J130" s="285"/>
      <c r="K130" s="285"/>
      <c r="L130" s="285"/>
      <c r="M130" s="285"/>
      <c r="N130" s="285"/>
      <c r="O130" s="285"/>
      <c r="P130" s="285"/>
      <c r="Q130" s="285"/>
      <c r="R130" s="285"/>
      <c r="S130" s="285">
        <v>11</v>
      </c>
      <c r="T130" s="285">
        <v>11</v>
      </c>
      <c r="U130" s="285">
        <v>10</v>
      </c>
      <c r="V130" s="285">
        <v>10</v>
      </c>
      <c r="W130" s="285">
        <v>11</v>
      </c>
      <c r="X130" s="285"/>
      <c r="Y130" s="285" t="s">
        <v>195</v>
      </c>
      <c r="Z130" s="285"/>
    </row>
    <row r="131" spans="1:26" x14ac:dyDescent="0.25">
      <c r="A131" s="285" t="s">
        <v>204</v>
      </c>
      <c r="B131" s="285"/>
      <c r="C131" s="285" t="s">
        <v>201</v>
      </c>
      <c r="D131" s="285"/>
      <c r="E131" s="285"/>
      <c r="F131" s="285"/>
      <c r="G131" s="285"/>
      <c r="H131" s="285"/>
      <c r="I131" s="285"/>
      <c r="J131" s="285"/>
      <c r="K131" s="285"/>
      <c r="L131" s="285"/>
      <c r="M131" s="285"/>
      <c r="N131" s="285"/>
      <c r="O131" s="285"/>
      <c r="P131" s="285"/>
      <c r="Q131" s="285"/>
      <c r="R131" s="285"/>
      <c r="S131" s="285">
        <v>1</v>
      </c>
      <c r="T131" s="285">
        <v>1</v>
      </c>
      <c r="U131" s="285">
        <v>1</v>
      </c>
      <c r="V131" s="285">
        <v>1</v>
      </c>
      <c r="W131" s="285">
        <v>1</v>
      </c>
      <c r="X131" s="285"/>
      <c r="Y131" s="285" t="s">
        <v>195</v>
      </c>
      <c r="Z131" s="285"/>
    </row>
    <row r="132" spans="1:26" x14ac:dyDescent="0.25">
      <c r="A132" s="285"/>
      <c r="B132" s="285"/>
      <c r="C132" s="285"/>
      <c r="D132" s="285"/>
      <c r="E132" s="285"/>
      <c r="F132" s="285"/>
      <c r="G132" s="285"/>
      <c r="H132" s="285"/>
      <c r="I132" s="285"/>
      <c r="J132" s="285"/>
      <c r="K132" s="285"/>
      <c r="L132" s="285"/>
      <c r="M132" s="285"/>
      <c r="N132" s="285"/>
      <c r="O132" s="285"/>
      <c r="P132" s="285"/>
      <c r="Q132" s="285"/>
      <c r="R132" s="285"/>
      <c r="S132" s="285"/>
      <c r="T132" s="285"/>
      <c r="U132" s="285"/>
      <c r="V132" s="285"/>
      <c r="W132" s="285"/>
      <c r="X132" s="285"/>
      <c r="Y132" s="285"/>
      <c r="Z132" s="285"/>
    </row>
    <row r="133" spans="1:26" x14ac:dyDescent="0.25">
      <c r="A133" s="285" t="s">
        <v>205</v>
      </c>
      <c r="B133" s="285"/>
      <c r="C133" s="285" t="s">
        <v>206</v>
      </c>
      <c r="D133" s="285">
        <v>14.7</v>
      </c>
      <c r="E133" s="285">
        <v>14.4</v>
      </c>
      <c r="F133" s="285">
        <v>14.3</v>
      </c>
      <c r="G133" s="285">
        <v>13.8</v>
      </c>
      <c r="H133" s="285">
        <v>14.1</v>
      </c>
      <c r="I133" s="285">
        <v>14.7</v>
      </c>
      <c r="J133" s="285">
        <v>15.4</v>
      </c>
      <c r="K133" s="285">
        <v>15.5</v>
      </c>
      <c r="L133" s="285">
        <v>16.2</v>
      </c>
      <c r="M133" s="285">
        <v>16.3</v>
      </c>
      <c r="N133" s="285">
        <v>17.100000000000001</v>
      </c>
      <c r="O133" s="285">
        <v>17.600000000000001</v>
      </c>
      <c r="P133" s="285">
        <v>17.899999999999999</v>
      </c>
      <c r="Q133" s="285">
        <v>18</v>
      </c>
      <c r="R133" s="285">
        <v>18.100000000000001</v>
      </c>
      <c r="S133" s="285">
        <v>18.5</v>
      </c>
      <c r="T133" s="285">
        <v>18.899999999999999</v>
      </c>
      <c r="U133" s="285">
        <v>19.100000000000001</v>
      </c>
      <c r="V133" s="285">
        <v>19.600000000000001</v>
      </c>
      <c r="W133" s="285">
        <v>20.3</v>
      </c>
      <c r="X133" s="285"/>
      <c r="Y133" s="285" t="s">
        <v>207</v>
      </c>
      <c r="Z133" s="285" t="s">
        <v>208</v>
      </c>
    </row>
    <row r="134" spans="1:26" x14ac:dyDescent="0.25">
      <c r="A134" s="285" t="s">
        <v>209</v>
      </c>
      <c r="B134" s="285"/>
      <c r="C134" s="285" t="s">
        <v>210</v>
      </c>
      <c r="D134" s="285"/>
      <c r="E134" s="285"/>
      <c r="F134" s="285"/>
      <c r="G134" s="285"/>
      <c r="H134" s="285"/>
      <c r="I134" s="285"/>
      <c r="J134" s="285"/>
      <c r="K134" s="285"/>
      <c r="L134" s="285"/>
      <c r="M134" s="285"/>
      <c r="N134" s="285"/>
      <c r="O134" s="285"/>
      <c r="P134" s="285"/>
      <c r="Q134" s="285"/>
      <c r="R134" s="285"/>
      <c r="S134" s="285">
        <v>127.58620689655173</v>
      </c>
      <c r="T134" s="285">
        <v>128.57142857142856</v>
      </c>
      <c r="U134" s="285">
        <v>128.18791946308724</v>
      </c>
      <c r="V134" s="285">
        <v>128.10457516339872</v>
      </c>
      <c r="W134" s="285">
        <v>132.6797385620915</v>
      </c>
      <c r="X134" s="285"/>
      <c r="Y134" s="285"/>
      <c r="Z134" s="285"/>
    </row>
    <row r="135" spans="1:26" x14ac:dyDescent="0.25">
      <c r="A135" s="285" t="s">
        <v>211</v>
      </c>
      <c r="B135" s="285"/>
      <c r="C135" s="285" t="s">
        <v>212</v>
      </c>
      <c r="D135" s="285"/>
      <c r="E135" s="285"/>
      <c r="F135" s="285"/>
      <c r="G135" s="285"/>
      <c r="H135" s="285"/>
      <c r="I135" s="285"/>
      <c r="J135" s="285"/>
      <c r="K135" s="285"/>
      <c r="L135" s="285"/>
      <c r="M135" s="285"/>
      <c r="N135" s="285"/>
      <c r="O135" s="285"/>
      <c r="P135" s="285"/>
      <c r="Q135" s="285"/>
      <c r="R135" s="285"/>
      <c r="S135" s="285">
        <v>22361.486967668425</v>
      </c>
      <c r="T135" s="285">
        <v>22025.211248095304</v>
      </c>
      <c r="U135" s="285">
        <v>22390.148334732719</v>
      </c>
      <c r="V135" s="285">
        <v>23053.134664042733</v>
      </c>
      <c r="W135" s="285">
        <v>23249.260250810203</v>
      </c>
      <c r="X135" s="285"/>
      <c r="Y135" s="285"/>
      <c r="Z135" s="285"/>
    </row>
    <row r="136" spans="1:26" x14ac:dyDescent="0.25">
      <c r="A136" s="285" t="s">
        <v>213</v>
      </c>
      <c r="B136" s="285"/>
      <c r="C136" s="285" t="s">
        <v>214</v>
      </c>
      <c r="D136" s="285"/>
      <c r="E136" s="285"/>
      <c r="F136" s="285"/>
      <c r="G136" s="285"/>
      <c r="H136" s="285"/>
      <c r="I136" s="285"/>
      <c r="J136" s="285"/>
      <c r="K136" s="285">
        <v>2.2693997071742311</v>
      </c>
      <c r="L136" s="285">
        <v>2.3718887262079065</v>
      </c>
      <c r="M136" s="285">
        <v>2.3889784552249744</v>
      </c>
      <c r="N136" s="285">
        <v>2.442159383033419</v>
      </c>
      <c r="O136" s="285">
        <v>2.5142857142857142</v>
      </c>
      <c r="P136" s="285">
        <v>2.5451443196360017</v>
      </c>
      <c r="Q136" s="285">
        <v>2.5611838360842345</v>
      </c>
      <c r="R136" s="285">
        <v>2.5746799431009957</v>
      </c>
      <c r="S136" s="285">
        <v>2.6349522859991454</v>
      </c>
      <c r="T136" s="285">
        <v>2.6180911483584985</v>
      </c>
      <c r="U136" s="285">
        <v>2.6728239574587183</v>
      </c>
      <c r="V136" s="285">
        <v>2.7551307281416926</v>
      </c>
      <c r="W136" s="285">
        <v>2.8603635338875582</v>
      </c>
      <c r="X136" s="285"/>
      <c r="Y136" s="285"/>
      <c r="Z136" s="285"/>
    </row>
    <row r="137" spans="1:26" x14ac:dyDescent="0.25">
      <c r="A137" s="285"/>
      <c r="B137" s="285"/>
      <c r="C137" s="285"/>
      <c r="D137" s="285"/>
      <c r="E137" s="285"/>
      <c r="F137" s="285"/>
      <c r="G137" s="285"/>
      <c r="H137" s="285"/>
      <c r="I137" s="285"/>
      <c r="J137" s="285"/>
      <c r="K137" s="285"/>
      <c r="L137" s="285"/>
      <c r="M137" s="285"/>
      <c r="N137" s="285"/>
      <c r="O137" s="285"/>
      <c r="P137" s="285"/>
      <c r="Q137" s="285"/>
      <c r="R137" s="285"/>
      <c r="S137" s="285"/>
      <c r="T137" s="285"/>
      <c r="U137" s="285"/>
      <c r="V137" s="285"/>
      <c r="W137" s="285"/>
      <c r="X137" s="285"/>
      <c r="Y137" s="285"/>
      <c r="Z137" s="285"/>
    </row>
    <row r="138" spans="1:26" x14ac:dyDescent="0.25">
      <c r="A138" s="285" t="s">
        <v>215</v>
      </c>
      <c r="B138" s="285"/>
      <c r="C138" s="285" t="s">
        <v>216</v>
      </c>
      <c r="D138" s="285"/>
      <c r="E138" s="285"/>
      <c r="F138" s="285"/>
      <c r="G138" s="285"/>
      <c r="H138" s="285"/>
      <c r="I138" s="285"/>
      <c r="J138" s="285"/>
      <c r="K138" s="285"/>
      <c r="L138" s="285"/>
      <c r="M138" s="285"/>
      <c r="N138" s="285"/>
      <c r="O138" s="285"/>
      <c r="P138" s="285">
        <v>0.3</v>
      </c>
      <c r="Q138" s="285">
        <v>0.31</v>
      </c>
      <c r="R138" s="285"/>
      <c r="S138" s="285"/>
      <c r="T138" s="285"/>
      <c r="U138" s="285"/>
      <c r="V138" s="285"/>
      <c r="W138" s="285"/>
      <c r="X138" s="285"/>
      <c r="Y138" s="285" t="s">
        <v>217</v>
      </c>
      <c r="Z138" s="285"/>
    </row>
    <row r="139" spans="1:26" x14ac:dyDescent="0.25">
      <c r="A139" s="285" t="s">
        <v>218</v>
      </c>
      <c r="B139" s="285"/>
      <c r="C139" s="285" t="s">
        <v>216</v>
      </c>
      <c r="D139" s="285"/>
      <c r="E139" s="285"/>
      <c r="F139" s="285"/>
      <c r="G139" s="285"/>
      <c r="H139" s="285"/>
      <c r="I139" s="285"/>
      <c r="J139" s="285"/>
      <c r="K139" s="285"/>
      <c r="L139" s="285"/>
      <c r="M139" s="285"/>
      <c r="N139" s="285"/>
      <c r="O139" s="285"/>
      <c r="P139" s="285"/>
      <c r="Q139" s="285"/>
      <c r="R139" s="285"/>
      <c r="S139" s="285"/>
      <c r="T139" s="285"/>
      <c r="U139" s="285">
        <v>0.41799999999999998</v>
      </c>
      <c r="V139" s="285">
        <v>0.41599999999999998</v>
      </c>
      <c r="W139" s="285">
        <v>0.41599999999999998</v>
      </c>
      <c r="X139" s="285"/>
      <c r="Y139" s="285" t="s">
        <v>219</v>
      </c>
      <c r="Z139" s="285"/>
    </row>
    <row r="140" spans="1:26" x14ac:dyDescent="0.25">
      <c r="A140" s="285"/>
      <c r="B140" s="285"/>
      <c r="C140" s="285"/>
      <c r="D140" s="285"/>
      <c r="E140" s="285"/>
      <c r="F140" s="285"/>
      <c r="G140" s="285"/>
      <c r="H140" s="285"/>
      <c r="I140" s="285"/>
      <c r="J140" s="285"/>
      <c r="K140" s="285"/>
      <c r="L140" s="285"/>
      <c r="M140" s="285"/>
      <c r="N140" s="285"/>
      <c r="O140" s="285"/>
      <c r="P140" s="285"/>
      <c r="Q140" s="285"/>
      <c r="R140" s="285"/>
      <c r="S140" s="285"/>
      <c r="T140" s="285"/>
      <c r="U140" s="285"/>
      <c r="V140" s="285"/>
      <c r="W140" s="285"/>
      <c r="X140" s="285"/>
      <c r="Y140" s="285"/>
      <c r="Z140" s="285"/>
    </row>
    <row r="141" spans="1:26" x14ac:dyDescent="0.25">
      <c r="A141" s="285"/>
      <c r="B141" s="285"/>
      <c r="C141" s="285"/>
      <c r="D141" s="285"/>
      <c r="E141" s="285"/>
      <c r="F141" s="285"/>
      <c r="G141" s="285"/>
      <c r="H141" s="285"/>
      <c r="I141" s="285"/>
      <c r="J141" s="285"/>
      <c r="K141" s="285"/>
      <c r="L141" s="285"/>
      <c r="M141" s="285"/>
      <c r="N141" s="285"/>
      <c r="O141" s="285"/>
      <c r="P141" s="285"/>
      <c r="Q141" s="285"/>
      <c r="R141" s="285"/>
      <c r="S141" s="285"/>
      <c r="T141" s="285"/>
      <c r="U141" s="285"/>
      <c r="V141" s="285"/>
      <c r="W141" s="285"/>
      <c r="X141" s="285"/>
      <c r="Y141" s="285"/>
      <c r="Z141" s="285"/>
    </row>
    <row r="142" spans="1:26" x14ac:dyDescent="0.25">
      <c r="A142" s="285" t="s">
        <v>220</v>
      </c>
      <c r="B142" s="285"/>
      <c r="C142" s="285"/>
      <c r="D142" s="285"/>
      <c r="E142" s="285"/>
      <c r="F142" s="285"/>
      <c r="G142" s="285"/>
      <c r="H142" s="285"/>
      <c r="I142" s="285"/>
      <c r="J142" s="285"/>
      <c r="K142" s="285"/>
      <c r="L142" s="285"/>
      <c r="M142" s="285"/>
      <c r="N142" s="285"/>
      <c r="O142" s="285"/>
      <c r="P142" s="285"/>
      <c r="Q142" s="285"/>
      <c r="R142" s="285"/>
      <c r="S142" s="285"/>
      <c r="T142" s="285"/>
      <c r="U142" s="285"/>
      <c r="V142" s="285"/>
      <c r="W142" s="285"/>
      <c r="X142" s="285"/>
      <c r="Y142" s="285" t="s">
        <v>221</v>
      </c>
      <c r="Z142" s="285"/>
    </row>
    <row r="143" spans="1:26" x14ac:dyDescent="0.25">
      <c r="A143" s="285" t="s">
        <v>222</v>
      </c>
      <c r="B143" s="285"/>
      <c r="C143" s="285" t="s">
        <v>155</v>
      </c>
      <c r="D143" s="285">
        <v>122</v>
      </c>
      <c r="E143" s="285">
        <v>122</v>
      </c>
      <c r="F143" s="285">
        <v>145</v>
      </c>
      <c r="G143" s="285">
        <v>145</v>
      </c>
      <c r="H143" s="285">
        <v>145</v>
      </c>
      <c r="I143" s="285">
        <v>148</v>
      </c>
      <c r="J143" s="285">
        <v>170</v>
      </c>
      <c r="K143" s="285">
        <v>170</v>
      </c>
      <c r="L143" s="285">
        <v>170</v>
      </c>
      <c r="M143" s="285">
        <v>170</v>
      </c>
      <c r="N143" s="285">
        <v>170</v>
      </c>
      <c r="O143" s="285">
        <v>175</v>
      </c>
      <c r="P143" s="285">
        <v>175</v>
      </c>
      <c r="Q143" s="285">
        <v>175</v>
      </c>
      <c r="R143" s="285">
        <v>175</v>
      </c>
      <c r="S143" s="285">
        <v>175</v>
      </c>
      <c r="T143" s="285">
        <v>175</v>
      </c>
      <c r="U143" s="285">
        <v>175</v>
      </c>
      <c r="V143" s="285">
        <v>175</v>
      </c>
      <c r="W143" s="285">
        <v>223</v>
      </c>
      <c r="X143" s="285">
        <v>223</v>
      </c>
      <c r="Y143" s="285" t="s">
        <v>223</v>
      </c>
      <c r="Z143" s="285" t="s">
        <v>224</v>
      </c>
    </row>
    <row r="144" spans="1:26" x14ac:dyDescent="0.25">
      <c r="A144" s="285" t="s">
        <v>225</v>
      </c>
      <c r="B144" s="285"/>
      <c r="C144" s="285" t="s">
        <v>155</v>
      </c>
      <c r="D144" s="285">
        <v>188</v>
      </c>
      <c r="E144" s="285">
        <v>188</v>
      </c>
      <c r="F144" s="285">
        <v>188</v>
      </c>
      <c r="G144" s="285">
        <v>188</v>
      </c>
      <c r="H144" s="285">
        <v>188</v>
      </c>
      <c r="I144" s="285">
        <v>194</v>
      </c>
      <c r="J144" s="285">
        <v>194</v>
      </c>
      <c r="K144" s="285">
        <v>194</v>
      </c>
      <c r="L144" s="285">
        <v>194</v>
      </c>
      <c r="M144" s="285">
        <v>194</v>
      </c>
      <c r="N144" s="285">
        <v>194</v>
      </c>
      <c r="O144" s="285">
        <v>194</v>
      </c>
      <c r="P144" s="285">
        <v>194</v>
      </c>
      <c r="Q144" s="285">
        <v>194</v>
      </c>
      <c r="R144" s="285">
        <v>194</v>
      </c>
      <c r="S144" s="285">
        <v>194</v>
      </c>
      <c r="T144" s="285">
        <v>194</v>
      </c>
      <c r="U144" s="285">
        <v>194</v>
      </c>
      <c r="V144" s="285">
        <v>194</v>
      </c>
      <c r="W144" s="285">
        <v>194</v>
      </c>
      <c r="X144" s="285">
        <v>194</v>
      </c>
      <c r="Y144" s="285" t="s">
        <v>224</v>
      </c>
      <c r="Z144" s="285"/>
    </row>
    <row r="145" spans="1:26" x14ac:dyDescent="0.25">
      <c r="A145" s="285" t="s">
        <v>226</v>
      </c>
      <c r="B145" s="285"/>
      <c r="C145" s="285" t="s">
        <v>201</v>
      </c>
      <c r="D145" s="285"/>
      <c r="E145" s="285"/>
      <c r="F145" s="285"/>
      <c r="G145" s="285"/>
      <c r="H145" s="285"/>
      <c r="I145" s="285"/>
      <c r="J145" s="285"/>
      <c r="K145" s="285"/>
      <c r="L145" s="285"/>
      <c r="M145" s="285"/>
      <c r="N145" s="285"/>
      <c r="O145" s="285"/>
      <c r="P145" s="285">
        <v>493</v>
      </c>
      <c r="Q145" s="285">
        <v>509</v>
      </c>
      <c r="R145" s="285">
        <v>531</v>
      </c>
      <c r="S145" s="285">
        <v>556</v>
      </c>
      <c r="T145" s="285">
        <v>559</v>
      </c>
      <c r="U145" s="285">
        <v>599</v>
      </c>
      <c r="V145" s="285">
        <v>618</v>
      </c>
      <c r="W145" s="285">
        <v>649</v>
      </c>
      <c r="X145" s="285"/>
      <c r="Y145" s="285" t="s">
        <v>227</v>
      </c>
      <c r="Z145" s="285"/>
    </row>
    <row r="146" spans="1:26" x14ac:dyDescent="0.25">
      <c r="A146" s="285" t="s">
        <v>228</v>
      </c>
      <c r="B146" s="285"/>
      <c r="C146" s="285" t="s">
        <v>201</v>
      </c>
      <c r="D146" s="285"/>
      <c r="E146" s="285"/>
      <c r="F146" s="285"/>
      <c r="G146" s="285"/>
      <c r="H146" s="285"/>
      <c r="I146" s="285"/>
      <c r="J146" s="285"/>
      <c r="K146" s="285"/>
      <c r="L146" s="285"/>
      <c r="M146" s="285"/>
      <c r="N146" s="285"/>
      <c r="O146" s="285"/>
      <c r="P146" s="285">
        <v>121</v>
      </c>
      <c r="Q146" s="285">
        <v>114</v>
      </c>
      <c r="R146" s="285">
        <v>117</v>
      </c>
      <c r="S146" s="285">
        <v>124</v>
      </c>
      <c r="T146" s="285">
        <v>130</v>
      </c>
      <c r="U146" s="285">
        <v>133</v>
      </c>
      <c r="V146" s="285">
        <v>131</v>
      </c>
      <c r="W146" s="285">
        <v>129</v>
      </c>
      <c r="X146" s="285"/>
      <c r="Y146" s="285" t="s">
        <v>227</v>
      </c>
      <c r="Z146" s="285"/>
    </row>
    <row r="147" spans="1:26" x14ac:dyDescent="0.25">
      <c r="A147" s="285" t="s">
        <v>229</v>
      </c>
      <c r="B147" s="285"/>
      <c r="C147" s="285" t="s">
        <v>230</v>
      </c>
      <c r="D147" s="285"/>
      <c r="E147" s="285"/>
      <c r="F147" s="285"/>
      <c r="G147" s="285"/>
      <c r="H147" s="285"/>
      <c r="I147" s="285"/>
      <c r="J147" s="285"/>
      <c r="K147" s="285"/>
      <c r="L147" s="285"/>
      <c r="M147" s="285"/>
      <c r="N147" s="285"/>
      <c r="O147" s="285"/>
      <c r="P147" s="285"/>
      <c r="Q147" s="285"/>
      <c r="R147" s="285"/>
      <c r="S147" s="285"/>
      <c r="T147" s="285"/>
      <c r="U147" s="285">
        <v>300</v>
      </c>
      <c r="V147" s="285"/>
      <c r="W147" s="285"/>
      <c r="X147" s="285"/>
      <c r="Y147" s="285" t="s">
        <v>231</v>
      </c>
      <c r="Z147" s="285"/>
    </row>
    <row r="148" spans="1:26" x14ac:dyDescent="0.25">
      <c r="A148" s="285"/>
      <c r="B148" s="285"/>
      <c r="C148" s="285"/>
      <c r="D148" s="285"/>
      <c r="E148" s="285"/>
      <c r="F148" s="285"/>
      <c r="G148" s="285"/>
      <c r="H148" s="285"/>
      <c r="I148" s="285"/>
      <c r="J148" s="285"/>
      <c r="K148" s="285"/>
      <c r="L148" s="285"/>
      <c r="M148" s="285"/>
      <c r="N148" s="285"/>
      <c r="O148" s="285"/>
      <c r="P148" s="285"/>
      <c r="Q148" s="285"/>
      <c r="R148" s="285"/>
      <c r="S148" s="285"/>
      <c r="T148" s="285"/>
      <c r="U148" s="285"/>
      <c r="V148" s="285"/>
      <c r="W148" s="285"/>
      <c r="X148" s="285"/>
      <c r="Y148" s="285"/>
      <c r="Z148" s="285"/>
    </row>
    <row r="149" spans="1:26" x14ac:dyDescent="0.25">
      <c r="A149" s="285" t="s">
        <v>232</v>
      </c>
      <c r="B149" s="285"/>
      <c r="C149" s="285"/>
      <c r="D149" s="285"/>
      <c r="E149" s="285"/>
      <c r="F149" s="285"/>
      <c r="G149" s="285"/>
      <c r="H149" s="285"/>
      <c r="I149" s="285"/>
      <c r="J149" s="285"/>
      <c r="K149" s="285"/>
      <c r="L149" s="285"/>
      <c r="M149" s="285"/>
      <c r="N149" s="285"/>
      <c r="O149" s="285"/>
      <c r="P149" s="285"/>
      <c r="Q149" s="285"/>
      <c r="R149" s="285"/>
      <c r="S149" s="285"/>
      <c r="T149" s="285"/>
      <c r="U149" s="285"/>
      <c r="V149" s="285"/>
      <c r="W149" s="285"/>
      <c r="X149" s="285"/>
      <c r="Y149" s="285" t="s">
        <v>233</v>
      </c>
      <c r="Z149" s="285"/>
    </row>
    <row r="150" spans="1:26" x14ac:dyDescent="0.25">
      <c r="A150" s="285" t="s">
        <v>222</v>
      </c>
      <c r="B150" s="285"/>
      <c r="C150" s="285" t="s">
        <v>155</v>
      </c>
      <c r="D150" s="285">
        <v>80</v>
      </c>
      <c r="E150" s="285">
        <v>80</v>
      </c>
      <c r="F150" s="285">
        <v>80</v>
      </c>
      <c r="G150" s="285">
        <v>80</v>
      </c>
      <c r="H150" s="285">
        <v>80</v>
      </c>
      <c r="I150" s="285">
        <v>84</v>
      </c>
      <c r="J150" s="285">
        <v>84</v>
      </c>
      <c r="K150" s="285">
        <v>84</v>
      </c>
      <c r="L150" s="285">
        <v>84</v>
      </c>
      <c r="M150" s="285">
        <v>84</v>
      </c>
      <c r="N150" s="285">
        <v>84</v>
      </c>
      <c r="O150" s="285">
        <v>84</v>
      </c>
      <c r="P150" s="285">
        <v>84</v>
      </c>
      <c r="Q150" s="285">
        <v>84</v>
      </c>
      <c r="R150" s="285">
        <v>84</v>
      </c>
      <c r="S150" s="285">
        <v>84</v>
      </c>
      <c r="T150" s="285">
        <v>84</v>
      </c>
      <c r="U150" s="285">
        <v>84</v>
      </c>
      <c r="V150" s="285">
        <v>104</v>
      </c>
      <c r="W150" s="285">
        <v>104</v>
      </c>
      <c r="X150" s="285">
        <v>104</v>
      </c>
      <c r="Y150" s="285" t="s">
        <v>234</v>
      </c>
      <c r="Z150" s="285"/>
    </row>
    <row r="151" spans="1:26" x14ac:dyDescent="0.25">
      <c r="A151" s="285" t="s">
        <v>225</v>
      </c>
      <c r="B151" s="285"/>
      <c r="C151" s="285" t="s">
        <v>155</v>
      </c>
      <c r="D151" s="285"/>
      <c r="E151" s="285"/>
      <c r="F151" s="285"/>
      <c r="G151" s="285"/>
      <c r="H151" s="285">
        <v>196</v>
      </c>
      <c r="I151" s="285">
        <v>213</v>
      </c>
      <c r="J151" s="285">
        <v>213</v>
      </c>
      <c r="K151" s="285">
        <v>213</v>
      </c>
      <c r="L151" s="285">
        <v>213</v>
      </c>
      <c r="M151" s="285">
        <v>213</v>
      </c>
      <c r="N151" s="285">
        <v>213</v>
      </c>
      <c r="O151" s="285">
        <v>213</v>
      </c>
      <c r="P151" s="285">
        <v>213</v>
      </c>
      <c r="Q151" s="285">
        <v>213</v>
      </c>
      <c r="R151" s="285">
        <v>213</v>
      </c>
      <c r="S151" s="285">
        <v>213</v>
      </c>
      <c r="T151" s="285">
        <v>213</v>
      </c>
      <c r="U151" s="285">
        <v>213</v>
      </c>
      <c r="V151" s="285">
        <v>213</v>
      </c>
      <c r="W151" s="285">
        <v>213</v>
      </c>
      <c r="X151" s="285">
        <v>213</v>
      </c>
      <c r="Y151" s="285" t="s">
        <v>235</v>
      </c>
      <c r="Z151" s="285"/>
    </row>
    <row r="152" spans="1:26" x14ac:dyDescent="0.25">
      <c r="A152" s="285" t="s">
        <v>226</v>
      </c>
      <c r="B152" s="285"/>
      <c r="C152" s="285" t="s">
        <v>201</v>
      </c>
      <c r="D152" s="285"/>
      <c r="E152" s="285"/>
      <c r="F152" s="285"/>
      <c r="G152" s="285"/>
      <c r="H152" s="285"/>
      <c r="I152" s="285"/>
      <c r="J152" s="285"/>
      <c r="K152" s="285"/>
      <c r="L152" s="285"/>
      <c r="M152" s="285"/>
      <c r="N152" s="285"/>
      <c r="O152" s="285"/>
      <c r="P152" s="285"/>
      <c r="Q152" s="285"/>
      <c r="R152" s="285">
        <v>349.4</v>
      </c>
      <c r="S152" s="285">
        <v>362</v>
      </c>
      <c r="T152" s="285">
        <v>392.6</v>
      </c>
      <c r="U152" s="285">
        <v>408.9</v>
      </c>
      <c r="V152" s="285">
        <v>473</v>
      </c>
      <c r="W152" s="285">
        <v>549</v>
      </c>
      <c r="X152" s="285"/>
      <c r="Y152" s="285" t="s">
        <v>233</v>
      </c>
      <c r="Z152" s="285"/>
    </row>
    <row r="153" spans="1:26" x14ac:dyDescent="0.25">
      <c r="A153" s="285" t="s">
        <v>228</v>
      </c>
      <c r="B153" s="285"/>
      <c r="C153" s="285" t="s">
        <v>201</v>
      </c>
      <c r="D153" s="285"/>
      <c r="E153" s="285"/>
      <c r="F153" s="285"/>
      <c r="G153" s="285"/>
      <c r="H153" s="285"/>
      <c r="I153" s="285"/>
      <c r="J153" s="285"/>
      <c r="K153" s="285"/>
      <c r="L153" s="285"/>
      <c r="M153" s="285"/>
      <c r="N153" s="285"/>
      <c r="O153" s="285"/>
      <c r="P153" s="285"/>
      <c r="Q153" s="285"/>
      <c r="R153" s="285">
        <v>291.5</v>
      </c>
      <c r="S153" s="285">
        <v>314.60000000000002</v>
      </c>
      <c r="T153" s="285">
        <v>315</v>
      </c>
      <c r="U153" s="285">
        <v>326.7</v>
      </c>
      <c r="V153" s="285">
        <v>312.89999999999998</v>
      </c>
      <c r="W153" s="285">
        <v>301.89999999999998</v>
      </c>
      <c r="X153" s="285"/>
      <c r="Y153" s="285" t="s">
        <v>233</v>
      </c>
      <c r="Z153" s="285"/>
    </row>
    <row r="154" spans="1:26" x14ac:dyDescent="0.25">
      <c r="A154" s="285" t="s">
        <v>236</v>
      </c>
      <c r="B154" s="285"/>
      <c r="C154" s="285" t="s">
        <v>201</v>
      </c>
      <c r="D154" s="285"/>
      <c r="E154" s="285"/>
      <c r="F154" s="285"/>
      <c r="G154" s="285"/>
      <c r="H154" s="285"/>
      <c r="I154" s="285"/>
      <c r="J154" s="285"/>
      <c r="K154" s="285"/>
      <c r="L154" s="285"/>
      <c r="M154" s="285"/>
      <c r="N154" s="285"/>
      <c r="O154" s="285"/>
      <c r="P154" s="285"/>
      <c r="Q154" s="285"/>
      <c r="R154" s="285"/>
      <c r="S154" s="285"/>
      <c r="T154" s="285"/>
      <c r="U154" s="285"/>
      <c r="V154" s="285"/>
      <c r="W154" s="285">
        <v>785.59999999999991</v>
      </c>
      <c r="X154" s="285">
        <v>411.20000000000005</v>
      </c>
      <c r="Y154" s="285" t="s">
        <v>237</v>
      </c>
      <c r="Z154" s="285"/>
    </row>
    <row r="155" spans="1:26" x14ac:dyDescent="0.25">
      <c r="A155" s="285" t="s">
        <v>238</v>
      </c>
      <c r="B155" s="285"/>
      <c r="C155" s="285" t="s">
        <v>239</v>
      </c>
      <c r="D155" s="285"/>
      <c r="E155" s="285"/>
      <c r="F155" s="285"/>
      <c r="G155" s="285"/>
      <c r="H155" s="285"/>
      <c r="I155" s="285"/>
      <c r="J155" s="285"/>
      <c r="K155" s="285"/>
      <c r="L155" s="285"/>
      <c r="M155" s="285"/>
      <c r="N155" s="285"/>
      <c r="O155" s="285"/>
      <c r="P155" s="285"/>
      <c r="Q155" s="285"/>
      <c r="R155" s="285"/>
      <c r="S155" s="285"/>
      <c r="T155" s="285"/>
      <c r="U155" s="285">
        <v>189.4</v>
      </c>
      <c r="V155" s="285">
        <v>201.7</v>
      </c>
      <c r="W155" s="285">
        <v>221.29999999999998</v>
      </c>
      <c r="X155" s="285">
        <v>105</v>
      </c>
      <c r="Y155" s="285" t="s">
        <v>237</v>
      </c>
      <c r="Z155" s="285"/>
    </row>
    <row r="156" spans="1:26" x14ac:dyDescent="0.25">
      <c r="A156" s="285" t="s">
        <v>240</v>
      </c>
      <c r="B156" s="285"/>
      <c r="C156" s="285" t="s">
        <v>155</v>
      </c>
      <c r="D156" s="285"/>
      <c r="E156" s="285"/>
      <c r="F156" s="285"/>
      <c r="G156" s="285"/>
      <c r="H156" s="285"/>
      <c r="I156" s="285"/>
      <c r="J156" s="285"/>
      <c r="K156" s="285"/>
      <c r="L156" s="285"/>
      <c r="M156" s="285"/>
      <c r="N156" s="285"/>
      <c r="O156" s="285"/>
      <c r="P156" s="285"/>
      <c r="Q156" s="285"/>
      <c r="R156" s="285"/>
      <c r="S156" s="285"/>
      <c r="T156" s="285"/>
      <c r="U156" s="285"/>
      <c r="V156" s="285"/>
      <c r="W156" s="285">
        <v>3.5499322187076365</v>
      </c>
      <c r="X156" s="285">
        <v>3.9161904761904767</v>
      </c>
      <c r="Y156" s="285"/>
      <c r="Z156" s="285"/>
    </row>
    <row r="157" spans="1:26" x14ac:dyDescent="0.25">
      <c r="A157" s="285"/>
      <c r="B157" s="285"/>
      <c r="C157" s="285"/>
      <c r="D157" s="285"/>
      <c r="E157" s="285"/>
      <c r="F157" s="285"/>
      <c r="G157" s="285"/>
      <c r="H157" s="285"/>
      <c r="I157" s="285"/>
      <c r="J157" s="285"/>
      <c r="K157" s="285"/>
      <c r="L157" s="285"/>
      <c r="M157" s="285"/>
      <c r="N157" s="285"/>
      <c r="O157" s="285"/>
      <c r="P157" s="285"/>
      <c r="Q157" s="285"/>
      <c r="R157" s="285"/>
      <c r="S157" s="285"/>
      <c r="T157" s="285"/>
      <c r="U157" s="285"/>
      <c r="V157" s="285"/>
      <c r="W157" s="285"/>
      <c r="X157" s="285"/>
      <c r="Y157" s="285"/>
      <c r="Z157" s="285"/>
    </row>
    <row r="158" spans="1:26" x14ac:dyDescent="0.25">
      <c r="A158" s="285" t="s">
        <v>241</v>
      </c>
      <c r="B158" s="285"/>
      <c r="C158" s="285"/>
      <c r="D158" s="285"/>
      <c r="E158" s="285"/>
      <c r="F158" s="285"/>
      <c r="G158" s="285"/>
      <c r="H158" s="285"/>
      <c r="I158" s="285"/>
      <c r="J158" s="285"/>
      <c r="K158" s="285"/>
      <c r="L158" s="285"/>
      <c r="M158" s="285"/>
      <c r="N158" s="285"/>
      <c r="O158" s="285"/>
      <c r="P158" s="285"/>
      <c r="Q158" s="285"/>
      <c r="R158" s="285"/>
      <c r="S158" s="285"/>
      <c r="T158" s="285"/>
      <c r="U158" s="285"/>
      <c r="V158" s="285"/>
      <c r="W158" s="285"/>
      <c r="X158" s="285"/>
      <c r="Y158" s="285"/>
      <c r="Z158" s="285"/>
    </row>
    <row r="159" spans="1:26" x14ac:dyDescent="0.25">
      <c r="A159" s="285" t="s">
        <v>228</v>
      </c>
      <c r="B159" s="285"/>
      <c r="C159" s="285" t="s">
        <v>201</v>
      </c>
      <c r="D159" s="285"/>
      <c r="E159" s="285"/>
      <c r="F159" s="285"/>
      <c r="G159" s="285"/>
      <c r="H159" s="285"/>
      <c r="I159" s="285"/>
      <c r="J159" s="285"/>
      <c r="K159" s="285"/>
      <c r="L159" s="285"/>
      <c r="M159" s="285"/>
      <c r="N159" s="285"/>
      <c r="O159" s="285"/>
      <c r="P159" s="285"/>
      <c r="Q159" s="285"/>
      <c r="R159" s="285"/>
      <c r="S159" s="285"/>
      <c r="T159" s="285">
        <v>334</v>
      </c>
      <c r="U159" s="285">
        <v>333</v>
      </c>
      <c r="V159" s="285">
        <v>330</v>
      </c>
      <c r="W159" s="285">
        <v>347.70000000000005</v>
      </c>
      <c r="X159" s="285">
        <v>165.1</v>
      </c>
      <c r="Y159" s="285" t="s">
        <v>242</v>
      </c>
      <c r="Z159" s="285"/>
    </row>
    <row r="160" spans="1:26" x14ac:dyDescent="0.25">
      <c r="A160" s="285" t="s">
        <v>243</v>
      </c>
      <c r="B160" s="285"/>
      <c r="C160" s="285" t="s">
        <v>155</v>
      </c>
      <c r="D160" s="285"/>
      <c r="E160" s="285"/>
      <c r="F160" s="285"/>
      <c r="G160" s="285"/>
      <c r="H160" s="285"/>
      <c r="I160" s="285"/>
      <c r="J160" s="285"/>
      <c r="K160" s="285"/>
      <c r="L160" s="285"/>
      <c r="M160" s="285"/>
      <c r="N160" s="285"/>
      <c r="O160" s="285"/>
      <c r="P160" s="285">
        <v>259</v>
      </c>
      <c r="Q160" s="285">
        <v>259</v>
      </c>
      <c r="R160" s="285">
        <v>259</v>
      </c>
      <c r="S160" s="285">
        <v>259</v>
      </c>
      <c r="T160" s="285">
        <v>261</v>
      </c>
      <c r="U160" s="285">
        <v>261</v>
      </c>
      <c r="V160" s="285">
        <v>261</v>
      </c>
      <c r="W160" s="285">
        <v>261</v>
      </c>
      <c r="X160" s="285"/>
      <c r="Y160" s="285" t="s">
        <v>244</v>
      </c>
      <c r="Z160" s="285"/>
    </row>
    <row r="161" spans="1:25" x14ac:dyDescent="0.25">
      <c r="A161" s="285" t="s">
        <v>245</v>
      </c>
      <c r="B161" s="285"/>
      <c r="C161" s="285" t="s">
        <v>155</v>
      </c>
      <c r="D161" s="285"/>
      <c r="E161" s="285"/>
      <c r="F161" s="285"/>
      <c r="G161" s="285"/>
      <c r="H161" s="285"/>
      <c r="I161" s="285"/>
      <c r="J161" s="285"/>
      <c r="K161" s="285"/>
      <c r="L161" s="285"/>
      <c r="M161" s="285"/>
      <c r="N161" s="285"/>
      <c r="O161" s="285"/>
      <c r="P161" s="285">
        <v>77</v>
      </c>
      <c r="Q161" s="285">
        <v>77</v>
      </c>
      <c r="R161" s="285">
        <v>77</v>
      </c>
      <c r="S161" s="285">
        <v>77</v>
      </c>
      <c r="T161" s="285">
        <v>77</v>
      </c>
      <c r="U161" s="285">
        <v>77</v>
      </c>
      <c r="V161" s="285">
        <v>77</v>
      </c>
      <c r="W161" s="285">
        <v>77</v>
      </c>
      <c r="X161" s="285"/>
      <c r="Y161" s="285" t="s">
        <v>244</v>
      </c>
    </row>
    <row r="162" spans="1:25" x14ac:dyDescent="0.25">
      <c r="A162" s="285" t="s">
        <v>246</v>
      </c>
      <c r="B162" s="285"/>
      <c r="C162" s="285" t="s">
        <v>230</v>
      </c>
      <c r="D162" s="285"/>
      <c r="E162" s="285"/>
      <c r="F162" s="285"/>
      <c r="G162" s="285"/>
      <c r="H162" s="285"/>
      <c r="I162" s="285"/>
      <c r="J162" s="285"/>
      <c r="K162" s="285"/>
      <c r="L162" s="285"/>
      <c r="M162" s="285"/>
      <c r="N162" s="285"/>
      <c r="O162" s="285"/>
      <c r="P162" s="285"/>
      <c r="Q162" s="285"/>
      <c r="R162" s="285">
        <v>254</v>
      </c>
      <c r="S162" s="285">
        <v>257</v>
      </c>
      <c r="T162" s="285">
        <v>258</v>
      </c>
      <c r="U162" s="285"/>
      <c r="V162" s="285"/>
      <c r="W162" s="285"/>
      <c r="X162" s="285"/>
      <c r="Y162" s="285"/>
    </row>
    <row r="163" spans="1:25" x14ac:dyDescent="0.25">
      <c r="A163" s="285" t="s">
        <v>247</v>
      </c>
      <c r="B163" s="285"/>
      <c r="C163" s="285" t="s">
        <v>239</v>
      </c>
      <c r="D163" s="285"/>
      <c r="E163" s="285"/>
      <c r="F163" s="285"/>
      <c r="G163" s="285"/>
      <c r="H163" s="285"/>
      <c r="I163" s="285"/>
      <c r="J163" s="285"/>
      <c r="K163" s="285"/>
      <c r="L163" s="285"/>
      <c r="M163" s="285"/>
      <c r="N163" s="285"/>
      <c r="O163" s="285"/>
      <c r="P163" s="285"/>
      <c r="Q163" s="285"/>
      <c r="R163" s="285"/>
      <c r="S163" s="285"/>
      <c r="T163" s="285"/>
      <c r="U163" s="285"/>
      <c r="V163" s="285"/>
      <c r="W163" s="285">
        <v>87.1</v>
      </c>
      <c r="X163" s="285">
        <v>45.7</v>
      </c>
      <c r="Y163" s="285" t="s">
        <v>242</v>
      </c>
    </row>
    <row r="164" spans="1:25" x14ac:dyDescent="0.25">
      <c r="A164" s="285" t="s">
        <v>240</v>
      </c>
      <c r="B164" s="285"/>
      <c r="C164" s="285" t="s">
        <v>155</v>
      </c>
      <c r="D164" s="285"/>
      <c r="E164" s="285"/>
      <c r="F164" s="285"/>
      <c r="G164" s="285"/>
      <c r="H164" s="285"/>
      <c r="I164" s="285"/>
      <c r="J164" s="285"/>
      <c r="K164" s="285"/>
      <c r="L164" s="285"/>
      <c r="M164" s="285"/>
      <c r="N164" s="285"/>
      <c r="O164" s="285"/>
      <c r="P164" s="285"/>
      <c r="Q164" s="285"/>
      <c r="R164" s="285"/>
      <c r="S164" s="285"/>
      <c r="T164" s="285"/>
      <c r="U164" s="285"/>
      <c r="V164" s="285"/>
      <c r="W164" s="285">
        <v>3.9919632606199777</v>
      </c>
      <c r="X164" s="285">
        <v>3.6126914660831506</v>
      </c>
      <c r="Y164" s="285"/>
    </row>
    <row r="165" spans="1:25" x14ac:dyDescent="0.25">
      <c r="A165" s="285"/>
      <c r="B165" s="285"/>
      <c r="C165" s="285"/>
      <c r="D165" s="285"/>
      <c r="E165" s="285"/>
      <c r="F165" s="285"/>
      <c r="G165" s="285"/>
      <c r="H165" s="285"/>
      <c r="I165" s="285"/>
      <c r="J165" s="285"/>
      <c r="K165" s="285"/>
      <c r="L165" s="285"/>
      <c r="M165" s="285"/>
      <c r="N165" s="285"/>
      <c r="O165" s="285"/>
      <c r="P165" s="285"/>
      <c r="Q165" s="285"/>
      <c r="R165" s="285"/>
      <c r="S165" s="285"/>
      <c r="T165" s="285"/>
      <c r="U165" s="285"/>
      <c r="V165" s="285"/>
      <c r="W165" s="285"/>
      <c r="X165" s="285"/>
      <c r="Y165" s="285"/>
    </row>
    <row r="166" spans="1:25" x14ac:dyDescent="0.25">
      <c r="A166" s="285"/>
      <c r="B166" s="285"/>
      <c r="C166" s="285"/>
      <c r="D166" s="285"/>
      <c r="E166" s="285"/>
      <c r="F166" s="285"/>
      <c r="G166" s="285"/>
      <c r="H166" s="285"/>
      <c r="I166" s="285"/>
      <c r="J166" s="285"/>
      <c r="K166" s="285"/>
      <c r="L166" s="285"/>
      <c r="M166" s="285"/>
      <c r="N166" s="285"/>
      <c r="O166" s="285"/>
      <c r="P166" s="285"/>
      <c r="Q166" s="285"/>
      <c r="R166" s="285"/>
      <c r="S166" s="285"/>
      <c r="T166" s="285"/>
      <c r="U166" s="285"/>
      <c r="V166" s="285"/>
      <c r="W166" s="285"/>
      <c r="X166" s="285"/>
      <c r="Y166" s="285"/>
    </row>
    <row r="167" spans="1:25" x14ac:dyDescent="0.25">
      <c r="A167" s="285" t="s">
        <v>248</v>
      </c>
      <c r="B167" s="285"/>
      <c r="C167" s="285" t="s">
        <v>155</v>
      </c>
      <c r="D167" s="285">
        <v>22</v>
      </c>
      <c r="E167" s="285">
        <v>22</v>
      </c>
      <c r="F167" s="285">
        <v>22</v>
      </c>
      <c r="G167" s="285">
        <v>22</v>
      </c>
      <c r="H167" s="285">
        <v>22</v>
      </c>
      <c r="I167" s="285">
        <v>22</v>
      </c>
      <c r="J167" s="285">
        <v>22</v>
      </c>
      <c r="K167" s="285">
        <v>22</v>
      </c>
      <c r="L167" s="285">
        <v>22</v>
      </c>
      <c r="M167" s="285">
        <v>22</v>
      </c>
      <c r="N167" s="285">
        <v>22</v>
      </c>
      <c r="O167" s="285">
        <v>22</v>
      </c>
      <c r="P167" s="285">
        <v>22</v>
      </c>
      <c r="Q167" s="285">
        <v>22</v>
      </c>
      <c r="R167" s="285">
        <v>22</v>
      </c>
      <c r="S167" s="285">
        <v>22</v>
      </c>
      <c r="T167" s="285">
        <v>22</v>
      </c>
      <c r="U167" s="285">
        <v>22</v>
      </c>
      <c r="V167" s="285">
        <v>22</v>
      </c>
      <c r="W167" s="285">
        <v>38</v>
      </c>
      <c r="X167" s="285">
        <v>38</v>
      </c>
      <c r="Y167" s="285" t="s">
        <v>249</v>
      </c>
    </row>
    <row r="168" spans="1:25" x14ac:dyDescent="0.25">
      <c r="A168" s="285" t="s">
        <v>228</v>
      </c>
      <c r="B168" s="285"/>
      <c r="C168" s="285" t="s">
        <v>201</v>
      </c>
      <c r="D168" s="285"/>
      <c r="E168" s="285"/>
      <c r="F168" s="285"/>
      <c r="G168" s="285"/>
      <c r="H168" s="285"/>
      <c r="I168" s="285"/>
      <c r="J168" s="285"/>
      <c r="K168" s="285"/>
      <c r="L168" s="285"/>
      <c r="M168" s="285"/>
      <c r="N168" s="285"/>
      <c r="O168" s="285"/>
      <c r="P168" s="285"/>
      <c r="Q168" s="285"/>
      <c r="R168" s="285"/>
      <c r="S168" s="285"/>
      <c r="T168" s="285">
        <v>32.6</v>
      </c>
      <c r="U168" s="285">
        <v>32.799999999999997</v>
      </c>
      <c r="V168" s="285">
        <v>31.7</v>
      </c>
      <c r="W168" s="285">
        <v>32.1</v>
      </c>
      <c r="X168" s="285"/>
      <c r="Y168" s="285" t="s">
        <v>250</v>
      </c>
    </row>
  </sheetData>
  <mergeCells count="14">
    <mergeCell ref="AD1:BD1"/>
    <mergeCell ref="F5:K5"/>
    <mergeCell ref="L5:O5"/>
    <mergeCell ref="S5:W5"/>
    <mergeCell ref="A7:A14"/>
    <mergeCell ref="P5:R5"/>
    <mergeCell ref="Z7:Z14"/>
    <mergeCell ref="C7:C14"/>
    <mergeCell ref="D7:D14"/>
    <mergeCell ref="E7:E14"/>
    <mergeCell ref="F1:M1"/>
    <mergeCell ref="N1:T1"/>
    <mergeCell ref="U1:W1"/>
    <mergeCell ref="X1:AC1"/>
  </mergeCells>
  <pageMargins left="0.7" right="0.7" top="0.75" bottom="0.75" header="0.3" footer="0.3"/>
  <pageSetup paperSize="9" orientation="portrait" horizontalDpi="4294967293" verticalDpi="0"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05CEC4-5B0D-44B2-AF11-0EABF59D87AE}">
  <sheetPr>
    <tabColor theme="5" tint="0.39997558519241921"/>
  </sheetPr>
  <dimension ref="A1:BG37"/>
  <sheetViews>
    <sheetView zoomScaleNormal="100" workbookViewId="0">
      <selection activeCell="M3" sqref="M3"/>
    </sheetView>
  </sheetViews>
  <sheetFormatPr defaultColWidth="8.88671875" defaultRowHeight="13.2" x14ac:dyDescent="0.25"/>
  <cols>
    <col min="1" max="1" width="19.5546875" style="34" customWidth="1"/>
    <col min="2" max="2" width="31.44140625" style="34" customWidth="1"/>
    <col min="3" max="3" width="8.88671875" style="34"/>
    <col min="4" max="10" width="10.88671875" style="34" bestFit="1" customWidth="1"/>
    <col min="11" max="11" width="12.109375" style="34" customWidth="1"/>
    <col min="12" max="12" width="12.88671875" style="34" customWidth="1"/>
    <col min="13" max="13" width="8.88671875" style="34"/>
    <col min="14" max="14" width="10.44140625" style="34" customWidth="1"/>
    <col min="15" max="15" width="10.33203125" style="34" customWidth="1"/>
    <col min="16" max="17" width="10.5546875" style="34" customWidth="1"/>
    <col min="18" max="18" width="10" style="34" customWidth="1"/>
    <col min="19" max="19" width="10.6640625" style="34" customWidth="1"/>
    <col min="20" max="20" width="8.88671875" style="34"/>
    <col min="21" max="21" width="10.109375" style="34" customWidth="1"/>
    <col min="22" max="23" width="8.88671875" style="34"/>
    <col min="24" max="24" width="9.88671875" style="34" customWidth="1"/>
    <col min="25" max="25" width="8.88671875" style="34"/>
    <col min="26" max="26" width="9.88671875" style="34" customWidth="1"/>
    <col min="27" max="27" width="10" style="34" customWidth="1"/>
    <col min="28" max="29" width="8.88671875" style="34"/>
    <col min="30" max="30" width="10.33203125" style="34" customWidth="1"/>
    <col min="31" max="31" width="9.88671875" style="34" customWidth="1"/>
    <col min="32" max="32" width="10.109375" style="34" customWidth="1"/>
    <col min="33" max="33" width="11.109375" style="34" customWidth="1"/>
    <col min="34" max="34" width="9.5546875" style="34" customWidth="1"/>
    <col min="35" max="35" width="10.5546875" style="34" customWidth="1"/>
    <col min="36" max="36" width="10.109375" style="34" customWidth="1"/>
    <col min="37" max="37" width="8.88671875" style="34"/>
    <col min="38" max="38" width="9.44140625" style="34" customWidth="1"/>
    <col min="39" max="39" width="10" style="34" customWidth="1"/>
    <col min="40" max="40" width="8.88671875" style="34"/>
    <col min="41" max="41" width="9.5546875" style="34" customWidth="1"/>
    <col min="42" max="43" width="8.88671875" style="34"/>
    <col min="44" max="44" width="9.33203125" style="34" customWidth="1"/>
    <col min="45" max="45" width="8.88671875" style="34"/>
    <col min="46" max="46" width="9.6640625" style="34" customWidth="1"/>
    <col min="47" max="48" width="8.88671875" style="34"/>
    <col min="49" max="49" width="10.5546875" style="34" customWidth="1"/>
    <col min="50" max="51" width="8.88671875" style="34"/>
    <col min="52" max="53" width="9.5546875" style="34" customWidth="1"/>
    <col min="54" max="56" width="8.88671875" style="34"/>
    <col min="57" max="57" width="10" style="34" customWidth="1"/>
    <col min="58" max="58" width="8.88671875" style="34"/>
    <col min="59" max="59" width="10" style="34" customWidth="1"/>
    <col min="60" max="16384" width="8.88671875" style="34"/>
  </cols>
  <sheetData>
    <row r="1" spans="1:59" ht="13.8" thickBot="1" x14ac:dyDescent="0.3">
      <c r="A1" s="243"/>
      <c r="B1" s="244"/>
      <c r="C1" s="245"/>
      <c r="D1" s="246"/>
      <c r="E1" s="247"/>
      <c r="F1" s="635" t="s">
        <v>557</v>
      </c>
      <c r="G1" s="636"/>
      <c r="H1" s="636"/>
      <c r="I1" s="636"/>
      <c r="J1" s="636"/>
      <c r="K1" s="636"/>
      <c r="L1" s="636"/>
      <c r="M1" s="637"/>
      <c r="N1" s="635" t="s">
        <v>457</v>
      </c>
      <c r="O1" s="636"/>
      <c r="P1" s="636"/>
      <c r="Q1" s="636"/>
      <c r="R1" s="636"/>
      <c r="S1" s="636"/>
      <c r="T1" s="637"/>
      <c r="U1" s="635" t="s">
        <v>458</v>
      </c>
      <c r="V1" s="636"/>
      <c r="W1" s="637"/>
      <c r="X1" s="635" t="s">
        <v>452</v>
      </c>
      <c r="Y1" s="636"/>
      <c r="Z1" s="636"/>
      <c r="AA1" s="636"/>
      <c r="AB1" s="636"/>
      <c r="AC1" s="637"/>
      <c r="AD1" s="635" t="s">
        <v>4</v>
      </c>
      <c r="AE1" s="636"/>
      <c r="AF1" s="636"/>
      <c r="AG1" s="636"/>
      <c r="AH1" s="636"/>
      <c r="AI1" s="636"/>
      <c r="AJ1" s="636"/>
      <c r="AK1" s="636"/>
      <c r="AL1" s="636"/>
      <c r="AM1" s="636"/>
      <c r="AN1" s="636"/>
      <c r="AO1" s="636"/>
      <c r="AP1" s="636"/>
      <c r="AQ1" s="636"/>
      <c r="AR1" s="636"/>
      <c r="AS1" s="636"/>
      <c r="AT1" s="636"/>
      <c r="AU1" s="636"/>
      <c r="AV1" s="636"/>
      <c r="AW1" s="636"/>
      <c r="AX1" s="636"/>
      <c r="AY1" s="636"/>
      <c r="AZ1" s="636"/>
      <c r="BA1" s="636"/>
      <c r="BB1" s="636"/>
      <c r="BC1" s="636"/>
      <c r="BD1" s="637"/>
      <c r="BE1" s="246"/>
      <c r="BF1" s="245"/>
      <c r="BG1" s="245"/>
    </row>
    <row r="2" spans="1:59" s="85" customFormat="1" ht="69" customHeight="1" thickBot="1" x14ac:dyDescent="0.35">
      <c r="A2" s="219" t="s">
        <v>538</v>
      </c>
      <c r="B2" s="220" t="s">
        <v>5</v>
      </c>
      <c r="C2" s="221" t="s">
        <v>101</v>
      </c>
      <c r="D2" s="222" t="s">
        <v>437</v>
      </c>
      <c r="E2" s="223" t="s">
        <v>438</v>
      </c>
      <c r="F2" s="137" t="s">
        <v>82</v>
      </c>
      <c r="G2" s="138" t="s">
        <v>439</v>
      </c>
      <c r="H2" s="138" t="s">
        <v>136</v>
      </c>
      <c r="I2" s="138" t="s">
        <v>440</v>
      </c>
      <c r="J2" s="138" t="s">
        <v>315</v>
      </c>
      <c r="K2" s="138" t="s">
        <v>441</v>
      </c>
      <c r="L2" s="138" t="s">
        <v>684</v>
      </c>
      <c r="M2" s="138" t="s">
        <v>443</v>
      </c>
      <c r="N2" s="137" t="s">
        <v>444</v>
      </c>
      <c r="O2" s="138" t="s">
        <v>81</v>
      </c>
      <c r="P2" s="138" t="s">
        <v>7</v>
      </c>
      <c r="Q2" s="138" t="s">
        <v>127</v>
      </c>
      <c r="R2" s="138" t="s">
        <v>445</v>
      </c>
      <c r="S2" s="138" t="s">
        <v>446</v>
      </c>
      <c r="T2" s="139" t="s">
        <v>447</v>
      </c>
      <c r="U2" s="138" t="s">
        <v>448</v>
      </c>
      <c r="V2" s="138" t="s">
        <v>449</v>
      </c>
      <c r="W2" s="138" t="s">
        <v>450</v>
      </c>
      <c r="X2" s="137" t="s">
        <v>84</v>
      </c>
      <c r="Y2" s="138" t="s">
        <v>451</v>
      </c>
      <c r="Z2" s="138" t="s">
        <v>452</v>
      </c>
      <c r="AA2" s="138" t="s">
        <v>83</v>
      </c>
      <c r="AB2" s="138" t="s">
        <v>453</v>
      </c>
      <c r="AC2" s="139" t="s">
        <v>454</v>
      </c>
      <c r="AD2" s="137" t="s">
        <v>9</v>
      </c>
      <c r="AE2" s="138" t="s">
        <v>10</v>
      </c>
      <c r="AF2" s="138" t="s">
        <v>11</v>
      </c>
      <c r="AG2" s="138" t="s">
        <v>12</v>
      </c>
      <c r="AH2" s="138" t="s">
        <v>13</v>
      </c>
      <c r="AI2" s="138" t="s">
        <v>14</v>
      </c>
      <c r="AJ2" s="138" t="s">
        <v>15</v>
      </c>
      <c r="AK2" s="138" t="s">
        <v>16</v>
      </c>
      <c r="AL2" s="138" t="s">
        <v>17</v>
      </c>
      <c r="AM2" s="140" t="s">
        <v>18</v>
      </c>
      <c r="AN2" s="140" t="s">
        <v>19</v>
      </c>
      <c r="AO2" s="140" t="s">
        <v>20</v>
      </c>
      <c r="AP2" s="140" t="s">
        <v>21</v>
      </c>
      <c r="AQ2" s="140" t="s">
        <v>22</v>
      </c>
      <c r="AR2" s="140" t="s">
        <v>23</v>
      </c>
      <c r="AS2" s="140" t="s">
        <v>24</v>
      </c>
      <c r="AT2" s="140" t="s">
        <v>25</v>
      </c>
      <c r="AU2" s="140" t="s">
        <v>26</v>
      </c>
      <c r="AV2" s="140" t="s">
        <v>27</v>
      </c>
      <c r="AW2" s="140" t="s">
        <v>28</v>
      </c>
      <c r="AX2" s="140" t="s">
        <v>29</v>
      </c>
      <c r="AY2" s="140" t="s">
        <v>30</v>
      </c>
      <c r="AZ2" s="140" t="s">
        <v>31</v>
      </c>
      <c r="BA2" s="140" t="s">
        <v>32</v>
      </c>
      <c r="BB2" s="140" t="s">
        <v>33</v>
      </c>
      <c r="BC2" s="140" t="s">
        <v>34</v>
      </c>
      <c r="BD2" s="140" t="s">
        <v>35</v>
      </c>
      <c r="BE2" s="141" t="s">
        <v>459</v>
      </c>
      <c r="BF2" s="142"/>
      <c r="BG2" s="143" t="s">
        <v>79</v>
      </c>
    </row>
    <row r="3" spans="1:59" x14ac:dyDescent="0.25">
      <c r="A3" s="601" t="s">
        <v>546</v>
      </c>
      <c r="B3" s="83" t="s">
        <v>482</v>
      </c>
      <c r="C3" s="601" t="s">
        <v>38</v>
      </c>
      <c r="D3" s="601">
        <v>2018</v>
      </c>
      <c r="E3" s="657" t="s">
        <v>668</v>
      </c>
      <c r="F3" s="23"/>
      <c r="G3" s="24"/>
      <c r="H3" s="24"/>
      <c r="I3" s="24"/>
      <c r="J3" s="24"/>
      <c r="K3" s="24"/>
      <c r="L3" s="24"/>
      <c r="M3" s="25"/>
      <c r="N3" s="23">
        <f>10422.8803589811+E37</f>
        <v>179837.8802388733</v>
      </c>
      <c r="O3" s="24">
        <v>85729.738020033314</v>
      </c>
      <c r="P3" s="24">
        <v>339882.67951004108</v>
      </c>
      <c r="Q3" s="24"/>
      <c r="R3" s="24">
        <f>F37</f>
        <v>324131.40216241981</v>
      </c>
      <c r="S3" s="24"/>
      <c r="T3" s="25"/>
      <c r="U3" s="23"/>
      <c r="V3" s="24"/>
      <c r="W3" s="25"/>
      <c r="X3" s="462">
        <f>D37</f>
        <v>173467.42366109215</v>
      </c>
      <c r="Y3" s="463"/>
      <c r="Z3" s="463">
        <f>G37</f>
        <v>129402.98717452597</v>
      </c>
      <c r="AA3" s="463"/>
      <c r="AB3" s="24"/>
      <c r="AC3" s="25"/>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57"/>
      <c r="BD3" s="102"/>
      <c r="BE3" s="23">
        <f>SUM(AD3:BD3)</f>
        <v>0</v>
      </c>
      <c r="BF3" s="83"/>
      <c r="BG3" s="25">
        <f>SUM(F3:BD3)</f>
        <v>1232452.1107669855</v>
      </c>
    </row>
    <row r="4" spans="1:59" ht="14.4" customHeight="1" x14ac:dyDescent="0.25">
      <c r="A4" s="602"/>
      <c r="B4" s="56" t="s">
        <v>483</v>
      </c>
      <c r="C4" s="602"/>
      <c r="D4" s="602"/>
      <c r="E4" s="658"/>
      <c r="F4" s="26">
        <v>1403741.9164087055</v>
      </c>
      <c r="G4" s="27"/>
      <c r="H4" s="27"/>
      <c r="I4" s="27"/>
      <c r="J4" s="27"/>
      <c r="K4" s="27"/>
      <c r="L4" s="27"/>
      <c r="M4" s="28"/>
      <c r="N4" s="26">
        <v>570263.12330039847</v>
      </c>
      <c r="O4" s="27">
        <v>130206.65967738738</v>
      </c>
      <c r="P4" s="27">
        <v>239703.72857240072</v>
      </c>
      <c r="Q4" s="27"/>
      <c r="R4" s="27"/>
      <c r="S4" s="27"/>
      <c r="T4" s="28"/>
      <c r="U4" s="26"/>
      <c r="V4" s="27"/>
      <c r="W4" s="28"/>
      <c r="X4" s="464"/>
      <c r="Y4" s="461"/>
      <c r="Z4" s="461"/>
      <c r="AA4" s="461"/>
      <c r="AB4" s="27"/>
      <c r="AC4" s="28"/>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D4" s="103"/>
      <c r="BE4" s="26">
        <f t="shared" ref="BE4:BE11" si="0">SUM(AD4:BD4)</f>
        <v>0</v>
      </c>
      <c r="BF4" s="56"/>
      <c r="BG4" s="28">
        <f t="shared" ref="BG4:BG11" si="1">SUM(F4:BD4)</f>
        <v>2343915.4279588922</v>
      </c>
    </row>
    <row r="5" spans="1:59" ht="14.4" customHeight="1" x14ac:dyDescent="0.25">
      <c r="A5" s="602"/>
      <c r="B5" s="56" t="s">
        <v>484</v>
      </c>
      <c r="C5" s="602"/>
      <c r="D5" s="602"/>
      <c r="E5" s="658"/>
      <c r="F5" s="26">
        <v>206794.40600000002</v>
      </c>
      <c r="G5" s="27"/>
      <c r="H5" s="27"/>
      <c r="I5" s="27"/>
      <c r="J5" s="27"/>
      <c r="K5" s="27"/>
      <c r="L5" s="27"/>
      <c r="M5" s="28"/>
      <c r="N5" s="26">
        <v>126051.43201360352</v>
      </c>
      <c r="O5" s="27"/>
      <c r="P5" s="27"/>
      <c r="Q5" s="27"/>
      <c r="R5" s="27"/>
      <c r="S5" s="27"/>
      <c r="T5" s="28"/>
      <c r="U5" s="26"/>
      <c r="V5" s="27"/>
      <c r="W5" s="28"/>
      <c r="X5" s="464"/>
      <c r="Y5" s="461"/>
      <c r="Z5" s="461"/>
      <c r="AA5" s="461"/>
      <c r="AB5" s="27"/>
      <c r="AC5" s="28"/>
      <c r="AD5" s="27"/>
      <c r="AE5" s="27"/>
      <c r="AF5" s="27"/>
      <c r="AG5" s="27"/>
      <c r="AH5" s="27"/>
      <c r="AI5" s="27"/>
      <c r="AJ5" s="27"/>
      <c r="AK5" s="27"/>
      <c r="AL5" s="27"/>
      <c r="AM5" s="27"/>
      <c r="AN5" s="27"/>
      <c r="AO5" s="27"/>
      <c r="AP5" s="27"/>
      <c r="AQ5" s="27"/>
      <c r="AR5" s="27"/>
      <c r="AS5" s="27"/>
      <c r="AT5" s="27"/>
      <c r="AU5" s="27"/>
      <c r="AV5" s="27"/>
      <c r="AW5" s="27"/>
      <c r="AX5" s="27"/>
      <c r="AY5" s="27"/>
      <c r="AZ5" s="27"/>
      <c r="BA5" s="27"/>
      <c r="BB5" s="27"/>
      <c r="BD5" s="103"/>
      <c r="BE5" s="26">
        <f t="shared" si="0"/>
        <v>0</v>
      </c>
      <c r="BF5" s="56"/>
      <c r="BG5" s="28">
        <f t="shared" si="1"/>
        <v>332845.83801360353</v>
      </c>
    </row>
    <row r="6" spans="1:59" ht="14.4" customHeight="1" x14ac:dyDescent="0.25">
      <c r="A6" s="602"/>
      <c r="B6" s="56" t="s">
        <v>485</v>
      </c>
      <c r="C6" s="602"/>
      <c r="D6" s="602"/>
      <c r="E6" s="658"/>
      <c r="F6" s="26">
        <v>2112599.4010316771</v>
      </c>
      <c r="G6" s="27"/>
      <c r="H6" s="27"/>
      <c r="I6" s="27"/>
      <c r="J6" s="27"/>
      <c r="K6" s="27"/>
      <c r="L6" s="27"/>
      <c r="M6" s="28"/>
      <c r="N6" s="26">
        <v>990065.17552288587</v>
      </c>
      <c r="O6" s="27">
        <v>18710.58691231587</v>
      </c>
      <c r="P6" s="27">
        <v>1625.437346266498</v>
      </c>
      <c r="Q6" s="27"/>
      <c r="R6" s="27"/>
      <c r="S6" s="461">
        <v>854.17548919556305</v>
      </c>
      <c r="T6" s="28"/>
      <c r="U6" s="26">
        <v>1555.691381722083</v>
      </c>
      <c r="V6" s="27"/>
      <c r="W6" s="28"/>
      <c r="X6" s="464">
        <v>1149.8588473597999</v>
      </c>
      <c r="Y6" s="461"/>
      <c r="Z6" s="461"/>
      <c r="AA6" s="461"/>
      <c r="AB6" s="27"/>
      <c r="AC6" s="28"/>
      <c r="AD6" s="27">
        <v>91.514654522221321</v>
      </c>
      <c r="AE6" s="27">
        <v>3.744649746629515</v>
      </c>
      <c r="AF6" s="27">
        <v>16.048498914126501</v>
      </c>
      <c r="AG6" s="27"/>
      <c r="AH6" s="27"/>
      <c r="AI6" s="27"/>
      <c r="AJ6" s="27"/>
      <c r="AK6" s="27"/>
      <c r="AL6" s="27">
        <v>0.7260035223057224</v>
      </c>
      <c r="AM6" s="27">
        <v>146.984794035639</v>
      </c>
      <c r="AN6" s="27"/>
      <c r="AO6" s="27"/>
      <c r="AP6" s="27"/>
      <c r="AQ6" s="27"/>
      <c r="AR6" s="27"/>
      <c r="AS6" s="27"/>
      <c r="AT6" s="27"/>
      <c r="AU6" s="27"/>
      <c r="AV6" s="27"/>
      <c r="AW6" s="27"/>
      <c r="AX6" s="27"/>
      <c r="AY6" s="27"/>
      <c r="AZ6" s="27"/>
      <c r="BA6" s="27">
        <v>19.295089537040099</v>
      </c>
      <c r="BB6" s="27"/>
      <c r="BD6" s="103"/>
      <c r="BE6" s="26">
        <f t="shared" si="0"/>
        <v>278.31369027796217</v>
      </c>
      <c r="BF6" s="56"/>
      <c r="BG6" s="28">
        <f t="shared" si="1"/>
        <v>3126838.6402217005</v>
      </c>
    </row>
    <row r="7" spans="1:59" ht="14.4" customHeight="1" x14ac:dyDescent="0.25">
      <c r="A7" s="602"/>
      <c r="B7" s="56" t="s">
        <v>486</v>
      </c>
      <c r="C7" s="602"/>
      <c r="D7" s="602"/>
      <c r="E7" s="658"/>
      <c r="F7" s="26">
        <v>274471.42673439148</v>
      </c>
      <c r="G7" s="27"/>
      <c r="H7" s="27"/>
      <c r="I7" s="27"/>
      <c r="J7" s="27"/>
      <c r="K7" s="27"/>
      <c r="L7" s="27"/>
      <c r="M7" s="28"/>
      <c r="N7" s="26">
        <v>307028.16927949229</v>
      </c>
      <c r="O7" s="27">
        <v>20800.14107048107</v>
      </c>
      <c r="P7" s="27">
        <v>33913.273484480007</v>
      </c>
      <c r="Q7" s="461">
        <v>8.9983121977383238</v>
      </c>
      <c r="R7" s="461">
        <v>279.28953283425398</v>
      </c>
      <c r="S7" s="461">
        <v>460.98773050307722</v>
      </c>
      <c r="T7" s="28"/>
      <c r="U7" s="26"/>
      <c r="V7" s="27"/>
      <c r="W7" s="28"/>
      <c r="X7" s="464">
        <v>38887.220262203737</v>
      </c>
      <c r="Y7" s="461"/>
      <c r="Z7" s="461"/>
      <c r="AA7" s="461">
        <v>209810.118623983</v>
      </c>
      <c r="AB7" s="27"/>
      <c r="AC7" s="28"/>
      <c r="AD7" s="27"/>
      <c r="AE7" s="27"/>
      <c r="AF7" s="27"/>
      <c r="AG7" s="27">
        <v>7.0499683841375136</v>
      </c>
      <c r="AH7" s="27">
        <v>1.200175018037789</v>
      </c>
      <c r="AI7" s="27">
        <v>12.84843603012674</v>
      </c>
      <c r="AJ7" s="27">
        <v>77.173123192664832</v>
      </c>
      <c r="AK7" s="27"/>
      <c r="AL7" s="27"/>
      <c r="AM7" s="27">
        <v>15474.776001127109</v>
      </c>
      <c r="AN7" s="27"/>
      <c r="AO7" s="27"/>
      <c r="AP7" s="27"/>
      <c r="AQ7" s="27"/>
      <c r="AR7" s="27"/>
      <c r="AS7" s="27"/>
      <c r="AT7" s="27"/>
      <c r="AU7" s="27"/>
      <c r="AV7" s="27"/>
      <c r="AW7" s="27"/>
      <c r="AX7" s="27"/>
      <c r="AY7" s="27"/>
      <c r="AZ7" s="27"/>
      <c r="BA7" s="27"/>
      <c r="BB7" s="27"/>
      <c r="BD7" s="103"/>
      <c r="BE7" s="26">
        <f t="shared" si="0"/>
        <v>15573.047703752076</v>
      </c>
      <c r="BF7" s="56"/>
      <c r="BG7" s="28">
        <f t="shared" si="1"/>
        <v>901232.67273431853</v>
      </c>
    </row>
    <row r="8" spans="1:59" ht="14.4" customHeight="1" x14ac:dyDescent="0.25">
      <c r="A8" s="602"/>
      <c r="B8" s="56" t="s">
        <v>487</v>
      </c>
      <c r="C8" s="602"/>
      <c r="D8" s="602"/>
      <c r="E8" s="658"/>
      <c r="F8" s="26">
        <v>662340</v>
      </c>
      <c r="G8" s="27"/>
      <c r="H8" s="27"/>
      <c r="I8" s="27"/>
      <c r="J8" s="27"/>
      <c r="K8" s="27"/>
      <c r="L8" s="27"/>
      <c r="M8" s="28"/>
      <c r="N8" s="26">
        <v>294500</v>
      </c>
      <c r="O8" s="27">
        <v>17575</v>
      </c>
      <c r="P8" s="27">
        <v>17575</v>
      </c>
      <c r="Q8" s="27"/>
      <c r="R8" s="27"/>
      <c r="S8" s="461">
        <v>345.61</v>
      </c>
      <c r="T8" s="28"/>
      <c r="U8" s="26"/>
      <c r="V8" s="27"/>
      <c r="W8" s="28"/>
      <c r="X8" s="27"/>
      <c r="Y8" s="27"/>
      <c r="Z8" s="27"/>
      <c r="AA8" s="27"/>
      <c r="AB8" s="27"/>
      <c r="AC8" s="28"/>
      <c r="AD8" s="27"/>
      <c r="AE8" s="27"/>
      <c r="AF8" s="27"/>
      <c r="AG8" s="27"/>
      <c r="AH8" s="27"/>
      <c r="AI8" s="27"/>
      <c r="AJ8" s="27"/>
      <c r="AK8" s="27"/>
      <c r="AL8" s="27"/>
      <c r="AM8" s="27"/>
      <c r="AN8" s="27"/>
      <c r="AO8" s="27">
        <v>34.199999999999996</v>
      </c>
      <c r="AP8" s="27"/>
      <c r="AQ8" s="27"/>
      <c r="AR8" s="27"/>
      <c r="AS8" s="27"/>
      <c r="AT8" s="27"/>
      <c r="AU8" s="27"/>
      <c r="AV8" s="27"/>
      <c r="AW8" s="27"/>
      <c r="AX8" s="27"/>
      <c r="AY8" s="27"/>
      <c r="AZ8" s="27"/>
      <c r="BA8" s="27"/>
      <c r="BB8" s="27"/>
      <c r="BD8" s="103"/>
      <c r="BE8" s="26">
        <f t="shared" si="0"/>
        <v>34.199999999999996</v>
      </c>
      <c r="BF8" s="56"/>
      <c r="BG8" s="28">
        <f t="shared" si="1"/>
        <v>992369.80999999994</v>
      </c>
    </row>
    <row r="9" spans="1:59" ht="14.4" customHeight="1" x14ac:dyDescent="0.25">
      <c r="A9" s="602"/>
      <c r="B9" s="56" t="s">
        <v>488</v>
      </c>
      <c r="C9" s="602"/>
      <c r="D9" s="602"/>
      <c r="E9" s="658"/>
      <c r="F9" s="26">
        <v>1169894</v>
      </c>
      <c r="G9" s="27"/>
      <c r="H9" s="27"/>
      <c r="I9" s="27"/>
      <c r="J9" s="27"/>
      <c r="K9" s="27"/>
      <c r="L9" s="27"/>
      <c r="M9" s="28"/>
      <c r="N9" s="26">
        <v>347044.5</v>
      </c>
      <c r="O9" s="27">
        <v>6765</v>
      </c>
      <c r="P9" s="27">
        <v>4510</v>
      </c>
      <c r="Q9" s="27"/>
      <c r="R9" s="27"/>
      <c r="S9" s="461">
        <v>1023.4091999999999</v>
      </c>
      <c r="T9" s="28"/>
      <c r="U9" s="26"/>
      <c r="V9" s="27"/>
      <c r="W9" s="28"/>
      <c r="X9" s="27"/>
      <c r="Y9" s="27"/>
      <c r="Z9" s="27"/>
      <c r="AA9" s="27"/>
      <c r="AB9" s="27"/>
      <c r="AC9" s="28"/>
      <c r="AD9" s="27"/>
      <c r="AE9" s="27"/>
      <c r="AF9" s="27"/>
      <c r="AG9" s="27"/>
      <c r="AH9" s="27"/>
      <c r="AI9" s="27"/>
      <c r="AJ9" s="27"/>
      <c r="AK9" s="27"/>
      <c r="AL9" s="27"/>
      <c r="AM9" s="27"/>
      <c r="AN9" s="27"/>
      <c r="AO9" s="27">
        <v>62.959600000000002</v>
      </c>
      <c r="AP9" s="27"/>
      <c r="AQ9" s="27"/>
      <c r="AR9" s="27">
        <v>2.3001</v>
      </c>
      <c r="AS9" s="27"/>
      <c r="AT9" s="27">
        <v>6.4042000000000003</v>
      </c>
      <c r="AU9" s="27"/>
      <c r="AV9" s="27"/>
      <c r="AW9" s="27">
        <v>84.5625</v>
      </c>
      <c r="AX9" s="27"/>
      <c r="AY9" s="27"/>
      <c r="AZ9" s="27">
        <v>8.0278000000000009</v>
      </c>
      <c r="BA9" s="27">
        <v>11.275</v>
      </c>
      <c r="BB9" s="27"/>
      <c r="BD9" s="103"/>
      <c r="BE9" s="26">
        <f t="shared" si="0"/>
        <v>175.52920000000003</v>
      </c>
      <c r="BF9" s="56"/>
      <c r="BG9" s="28">
        <f t="shared" si="1"/>
        <v>1529412.4384000001</v>
      </c>
    </row>
    <row r="10" spans="1:59" ht="14.4" customHeight="1" x14ac:dyDescent="0.25">
      <c r="A10" s="602"/>
      <c r="B10" s="56" t="s">
        <v>489</v>
      </c>
      <c r="C10" s="602"/>
      <c r="D10" s="602"/>
      <c r="E10" s="658"/>
      <c r="F10" s="26">
        <v>181050</v>
      </c>
      <c r="G10" s="27"/>
      <c r="H10" s="27"/>
      <c r="I10" s="27"/>
      <c r="J10" s="27"/>
      <c r="K10" s="27"/>
      <c r="L10" s="27"/>
      <c r="M10" s="28"/>
      <c r="N10" s="26">
        <v>31212</v>
      </c>
      <c r="O10" s="27">
        <v>749.69999999999993</v>
      </c>
      <c r="P10" s="27">
        <v>102</v>
      </c>
      <c r="Q10" s="461">
        <v>2.1930000000000001</v>
      </c>
      <c r="R10" s="27"/>
      <c r="S10" s="461">
        <v>386.63100000000003</v>
      </c>
      <c r="T10" s="28"/>
      <c r="U10" s="26"/>
      <c r="V10" s="27"/>
      <c r="W10" s="28"/>
      <c r="X10" s="27"/>
      <c r="Y10" s="27"/>
      <c r="Z10" s="27"/>
      <c r="AA10" s="27"/>
      <c r="AB10" s="27"/>
      <c r="AC10" s="28"/>
      <c r="AD10" s="27"/>
      <c r="AE10" s="27"/>
      <c r="AF10" s="27"/>
      <c r="AG10" s="27">
        <v>0.81600000000000006</v>
      </c>
      <c r="AH10" s="27"/>
      <c r="AI10" s="27"/>
      <c r="AJ10" s="27">
        <v>4.2329999999999997</v>
      </c>
      <c r="AK10" s="27"/>
      <c r="AL10" s="27"/>
      <c r="AM10" s="27"/>
      <c r="AN10" s="27"/>
      <c r="AO10" s="27"/>
      <c r="AP10" s="27"/>
      <c r="AQ10" s="27"/>
      <c r="AR10" s="27"/>
      <c r="AS10" s="27"/>
      <c r="AT10" s="27">
        <v>0.76500000000000001</v>
      </c>
      <c r="AU10" s="27"/>
      <c r="AV10" s="27"/>
      <c r="AW10" s="27">
        <v>2.5500000000000003</v>
      </c>
      <c r="AX10" s="27">
        <v>0.255</v>
      </c>
      <c r="AY10" s="27"/>
      <c r="AZ10" s="27">
        <v>1.02</v>
      </c>
      <c r="BA10" s="27">
        <v>0.30599999999999999</v>
      </c>
      <c r="BB10" s="27"/>
      <c r="BD10" s="103"/>
      <c r="BE10" s="26">
        <f t="shared" si="0"/>
        <v>9.9449999999999985</v>
      </c>
      <c r="BF10" s="56"/>
      <c r="BG10" s="28">
        <f t="shared" si="1"/>
        <v>213512.46900000001</v>
      </c>
    </row>
    <row r="11" spans="1:59" ht="14.7" customHeight="1" thickBot="1" x14ac:dyDescent="0.3">
      <c r="A11" s="656"/>
      <c r="B11" s="84" t="s">
        <v>490</v>
      </c>
      <c r="C11" s="656"/>
      <c r="D11" s="656"/>
      <c r="E11" s="659"/>
      <c r="F11" s="29">
        <v>185747.08000000002</v>
      </c>
      <c r="G11" s="30"/>
      <c r="H11" s="30"/>
      <c r="I11" s="30"/>
      <c r="J11" s="30"/>
      <c r="K11" s="30"/>
      <c r="L11" s="30"/>
      <c r="M11" s="31"/>
      <c r="N11" s="29">
        <v>31174.66</v>
      </c>
      <c r="O11" s="30">
        <v>46.460000000000008</v>
      </c>
      <c r="P11" s="30">
        <v>236.94600000000003</v>
      </c>
      <c r="Q11" s="30"/>
      <c r="R11" s="30"/>
      <c r="S11" s="465">
        <v>210.85406399999999</v>
      </c>
      <c r="T11" s="31"/>
      <c r="U11" s="29"/>
      <c r="V11" s="30"/>
      <c r="W11" s="31"/>
      <c r="X11" s="30"/>
      <c r="Y11" s="30"/>
      <c r="Z11" s="30"/>
      <c r="AA11" s="30"/>
      <c r="AB11" s="30"/>
      <c r="AC11" s="31"/>
      <c r="AD11" s="30"/>
      <c r="AE11" s="30"/>
      <c r="AF11" s="30"/>
      <c r="AG11" s="30"/>
      <c r="AH11" s="30"/>
      <c r="AI11" s="30"/>
      <c r="AJ11" s="30"/>
      <c r="AK11" s="30"/>
      <c r="AL11" s="30"/>
      <c r="AM11" s="30"/>
      <c r="AN11" s="30"/>
      <c r="AO11" s="30">
        <v>12.971632000000001</v>
      </c>
      <c r="AP11" s="30"/>
      <c r="AQ11" s="30"/>
      <c r="AR11" s="30">
        <v>0.47389200000000004</v>
      </c>
      <c r="AS11" s="30"/>
      <c r="AT11" s="30">
        <v>1.3194640000000002</v>
      </c>
      <c r="AU11" s="30"/>
      <c r="AV11" s="30"/>
      <c r="AW11" s="30">
        <v>17.422499999999999</v>
      </c>
      <c r="AX11" s="30"/>
      <c r="AY11" s="30"/>
      <c r="AZ11" s="30">
        <v>1.6539760000000001</v>
      </c>
      <c r="BA11" s="30">
        <v>2.323</v>
      </c>
      <c r="BB11" s="30"/>
      <c r="BC11" s="33"/>
      <c r="BD11" s="104"/>
      <c r="BE11" s="29">
        <f t="shared" si="0"/>
        <v>36.164464000000002</v>
      </c>
      <c r="BF11" s="84"/>
      <c r="BG11" s="31">
        <f t="shared" si="1"/>
        <v>217452.16452800002</v>
      </c>
    </row>
    <row r="13" spans="1:59" s="33" customFormat="1" ht="13.8" thickBot="1" x14ac:dyDescent="0.3"/>
    <row r="14" spans="1:59" ht="13.8" thickBot="1" x14ac:dyDescent="0.3">
      <c r="A14" s="359" t="s">
        <v>681</v>
      </c>
      <c r="B14" s="359"/>
      <c r="C14" s="359"/>
      <c r="D14" s="359"/>
      <c r="E14" s="359"/>
    </row>
    <row r="15" spans="1:59" ht="40.200000000000003" thickBot="1" x14ac:dyDescent="0.3">
      <c r="A15" s="381" t="s">
        <v>585</v>
      </c>
      <c r="B15" s="241"/>
      <c r="C15" s="241"/>
      <c r="D15" s="382" t="s">
        <v>299</v>
      </c>
      <c r="E15" s="383" t="s">
        <v>130</v>
      </c>
      <c r="F15" s="383" t="s">
        <v>416</v>
      </c>
      <c r="G15" s="383" t="s">
        <v>417</v>
      </c>
      <c r="H15" s="383" t="s">
        <v>305</v>
      </c>
      <c r="I15" s="383" t="s">
        <v>118</v>
      </c>
      <c r="J15" s="383" t="s">
        <v>445</v>
      </c>
      <c r="K15" s="383" t="s">
        <v>589</v>
      </c>
      <c r="L15" s="384" t="s">
        <v>590</v>
      </c>
    </row>
    <row r="16" spans="1:59" x14ac:dyDescent="0.25">
      <c r="A16" s="493" t="s">
        <v>587</v>
      </c>
      <c r="B16" s="494">
        <v>0.22</v>
      </c>
      <c r="C16" s="494" t="s">
        <v>216</v>
      </c>
      <c r="D16" s="26">
        <v>3229684</v>
      </c>
      <c r="E16" s="27">
        <f>11185+3087163</f>
        <v>3098348</v>
      </c>
      <c r="F16" s="27">
        <v>4914107</v>
      </c>
      <c r="G16" s="27">
        <v>383813</v>
      </c>
      <c r="H16" s="27">
        <v>69230</v>
      </c>
      <c r="I16" s="27"/>
      <c r="J16" s="27"/>
      <c r="K16" s="27"/>
      <c r="L16" s="28"/>
    </row>
    <row r="17" spans="1:12" x14ac:dyDescent="0.25">
      <c r="A17" s="493"/>
      <c r="B17" s="494">
        <v>9833</v>
      </c>
      <c r="C17" s="494" t="s">
        <v>155</v>
      </c>
      <c r="D17" s="26"/>
      <c r="E17" s="27"/>
      <c r="F17" s="27"/>
      <c r="G17" s="27"/>
      <c r="H17" s="27"/>
      <c r="I17" s="27"/>
      <c r="J17" s="27"/>
      <c r="K17" s="27"/>
      <c r="L17" s="28"/>
    </row>
    <row r="18" spans="1:12" x14ac:dyDescent="0.25">
      <c r="A18" s="493" t="s">
        <v>588</v>
      </c>
      <c r="B18" s="494">
        <v>0.78</v>
      </c>
      <c r="C18" s="494" t="s">
        <v>216</v>
      </c>
      <c r="D18" s="26"/>
      <c r="E18" s="27"/>
      <c r="F18" s="27"/>
      <c r="G18" s="27"/>
      <c r="H18" s="27"/>
      <c r="I18" s="27">
        <v>47664225</v>
      </c>
      <c r="J18" s="27">
        <v>92683870</v>
      </c>
      <c r="K18" s="27">
        <v>11201890</v>
      </c>
      <c r="L18" s="28">
        <v>18265001</v>
      </c>
    </row>
    <row r="19" spans="1:12" x14ac:dyDescent="0.25">
      <c r="A19" s="493"/>
      <c r="B19" s="494">
        <v>34700</v>
      </c>
      <c r="C19" s="494" t="s">
        <v>155</v>
      </c>
      <c r="D19" s="26"/>
      <c r="E19" s="27"/>
      <c r="F19" s="27"/>
      <c r="G19" s="27"/>
      <c r="H19" s="27"/>
      <c r="I19" s="27"/>
      <c r="J19" s="27"/>
      <c r="K19" s="27"/>
      <c r="L19" s="28"/>
    </row>
    <row r="20" spans="1:12" ht="13.8" thickBot="1" x14ac:dyDescent="0.3">
      <c r="A20" s="369" t="s">
        <v>584</v>
      </c>
      <c r="B20" s="370" t="s">
        <v>179</v>
      </c>
      <c r="C20" s="370"/>
      <c r="D20" s="378">
        <f>D16/$B17*$B16</f>
        <v>72.259786433438421</v>
      </c>
      <c r="E20" s="371">
        <f>E16/$B17*$B16</f>
        <v>69.32132207871453</v>
      </c>
      <c r="F20" s="371">
        <f t="shared" ref="F20:H20" si="2">F16/$B17*$B16</f>
        <v>109.94645987999593</v>
      </c>
      <c r="G20" s="371">
        <f t="shared" si="2"/>
        <v>8.5872938065697131</v>
      </c>
      <c r="H20" s="371">
        <f t="shared" si="2"/>
        <v>1.5489270822739754</v>
      </c>
      <c r="I20" s="371">
        <f>I18/$B19*$B18</f>
        <v>1071.414855907781</v>
      </c>
      <c r="J20" s="371">
        <f t="shared" ref="J20:L20" si="3">J18/$B19*$B18</f>
        <v>2083.3838213256486</v>
      </c>
      <c r="K20" s="371">
        <f t="shared" si="3"/>
        <v>251.80040922190204</v>
      </c>
      <c r="L20" s="372">
        <f t="shared" si="3"/>
        <v>410.56774582132567</v>
      </c>
    </row>
    <row r="21" spans="1:12" ht="40.200000000000003" thickBot="1" x14ac:dyDescent="0.3">
      <c r="A21" s="381" t="s">
        <v>586</v>
      </c>
      <c r="B21" s="241"/>
      <c r="C21" s="361"/>
      <c r="D21" s="382" t="s">
        <v>299</v>
      </c>
      <c r="E21" s="383" t="s">
        <v>130</v>
      </c>
      <c r="F21" s="383" t="s">
        <v>416</v>
      </c>
      <c r="G21" s="383" t="s">
        <v>417</v>
      </c>
      <c r="H21" s="383" t="s">
        <v>305</v>
      </c>
      <c r="I21" s="383" t="s">
        <v>118</v>
      </c>
      <c r="J21" s="383" t="s">
        <v>445</v>
      </c>
      <c r="K21" s="383" t="s">
        <v>589</v>
      </c>
      <c r="L21" s="384" t="s">
        <v>590</v>
      </c>
    </row>
    <row r="22" spans="1:12" x14ac:dyDescent="0.25">
      <c r="A22" s="493" t="s">
        <v>587</v>
      </c>
      <c r="B22" s="494">
        <v>0.69</v>
      </c>
      <c r="C22" s="494" t="s">
        <v>216</v>
      </c>
      <c r="D22" s="26"/>
      <c r="E22" s="27">
        <f>33461016+19065504+2399306</f>
        <v>54925826</v>
      </c>
      <c r="F22" s="27">
        <v>443178</v>
      </c>
      <c r="G22" s="27">
        <v>51884</v>
      </c>
      <c r="H22" s="27">
        <v>11478612</v>
      </c>
      <c r="I22" s="27">
        <v>1536663</v>
      </c>
      <c r="J22" s="27"/>
      <c r="K22" s="27"/>
      <c r="L22" s="28"/>
    </row>
    <row r="23" spans="1:12" x14ac:dyDescent="0.25">
      <c r="A23" s="493"/>
      <c r="B23" s="494">
        <v>57197</v>
      </c>
      <c r="C23" s="494" t="s">
        <v>155</v>
      </c>
      <c r="D23" s="26"/>
      <c r="E23" s="27"/>
      <c r="F23" s="27"/>
      <c r="G23" s="27"/>
      <c r="H23" s="27"/>
      <c r="I23" s="27"/>
      <c r="J23" s="27"/>
      <c r="K23" s="27"/>
      <c r="L23" s="28"/>
    </row>
    <row r="24" spans="1:12" x14ac:dyDescent="0.25">
      <c r="A24" s="493" t="s">
        <v>588</v>
      </c>
      <c r="B24" s="494">
        <v>0.31</v>
      </c>
      <c r="C24" s="494" t="s">
        <v>216</v>
      </c>
      <c r="D24" s="81"/>
      <c r="G24" s="27"/>
      <c r="H24" s="27"/>
      <c r="I24" s="27">
        <v>18656844</v>
      </c>
      <c r="J24" s="27">
        <v>37249505</v>
      </c>
      <c r="K24" s="27">
        <v>5534618</v>
      </c>
      <c r="L24" s="28">
        <v>4358199</v>
      </c>
    </row>
    <row r="25" spans="1:12" x14ac:dyDescent="0.25">
      <c r="A25" s="493"/>
      <c r="B25" s="494">
        <v>25363</v>
      </c>
      <c r="C25" s="494" t="s">
        <v>155</v>
      </c>
      <c r="D25" s="81"/>
      <c r="G25" s="27"/>
      <c r="H25" s="27"/>
      <c r="I25" s="27"/>
      <c r="J25" s="27"/>
      <c r="K25" s="27"/>
      <c r="L25" s="28"/>
    </row>
    <row r="26" spans="1:12" x14ac:dyDescent="0.25">
      <c r="A26" s="373" t="s">
        <v>584</v>
      </c>
      <c r="B26" s="374" t="s">
        <v>179</v>
      </c>
      <c r="C26" s="374"/>
      <c r="D26" s="373"/>
      <c r="E26" s="375">
        <f>E22/$B23*$B22</f>
        <v>662.60153399653825</v>
      </c>
      <c r="F26" s="375">
        <f t="shared" ref="F26:H26" si="4">F22/$B23*$B22</f>
        <v>5.3463087224854444</v>
      </c>
      <c r="G26" s="375">
        <f t="shared" si="4"/>
        <v>0.62590625382450127</v>
      </c>
      <c r="H26" s="375">
        <f t="shared" si="4"/>
        <v>138.47303669772887</v>
      </c>
      <c r="I26" s="375">
        <f>I22/$B23*$B22+I24/B25*B24</f>
        <v>246.57145592169505</v>
      </c>
      <c r="J26" s="375">
        <f>J24/$B25*$B24</f>
        <v>455.28315065252531</v>
      </c>
      <c r="K26" s="375">
        <f t="shared" ref="K26:L26" si="5">K24/$B25*$B24</f>
        <v>67.647028348381497</v>
      </c>
      <c r="L26" s="376">
        <f t="shared" si="5"/>
        <v>53.26821314513267</v>
      </c>
    </row>
    <row r="27" spans="1:12" x14ac:dyDescent="0.25">
      <c r="A27" s="81"/>
      <c r="D27" s="81"/>
      <c r="L27" s="103"/>
    </row>
    <row r="28" spans="1:12" x14ac:dyDescent="0.25">
      <c r="A28" s="493" t="s">
        <v>418</v>
      </c>
      <c r="B28" s="495">
        <v>107688.29203895689</v>
      </c>
      <c r="C28" s="494" t="s">
        <v>155</v>
      </c>
      <c r="D28" s="81"/>
      <c r="L28" s="103"/>
    </row>
    <row r="29" spans="1:12" ht="13.8" thickBot="1" x14ac:dyDescent="0.3">
      <c r="A29" s="496" t="s">
        <v>419</v>
      </c>
      <c r="B29" s="497">
        <v>219150.11930326081</v>
      </c>
      <c r="C29" s="498" t="s">
        <v>155</v>
      </c>
      <c r="D29" s="82"/>
      <c r="E29" s="33"/>
      <c r="F29" s="33"/>
      <c r="G29" s="33"/>
      <c r="H29" s="33"/>
      <c r="I29" s="33"/>
      <c r="J29" s="33"/>
      <c r="K29" s="33"/>
      <c r="L29" s="104"/>
    </row>
    <row r="30" spans="1:12" x14ac:dyDescent="0.25">
      <c r="D30" s="81"/>
      <c r="L30" s="103"/>
    </row>
    <row r="31" spans="1:12" ht="13.8" thickBot="1" x14ac:dyDescent="0.3">
      <c r="A31" s="359"/>
      <c r="B31" s="359"/>
      <c r="C31" s="359"/>
      <c r="D31" s="379"/>
      <c r="E31" s="359"/>
      <c r="F31" s="359"/>
      <c r="G31" s="359"/>
      <c r="H31" s="359"/>
      <c r="I31" s="359"/>
      <c r="J31" s="359"/>
      <c r="K31" s="359"/>
      <c r="L31" s="380"/>
    </row>
    <row r="32" spans="1:12" ht="40.200000000000003" thickBot="1" x14ac:dyDescent="0.3">
      <c r="A32" s="362" t="s">
        <v>420</v>
      </c>
      <c r="B32" s="363"/>
      <c r="C32" s="363"/>
      <c r="D32" s="377" t="s">
        <v>299</v>
      </c>
      <c r="E32" s="364" t="s">
        <v>130</v>
      </c>
      <c r="F32" s="364" t="s">
        <v>416</v>
      </c>
      <c r="G32" s="364" t="s">
        <v>417</v>
      </c>
      <c r="H32" s="364" t="s">
        <v>305</v>
      </c>
      <c r="I32" s="364" t="s">
        <v>118</v>
      </c>
      <c r="J32" s="364" t="s">
        <v>445</v>
      </c>
      <c r="K32" s="364" t="s">
        <v>589</v>
      </c>
      <c r="L32" s="365" t="s">
        <v>590</v>
      </c>
    </row>
    <row r="33" spans="1:12" ht="13.8" thickBot="1" x14ac:dyDescent="0.3">
      <c r="A33" s="81"/>
      <c r="D33" s="360" t="s">
        <v>421</v>
      </c>
      <c r="E33" s="241" t="s">
        <v>421</v>
      </c>
      <c r="F33" s="241" t="s">
        <v>421</v>
      </c>
      <c r="G33" s="241" t="s">
        <v>421</v>
      </c>
      <c r="H33" s="241" t="s">
        <v>421</v>
      </c>
      <c r="I33" s="241" t="s">
        <v>421</v>
      </c>
      <c r="J33" s="241" t="s">
        <v>421</v>
      </c>
      <c r="K33" s="241" t="s">
        <v>421</v>
      </c>
      <c r="L33" s="361" t="s">
        <v>421</v>
      </c>
    </row>
    <row r="34" spans="1:12" x14ac:dyDescent="0.25">
      <c r="A34" s="81"/>
      <c r="D34" s="26">
        <f>D20*$B28+D26*$B29</f>
        <v>7781532.9841167722</v>
      </c>
      <c r="E34" s="27">
        <f t="shared" ref="E34:L34" si="6">E20*$B28+E26*$B29</f>
        <v>152674300.00240418</v>
      </c>
      <c r="F34" s="27">
        <f t="shared" si="6"/>
        <v>13011590.674571207</v>
      </c>
      <c r="G34" s="27">
        <f t="shared" si="6"/>
        <v>1061918.4334645015</v>
      </c>
      <c r="H34" s="27">
        <f t="shared" si="6"/>
        <v>30513183.824575067</v>
      </c>
      <c r="I34" s="27">
        <f t="shared" si="6"/>
        <v>169414999.87989223</v>
      </c>
      <c r="J34" s="27">
        <f t="shared" si="6"/>
        <v>324131402.1624198</v>
      </c>
      <c r="K34" s="27">
        <f t="shared" si="6"/>
        <v>41940810.336875916</v>
      </c>
      <c r="L34" s="28">
        <f t="shared" si="6"/>
        <v>55887074.579610489</v>
      </c>
    </row>
    <row r="35" spans="1:12" ht="13.8" thickBot="1" x14ac:dyDescent="0.3">
      <c r="A35" s="366" t="s">
        <v>422</v>
      </c>
      <c r="B35" s="367"/>
      <c r="C35" s="367"/>
      <c r="D35" s="366" t="s">
        <v>84</v>
      </c>
      <c r="E35" s="367" t="s">
        <v>118</v>
      </c>
      <c r="F35" s="367" t="s">
        <v>445</v>
      </c>
      <c r="G35" s="367" t="s">
        <v>85</v>
      </c>
      <c r="H35" s="367"/>
      <c r="I35" s="367"/>
      <c r="J35" s="367"/>
      <c r="K35" s="367"/>
      <c r="L35" s="368"/>
    </row>
    <row r="36" spans="1:12" ht="13.8" thickBot="1" x14ac:dyDescent="0.3">
      <c r="A36" s="81"/>
      <c r="D36" s="360" t="s">
        <v>38</v>
      </c>
      <c r="E36" s="241" t="s">
        <v>38</v>
      </c>
      <c r="F36" s="241" t="s">
        <v>38</v>
      </c>
      <c r="G36" s="361" t="s">
        <v>38</v>
      </c>
      <c r="L36" s="103"/>
    </row>
    <row r="37" spans="1:12" ht="13.8" thickBot="1" x14ac:dyDescent="0.3">
      <c r="A37" s="82"/>
      <c r="B37" s="33"/>
      <c r="C37" s="33"/>
      <c r="D37" s="29">
        <f>(D34+E34+F34)/1000</f>
        <v>173467.42366109215</v>
      </c>
      <c r="E37" s="30">
        <f>I34/1000</f>
        <v>169414.99987989222</v>
      </c>
      <c r="F37" s="30">
        <f>J34/1000</f>
        <v>324131.40216241981</v>
      </c>
      <c r="G37" s="30">
        <f>(G34+H34+K34+L34)/1000</f>
        <v>129402.98717452597</v>
      </c>
      <c r="H37" s="33"/>
      <c r="I37" s="33"/>
      <c r="J37" s="33"/>
      <c r="K37" s="33"/>
      <c r="L37" s="104"/>
    </row>
  </sheetData>
  <mergeCells count="9">
    <mergeCell ref="X1:AC1"/>
    <mergeCell ref="AD1:BD1"/>
    <mergeCell ref="A3:A11"/>
    <mergeCell ref="C3:C11"/>
    <mergeCell ref="D3:D11"/>
    <mergeCell ref="E3:E11"/>
    <mergeCell ref="F1:M1"/>
    <mergeCell ref="N1:T1"/>
    <mergeCell ref="U1:W1"/>
  </mergeCells>
  <pageMargins left="0.7" right="0.7" top="0.75" bottom="0.75" header="0.3" footer="0.3"/>
  <pageSetup paperSize="9" orientation="portrait" horizontalDpi="4294967293" verticalDpi="0" r:id="rId1"/>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7F0E2F-BE5B-497E-8375-3F8218618A9E}">
  <sheetPr>
    <tabColor theme="5" tint="0.39997558519241921"/>
  </sheetPr>
  <dimension ref="A1:BG21"/>
  <sheetViews>
    <sheetView workbookViewId="0">
      <selection activeCell="M3" sqref="M3"/>
    </sheetView>
  </sheetViews>
  <sheetFormatPr defaultColWidth="8.88671875" defaultRowHeight="12" x14ac:dyDescent="0.25"/>
  <cols>
    <col min="1" max="1" width="25.33203125" style="14" customWidth="1"/>
    <col min="2" max="2" width="23" style="14" customWidth="1"/>
    <col min="3" max="16384" width="8.88671875" style="14"/>
  </cols>
  <sheetData>
    <row r="1" spans="1:59" s="385" customFormat="1" ht="14.7" customHeight="1" thickBot="1" x14ac:dyDescent="0.3">
      <c r="A1" s="243"/>
      <c r="B1" s="244"/>
      <c r="C1" s="245"/>
      <c r="D1" s="246"/>
      <c r="E1" s="247"/>
      <c r="F1" s="635" t="s">
        <v>557</v>
      </c>
      <c r="G1" s="636"/>
      <c r="H1" s="636"/>
      <c r="I1" s="636"/>
      <c r="J1" s="636"/>
      <c r="K1" s="636"/>
      <c r="L1" s="636"/>
      <c r="M1" s="637"/>
      <c r="N1" s="635" t="s">
        <v>457</v>
      </c>
      <c r="O1" s="636"/>
      <c r="P1" s="636"/>
      <c r="Q1" s="636"/>
      <c r="R1" s="636"/>
      <c r="S1" s="636"/>
      <c r="T1" s="637"/>
      <c r="U1" s="635" t="s">
        <v>458</v>
      </c>
      <c r="V1" s="636"/>
      <c r="W1" s="637"/>
      <c r="X1" s="635" t="s">
        <v>452</v>
      </c>
      <c r="Y1" s="636"/>
      <c r="Z1" s="636"/>
      <c r="AA1" s="636"/>
      <c r="AB1" s="636"/>
      <c r="AC1" s="637"/>
      <c r="AD1" s="635" t="s">
        <v>4</v>
      </c>
      <c r="AE1" s="636"/>
      <c r="AF1" s="636"/>
      <c r="AG1" s="636"/>
      <c r="AH1" s="636"/>
      <c r="AI1" s="636"/>
      <c r="AJ1" s="636"/>
      <c r="AK1" s="636"/>
      <c r="AL1" s="636"/>
      <c r="AM1" s="636"/>
      <c r="AN1" s="636"/>
      <c r="AO1" s="636"/>
      <c r="AP1" s="636"/>
      <c r="AQ1" s="636"/>
      <c r="AR1" s="636"/>
      <c r="AS1" s="636"/>
      <c r="AT1" s="636"/>
      <c r="AU1" s="636"/>
      <c r="AV1" s="636"/>
      <c r="AW1" s="636"/>
      <c r="AX1" s="636"/>
      <c r="AY1" s="636"/>
      <c r="AZ1" s="636"/>
      <c r="BA1" s="636"/>
      <c r="BB1" s="636"/>
      <c r="BC1" s="636"/>
      <c r="BD1" s="637"/>
      <c r="BE1" s="246"/>
      <c r="BF1" s="245"/>
      <c r="BG1" s="245"/>
    </row>
    <row r="2" spans="1:59" s="142" customFormat="1" ht="48.6" thickBot="1" x14ac:dyDescent="0.35">
      <c r="A2" s="219" t="s">
        <v>538</v>
      </c>
      <c r="B2" s="220" t="s">
        <v>5</v>
      </c>
      <c r="C2" s="221" t="s">
        <v>101</v>
      </c>
      <c r="D2" s="222" t="s">
        <v>437</v>
      </c>
      <c r="E2" s="223" t="s">
        <v>438</v>
      </c>
      <c r="F2" s="137" t="s">
        <v>82</v>
      </c>
      <c r="G2" s="138" t="s">
        <v>439</v>
      </c>
      <c r="H2" s="138" t="s">
        <v>136</v>
      </c>
      <c r="I2" s="138" t="s">
        <v>440</v>
      </c>
      <c r="J2" s="138" t="s">
        <v>315</v>
      </c>
      <c r="K2" s="138" t="s">
        <v>441</v>
      </c>
      <c r="L2" s="138" t="s">
        <v>684</v>
      </c>
      <c r="M2" s="138" t="s">
        <v>443</v>
      </c>
      <c r="N2" s="137" t="s">
        <v>444</v>
      </c>
      <c r="O2" s="138" t="s">
        <v>81</v>
      </c>
      <c r="P2" s="138" t="s">
        <v>7</v>
      </c>
      <c r="Q2" s="138" t="s">
        <v>127</v>
      </c>
      <c r="R2" s="138" t="s">
        <v>445</v>
      </c>
      <c r="S2" s="138" t="s">
        <v>446</v>
      </c>
      <c r="T2" s="139" t="s">
        <v>447</v>
      </c>
      <c r="U2" s="138" t="s">
        <v>448</v>
      </c>
      <c r="V2" s="138" t="s">
        <v>449</v>
      </c>
      <c r="W2" s="138" t="s">
        <v>450</v>
      </c>
      <c r="X2" s="137" t="s">
        <v>84</v>
      </c>
      <c r="Y2" s="138" t="s">
        <v>451</v>
      </c>
      <c r="Z2" s="138" t="s">
        <v>452</v>
      </c>
      <c r="AA2" s="138" t="s">
        <v>83</v>
      </c>
      <c r="AB2" s="138" t="s">
        <v>453</v>
      </c>
      <c r="AC2" s="139" t="s">
        <v>454</v>
      </c>
      <c r="AD2" s="137" t="s">
        <v>9</v>
      </c>
      <c r="AE2" s="138" t="s">
        <v>10</v>
      </c>
      <c r="AF2" s="138" t="s">
        <v>11</v>
      </c>
      <c r="AG2" s="138" t="s">
        <v>12</v>
      </c>
      <c r="AH2" s="138" t="s">
        <v>13</v>
      </c>
      <c r="AI2" s="138" t="s">
        <v>14</v>
      </c>
      <c r="AJ2" s="138" t="s">
        <v>15</v>
      </c>
      <c r="AK2" s="138" t="s">
        <v>16</v>
      </c>
      <c r="AL2" s="138" t="s">
        <v>17</v>
      </c>
      <c r="AM2" s="140" t="s">
        <v>18</v>
      </c>
      <c r="AN2" s="140" t="s">
        <v>19</v>
      </c>
      <c r="AO2" s="140" t="s">
        <v>20</v>
      </c>
      <c r="AP2" s="140" t="s">
        <v>21</v>
      </c>
      <c r="AQ2" s="140" t="s">
        <v>22</v>
      </c>
      <c r="AR2" s="140" t="s">
        <v>23</v>
      </c>
      <c r="AS2" s="140" t="s">
        <v>24</v>
      </c>
      <c r="AT2" s="140" t="s">
        <v>25</v>
      </c>
      <c r="AU2" s="140" t="s">
        <v>26</v>
      </c>
      <c r="AV2" s="140" t="s">
        <v>27</v>
      </c>
      <c r="AW2" s="140" t="s">
        <v>28</v>
      </c>
      <c r="AX2" s="140" t="s">
        <v>29</v>
      </c>
      <c r="AY2" s="140" t="s">
        <v>30</v>
      </c>
      <c r="AZ2" s="140" t="s">
        <v>31</v>
      </c>
      <c r="BA2" s="140" t="s">
        <v>32</v>
      </c>
      <c r="BB2" s="140" t="s">
        <v>33</v>
      </c>
      <c r="BC2" s="140" t="s">
        <v>34</v>
      </c>
      <c r="BD2" s="140" t="s">
        <v>35</v>
      </c>
      <c r="BE2" s="141" t="s">
        <v>459</v>
      </c>
      <c r="BG2" s="143" t="s">
        <v>79</v>
      </c>
    </row>
    <row r="3" spans="1:59" s="46" customFormat="1" x14ac:dyDescent="0.25">
      <c r="A3" s="660" t="s">
        <v>591</v>
      </c>
      <c r="B3" s="338" t="s">
        <v>491</v>
      </c>
      <c r="C3" s="570" t="s">
        <v>38</v>
      </c>
      <c r="D3" s="570">
        <v>2022</v>
      </c>
      <c r="E3" s="609" t="s">
        <v>431</v>
      </c>
      <c r="F3" s="86"/>
      <c r="M3" s="87">
        <f>E19*1000</f>
        <v>1400</v>
      </c>
      <c r="N3" s="86">
        <f>B19*1000</f>
        <v>450300</v>
      </c>
      <c r="O3" s="47"/>
      <c r="T3" s="87"/>
      <c r="U3" s="45"/>
      <c r="W3" s="78"/>
      <c r="X3" s="86">
        <f>G19*1000</f>
        <v>300700</v>
      </c>
      <c r="AC3" s="78"/>
    </row>
    <row r="4" spans="1:59" x14ac:dyDescent="0.25">
      <c r="A4" s="661"/>
      <c r="B4" s="313" t="s">
        <v>594</v>
      </c>
      <c r="C4" s="571"/>
      <c r="D4" s="571"/>
      <c r="E4" s="610"/>
      <c r="F4" s="88"/>
      <c r="M4" s="16"/>
      <c r="N4" s="88">
        <f t="shared" ref="N4:O4" si="0">B20*1000</f>
        <v>179299.99999999997</v>
      </c>
      <c r="O4" s="48">
        <f t="shared" si="0"/>
        <v>54800</v>
      </c>
      <c r="T4" s="89">
        <f t="shared" ref="T4" si="1">D20*1000</f>
        <v>14200</v>
      </c>
      <c r="U4" s="15"/>
      <c r="W4" s="16"/>
      <c r="X4" s="88">
        <f t="shared" ref="X4" si="2">G20*1000</f>
        <v>42800</v>
      </c>
      <c r="AC4" s="16"/>
    </row>
    <row r="5" spans="1:59" s="50" customFormat="1" ht="12.6" thickBot="1" x14ac:dyDescent="0.3">
      <c r="A5" s="662"/>
      <c r="B5" s="392" t="s">
        <v>603</v>
      </c>
      <c r="C5" s="572"/>
      <c r="D5" s="572"/>
      <c r="E5" s="611"/>
      <c r="F5" s="90">
        <f t="shared" ref="F5" si="3">F21*1000</f>
        <v>10300</v>
      </c>
      <c r="M5" s="80"/>
      <c r="N5" s="90">
        <f t="shared" ref="N5" si="4">B21*1000</f>
        <v>26600</v>
      </c>
      <c r="O5" s="51"/>
      <c r="T5" s="91"/>
      <c r="U5" s="49"/>
      <c r="W5" s="80"/>
      <c r="X5" s="90"/>
      <c r="AC5" s="80"/>
    </row>
    <row r="6" spans="1:59" x14ac:dyDescent="0.25">
      <c r="A6" s="482"/>
      <c r="C6" s="337"/>
      <c r="D6" s="337"/>
      <c r="E6" s="228"/>
    </row>
    <row r="7" spans="1:59" ht="12.6" thickBot="1" x14ac:dyDescent="0.3">
      <c r="A7" s="515" t="s">
        <v>639</v>
      </c>
      <c r="B7" s="387"/>
    </row>
    <row r="8" spans="1:59" ht="14.4" customHeight="1" x14ac:dyDescent="0.25">
      <c r="A8" s="669"/>
      <c r="B8" s="663" t="s">
        <v>595</v>
      </c>
      <c r="C8" s="663" t="s">
        <v>126</v>
      </c>
      <c r="D8" s="663" t="s">
        <v>81</v>
      </c>
      <c r="E8" s="663" t="s">
        <v>596</v>
      </c>
      <c r="F8" s="663" t="s">
        <v>299</v>
      </c>
      <c r="G8" s="388" t="s">
        <v>423</v>
      </c>
      <c r="H8" s="663" t="s">
        <v>118</v>
      </c>
      <c r="I8" s="665" t="s">
        <v>82</v>
      </c>
      <c r="J8" s="665" t="s">
        <v>424</v>
      </c>
      <c r="K8" s="665" t="s">
        <v>597</v>
      </c>
      <c r="L8" s="667" t="s">
        <v>79</v>
      </c>
    </row>
    <row r="9" spans="1:59" ht="12.6" thickBot="1" x14ac:dyDescent="0.3">
      <c r="A9" s="670"/>
      <c r="B9" s="664"/>
      <c r="C9" s="664"/>
      <c r="D9" s="664"/>
      <c r="E9" s="664"/>
      <c r="F9" s="664"/>
      <c r="G9" s="389" t="s">
        <v>130</v>
      </c>
      <c r="H9" s="664"/>
      <c r="I9" s="666"/>
      <c r="J9" s="666"/>
      <c r="K9" s="666"/>
      <c r="L9" s="668"/>
    </row>
    <row r="10" spans="1:59" ht="12.6" thickBot="1" x14ac:dyDescent="0.3">
      <c r="A10" s="516"/>
      <c r="B10" s="403" t="s">
        <v>91</v>
      </c>
      <c r="C10" s="390" t="s">
        <v>91</v>
      </c>
      <c r="D10" s="390" t="s">
        <v>91</v>
      </c>
      <c r="E10" s="390" t="s">
        <v>91</v>
      </c>
      <c r="F10" s="390" t="s">
        <v>91</v>
      </c>
      <c r="G10" s="390" t="s">
        <v>91</v>
      </c>
      <c r="H10" s="390" t="s">
        <v>91</v>
      </c>
      <c r="I10" s="390" t="s">
        <v>91</v>
      </c>
      <c r="J10" s="390" t="s">
        <v>91</v>
      </c>
      <c r="K10" s="390" t="s">
        <v>91</v>
      </c>
      <c r="L10" s="391" t="s">
        <v>91</v>
      </c>
    </row>
    <row r="11" spans="1:59" x14ac:dyDescent="0.25">
      <c r="A11" s="517" t="s">
        <v>593</v>
      </c>
      <c r="B11" s="404">
        <v>0</v>
      </c>
      <c r="C11" s="393">
        <v>0</v>
      </c>
      <c r="D11" s="393">
        <v>0</v>
      </c>
      <c r="E11" s="393">
        <v>73.8</v>
      </c>
      <c r="F11" s="393">
        <v>23.7</v>
      </c>
      <c r="G11" s="393">
        <v>277</v>
      </c>
      <c r="H11" s="393">
        <v>376.5</v>
      </c>
      <c r="I11" s="394">
        <v>0</v>
      </c>
      <c r="J11" s="394">
        <v>0</v>
      </c>
      <c r="K11" s="394">
        <v>1.4</v>
      </c>
      <c r="L11" s="395">
        <v>752.5</v>
      </c>
    </row>
    <row r="12" spans="1:59" x14ac:dyDescent="0.25">
      <c r="A12" s="517" t="s">
        <v>594</v>
      </c>
      <c r="B12" s="405">
        <v>12.6</v>
      </c>
      <c r="C12" s="396">
        <v>1.6</v>
      </c>
      <c r="D12" s="396">
        <v>54.8</v>
      </c>
      <c r="E12" s="396">
        <v>1.2</v>
      </c>
      <c r="F12" s="396">
        <v>0</v>
      </c>
      <c r="G12" s="396">
        <v>42.8</v>
      </c>
      <c r="H12" s="396">
        <v>178.1</v>
      </c>
      <c r="I12" s="397">
        <v>0</v>
      </c>
      <c r="J12" s="397">
        <v>0</v>
      </c>
      <c r="K12" s="397">
        <v>0</v>
      </c>
      <c r="L12" s="398">
        <v>291.3</v>
      </c>
    </row>
    <row r="13" spans="1:59" x14ac:dyDescent="0.25">
      <c r="A13" s="517" t="s">
        <v>603</v>
      </c>
      <c r="B13" s="405">
        <v>0</v>
      </c>
      <c r="C13" s="396">
        <v>0</v>
      </c>
      <c r="D13" s="396">
        <v>0</v>
      </c>
      <c r="E13" s="396">
        <v>0</v>
      </c>
      <c r="F13" s="396">
        <v>0</v>
      </c>
      <c r="G13" s="396">
        <v>0</v>
      </c>
      <c r="H13" s="396">
        <v>26.6</v>
      </c>
      <c r="I13" s="397">
        <v>7.2</v>
      </c>
      <c r="J13" s="397">
        <v>3.1</v>
      </c>
      <c r="K13" s="397">
        <v>0</v>
      </c>
      <c r="L13" s="398">
        <v>36.9</v>
      </c>
    </row>
    <row r="14" spans="1:59" ht="12.6" thickBot="1" x14ac:dyDescent="0.3">
      <c r="A14" s="483"/>
      <c r="B14" s="319"/>
      <c r="C14" s="319"/>
      <c r="D14" s="319"/>
      <c r="E14" s="319"/>
      <c r="F14" s="319"/>
      <c r="G14" s="319"/>
      <c r="H14" s="319"/>
      <c r="I14" s="201"/>
      <c r="J14" s="201"/>
      <c r="K14" s="201"/>
      <c r="L14" s="399"/>
    </row>
    <row r="15" spans="1:59" ht="12.6" thickBot="1" x14ac:dyDescent="0.3">
      <c r="A15" s="518" t="s">
        <v>79</v>
      </c>
      <c r="B15" s="400">
        <v>12.6</v>
      </c>
      <c r="C15" s="400">
        <v>1.6</v>
      </c>
      <c r="D15" s="400">
        <v>54.8</v>
      </c>
      <c r="E15" s="400">
        <v>75</v>
      </c>
      <c r="F15" s="400">
        <v>23.7</v>
      </c>
      <c r="G15" s="400">
        <v>319.8</v>
      </c>
      <c r="H15" s="400">
        <v>581.20000000000005</v>
      </c>
      <c r="I15" s="401">
        <v>7.2</v>
      </c>
      <c r="J15" s="401">
        <v>3.1</v>
      </c>
      <c r="K15" s="401">
        <v>1.4</v>
      </c>
      <c r="L15" s="402">
        <v>1080.7</v>
      </c>
    </row>
    <row r="18" spans="1:7" s="386" customFormat="1" ht="64.95" customHeight="1" thickBot="1" x14ac:dyDescent="0.35">
      <c r="A18" s="520" t="s">
        <v>599</v>
      </c>
      <c r="B18" s="458" t="s">
        <v>549</v>
      </c>
      <c r="C18" s="458" t="s">
        <v>81</v>
      </c>
      <c r="D18" s="458" t="s">
        <v>545</v>
      </c>
      <c r="E18" s="458" t="s">
        <v>443</v>
      </c>
      <c r="F18" s="458" t="s">
        <v>598</v>
      </c>
      <c r="G18" s="459" t="s">
        <v>84</v>
      </c>
    </row>
    <row r="19" spans="1:7" x14ac:dyDescent="0.25">
      <c r="A19" s="521" t="s">
        <v>592</v>
      </c>
      <c r="B19" s="48">
        <f>E11+H11</f>
        <v>450.3</v>
      </c>
      <c r="C19" s="48">
        <f>D11</f>
        <v>0</v>
      </c>
      <c r="D19" s="48">
        <f>B11+C11</f>
        <v>0</v>
      </c>
      <c r="E19" s="48">
        <f>K11</f>
        <v>1.4</v>
      </c>
      <c r="F19" s="48">
        <f xml:space="preserve"> I11+J11</f>
        <v>0</v>
      </c>
      <c r="G19" s="48">
        <f>F11+G11</f>
        <v>300.7</v>
      </c>
    </row>
    <row r="20" spans="1:7" x14ac:dyDescent="0.25">
      <c r="A20" s="519" t="s">
        <v>492</v>
      </c>
      <c r="B20" s="48">
        <f t="shared" ref="B20:B21" si="5">E12+H12</f>
        <v>179.29999999999998</v>
      </c>
      <c r="C20" s="48">
        <f t="shared" ref="C20:C21" si="6">D12</f>
        <v>54.8</v>
      </c>
      <c r="D20" s="48">
        <f t="shared" ref="D20:D21" si="7">B12+C12</f>
        <v>14.2</v>
      </c>
      <c r="E20" s="48">
        <f t="shared" ref="E20:E21" si="8">K12</f>
        <v>0</v>
      </c>
      <c r="F20" s="48">
        <f t="shared" ref="F20:F21" si="9" xml:space="preserve"> I12+J12</f>
        <v>0</v>
      </c>
      <c r="G20" s="48">
        <f t="shared" ref="G20:G21" si="10">F12+G12</f>
        <v>42.8</v>
      </c>
    </row>
    <row r="21" spans="1:7" ht="12.6" thickBot="1" x14ac:dyDescent="0.3">
      <c r="A21" s="522" t="s">
        <v>603</v>
      </c>
      <c r="B21" s="51">
        <f t="shared" si="5"/>
        <v>26.6</v>
      </c>
      <c r="C21" s="51">
        <f t="shared" si="6"/>
        <v>0</v>
      </c>
      <c r="D21" s="51">
        <f t="shared" si="7"/>
        <v>0</v>
      </c>
      <c r="E21" s="51">
        <f t="shared" si="8"/>
        <v>0</v>
      </c>
      <c r="F21" s="51">
        <f t="shared" si="9"/>
        <v>10.3</v>
      </c>
      <c r="G21" s="51">
        <f t="shared" si="10"/>
        <v>0</v>
      </c>
    </row>
  </sheetData>
  <mergeCells count="20">
    <mergeCell ref="A8:A9"/>
    <mergeCell ref="B8:B9"/>
    <mergeCell ref="C8:C9"/>
    <mergeCell ref="D8:D9"/>
    <mergeCell ref="E8:E9"/>
    <mergeCell ref="N1:T1"/>
    <mergeCell ref="U1:W1"/>
    <mergeCell ref="X1:AC1"/>
    <mergeCell ref="AD1:BD1"/>
    <mergeCell ref="F8:F9"/>
    <mergeCell ref="H8:H9"/>
    <mergeCell ref="I8:I9"/>
    <mergeCell ref="K8:K9"/>
    <mergeCell ref="L8:L9"/>
    <mergeCell ref="J8:J9"/>
    <mergeCell ref="A3:A5"/>
    <mergeCell ref="C3:C5"/>
    <mergeCell ref="D3:D5"/>
    <mergeCell ref="E3:E5"/>
    <mergeCell ref="F1:M1"/>
  </mergeCells>
  <pageMargins left="0.7" right="0.7" top="0.75" bottom="0.75" header="0.3" footer="0.3"/>
  <pageSetup paperSize="9" orientation="portrait" horizontalDpi="4294967293"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7DBC09-D0F2-4B6B-BE1B-5350DC5EA2F3}">
  <sheetPr>
    <tabColor theme="5" tint="0.39997558519241921"/>
  </sheetPr>
  <dimension ref="A1:BG14"/>
  <sheetViews>
    <sheetView zoomScaleNormal="100" workbookViewId="0">
      <selection activeCell="B8" sqref="B8"/>
    </sheetView>
  </sheetViews>
  <sheetFormatPr defaultRowHeight="14.4" x14ac:dyDescent="0.3"/>
  <cols>
    <col min="1" max="1" width="23.44140625" customWidth="1"/>
    <col min="2" max="2" width="27" customWidth="1"/>
    <col min="4" max="4" width="8.88671875" bestFit="1" customWidth="1"/>
    <col min="5" max="5" width="16.109375" customWidth="1"/>
    <col min="6" max="9" width="10.109375" bestFit="1" customWidth="1"/>
    <col min="11" max="14" width="10.109375" bestFit="1" customWidth="1"/>
    <col min="16" max="18" width="10.109375" bestFit="1" customWidth="1"/>
    <col min="21" max="21" width="10.109375" bestFit="1" customWidth="1"/>
    <col min="23" max="23" width="10.109375" bestFit="1" customWidth="1"/>
  </cols>
  <sheetData>
    <row r="1" spans="1:59" s="12" customFormat="1" ht="14.7" customHeight="1" thickBot="1" x14ac:dyDescent="0.35">
      <c r="A1" s="243"/>
      <c r="B1" s="244"/>
      <c r="C1" s="245"/>
      <c r="D1" s="246"/>
      <c r="E1" s="247"/>
      <c r="F1" s="635" t="s">
        <v>557</v>
      </c>
      <c r="G1" s="636"/>
      <c r="H1" s="636"/>
      <c r="I1" s="636"/>
      <c r="J1" s="636"/>
      <c r="K1" s="636"/>
      <c r="L1" s="636"/>
      <c r="M1" s="637"/>
      <c r="N1" s="635" t="s">
        <v>457</v>
      </c>
      <c r="O1" s="636"/>
      <c r="P1" s="636"/>
      <c r="Q1" s="636"/>
      <c r="R1" s="636"/>
      <c r="S1" s="636"/>
      <c r="T1" s="637"/>
      <c r="U1" s="635" t="s">
        <v>458</v>
      </c>
      <c r="V1" s="636"/>
      <c r="W1" s="637"/>
      <c r="X1" s="635" t="s">
        <v>452</v>
      </c>
      <c r="Y1" s="636"/>
      <c r="Z1" s="636"/>
      <c r="AA1" s="636"/>
      <c r="AB1" s="636"/>
      <c r="AC1" s="637"/>
      <c r="AD1" s="635" t="s">
        <v>4</v>
      </c>
      <c r="AE1" s="636"/>
      <c r="AF1" s="636"/>
      <c r="AG1" s="636"/>
      <c r="AH1" s="636"/>
      <c r="AI1" s="636"/>
      <c r="AJ1" s="636"/>
      <c r="AK1" s="636"/>
      <c r="AL1" s="636"/>
      <c r="AM1" s="636"/>
      <c r="AN1" s="636"/>
      <c r="AO1" s="636"/>
      <c r="AP1" s="636"/>
      <c r="AQ1" s="636"/>
      <c r="AR1" s="636"/>
      <c r="AS1" s="636"/>
      <c r="AT1" s="636"/>
      <c r="AU1" s="636"/>
      <c r="AV1" s="636"/>
      <c r="AW1" s="636"/>
      <c r="AX1" s="636"/>
      <c r="AY1" s="636"/>
      <c r="AZ1" s="636"/>
      <c r="BA1" s="636"/>
      <c r="BB1" s="636"/>
      <c r="BC1" s="636"/>
      <c r="BD1" s="637"/>
      <c r="BE1" s="246"/>
      <c r="BF1" s="245"/>
      <c r="BG1" s="245"/>
    </row>
    <row r="2" spans="1:59" s="131" customFormat="1" ht="48.6" thickBot="1" x14ac:dyDescent="0.35">
      <c r="A2" s="219" t="s">
        <v>538</v>
      </c>
      <c r="B2" s="220" t="s">
        <v>5</v>
      </c>
      <c r="C2" s="221" t="s">
        <v>101</v>
      </c>
      <c r="D2" s="222" t="s">
        <v>437</v>
      </c>
      <c r="E2" s="223" t="s">
        <v>438</v>
      </c>
      <c r="F2" s="137" t="s">
        <v>82</v>
      </c>
      <c r="G2" s="138" t="s">
        <v>439</v>
      </c>
      <c r="H2" s="138" t="s">
        <v>136</v>
      </c>
      <c r="I2" s="138" t="s">
        <v>440</v>
      </c>
      <c r="J2" s="138" t="s">
        <v>315</v>
      </c>
      <c r="K2" s="138" t="s">
        <v>441</v>
      </c>
      <c r="L2" s="138" t="s">
        <v>684</v>
      </c>
      <c r="M2" s="138" t="s">
        <v>443</v>
      </c>
      <c r="N2" s="137" t="s">
        <v>444</v>
      </c>
      <c r="O2" s="138" t="s">
        <v>81</v>
      </c>
      <c r="P2" s="138" t="s">
        <v>7</v>
      </c>
      <c r="Q2" s="138" t="s">
        <v>127</v>
      </c>
      <c r="R2" s="138" t="s">
        <v>445</v>
      </c>
      <c r="S2" s="138" t="s">
        <v>446</v>
      </c>
      <c r="T2" s="139" t="s">
        <v>447</v>
      </c>
      <c r="U2" s="138" t="s">
        <v>448</v>
      </c>
      <c r="V2" s="138" t="s">
        <v>449</v>
      </c>
      <c r="W2" s="138" t="s">
        <v>450</v>
      </c>
      <c r="X2" s="137" t="s">
        <v>84</v>
      </c>
      <c r="Y2" s="138" t="s">
        <v>451</v>
      </c>
      <c r="Z2" s="138" t="s">
        <v>452</v>
      </c>
      <c r="AA2" s="138" t="s">
        <v>83</v>
      </c>
      <c r="AB2" s="138" t="s">
        <v>453</v>
      </c>
      <c r="AC2" s="139" t="s">
        <v>454</v>
      </c>
      <c r="AD2" s="137" t="s">
        <v>9</v>
      </c>
      <c r="AE2" s="138" t="s">
        <v>10</v>
      </c>
      <c r="AF2" s="138" t="s">
        <v>11</v>
      </c>
      <c r="AG2" s="138" t="s">
        <v>12</v>
      </c>
      <c r="AH2" s="138" t="s">
        <v>13</v>
      </c>
      <c r="AI2" s="138" t="s">
        <v>14</v>
      </c>
      <c r="AJ2" s="138" t="s">
        <v>15</v>
      </c>
      <c r="AK2" s="138" t="s">
        <v>16</v>
      </c>
      <c r="AL2" s="138" t="s">
        <v>17</v>
      </c>
      <c r="AM2" s="140" t="s">
        <v>18</v>
      </c>
      <c r="AN2" s="140" t="s">
        <v>19</v>
      </c>
      <c r="AO2" s="140" t="s">
        <v>20</v>
      </c>
      <c r="AP2" s="140" t="s">
        <v>21</v>
      </c>
      <c r="AQ2" s="140" t="s">
        <v>22</v>
      </c>
      <c r="AR2" s="140" t="s">
        <v>23</v>
      </c>
      <c r="AS2" s="140" t="s">
        <v>24</v>
      </c>
      <c r="AT2" s="140" t="s">
        <v>25</v>
      </c>
      <c r="AU2" s="140" t="s">
        <v>26</v>
      </c>
      <c r="AV2" s="140" t="s">
        <v>27</v>
      </c>
      <c r="AW2" s="140" t="s">
        <v>28</v>
      </c>
      <c r="AX2" s="140" t="s">
        <v>29</v>
      </c>
      <c r="AY2" s="140" t="s">
        <v>30</v>
      </c>
      <c r="AZ2" s="140" t="s">
        <v>31</v>
      </c>
      <c r="BA2" s="140" t="s">
        <v>32</v>
      </c>
      <c r="BB2" s="140" t="s">
        <v>33</v>
      </c>
      <c r="BC2" s="140" t="s">
        <v>34</v>
      </c>
      <c r="BD2" s="140" t="s">
        <v>35</v>
      </c>
      <c r="BE2" s="141" t="s">
        <v>459</v>
      </c>
      <c r="BF2" s="142"/>
      <c r="BG2" s="143" t="s">
        <v>79</v>
      </c>
    </row>
    <row r="3" spans="1:59" s="46" customFormat="1" ht="12" x14ac:dyDescent="0.25">
      <c r="A3" s="671" t="s">
        <v>633</v>
      </c>
      <c r="B3" s="338" t="s">
        <v>600</v>
      </c>
      <c r="C3" s="570" t="s">
        <v>38</v>
      </c>
      <c r="D3" s="570">
        <v>2020</v>
      </c>
      <c r="E3" s="570" t="s">
        <v>43</v>
      </c>
      <c r="F3" s="47">
        <v>4884225</v>
      </c>
      <c r="G3" s="47"/>
      <c r="H3" s="47"/>
      <c r="I3" s="47"/>
      <c r="J3" s="47"/>
      <c r="K3" s="47"/>
      <c r="L3" s="47"/>
      <c r="M3" s="47"/>
      <c r="N3" s="86">
        <v>22706</v>
      </c>
      <c r="O3" s="47"/>
      <c r="P3" s="47"/>
      <c r="Q3" s="47"/>
      <c r="R3" s="47"/>
      <c r="S3" s="47"/>
      <c r="T3" s="87"/>
      <c r="U3" s="47"/>
      <c r="X3" s="86">
        <v>465</v>
      </c>
      <c r="AC3" s="78"/>
      <c r="BE3" s="338"/>
      <c r="BG3" s="147">
        <f>SUM(F3:BD3)</f>
        <v>4907396</v>
      </c>
    </row>
    <row r="4" spans="1:59" s="14" customFormat="1" ht="14.4" customHeight="1" x14ac:dyDescent="0.25">
      <c r="A4" s="672"/>
      <c r="B4" s="313" t="s">
        <v>601</v>
      </c>
      <c r="C4" s="571"/>
      <c r="D4" s="571"/>
      <c r="E4" s="571"/>
      <c r="F4" s="48">
        <v>537597</v>
      </c>
      <c r="G4" s="48"/>
      <c r="H4" s="48"/>
      <c r="I4" s="48"/>
      <c r="J4" s="48"/>
      <c r="K4" s="48"/>
      <c r="L4" s="48"/>
      <c r="M4" s="48">
        <v>276610</v>
      </c>
      <c r="N4" s="88">
        <v>308604</v>
      </c>
      <c r="O4" s="48"/>
      <c r="P4" s="48"/>
      <c r="Q4" s="48"/>
      <c r="R4" s="48"/>
      <c r="S4" s="48"/>
      <c r="T4" s="89"/>
      <c r="U4" s="48"/>
      <c r="X4" s="88">
        <v>177381</v>
      </c>
      <c r="AC4" s="16"/>
      <c r="BE4" s="313"/>
      <c r="BG4" s="150">
        <f t="shared" ref="BG4:BG9" si="0">SUM(F4:BD4)</f>
        <v>1300192</v>
      </c>
    </row>
    <row r="5" spans="1:59" s="52" customFormat="1" ht="14.4" customHeight="1" x14ac:dyDescent="0.25">
      <c r="A5" s="672"/>
      <c r="B5" s="406" t="s">
        <v>555</v>
      </c>
      <c r="C5" s="571"/>
      <c r="D5" s="571"/>
      <c r="E5" s="571"/>
      <c r="F5" s="53">
        <v>10918635</v>
      </c>
      <c r="G5" s="53"/>
      <c r="H5" s="53"/>
      <c r="I5" s="53"/>
      <c r="J5" s="53"/>
      <c r="K5" s="53"/>
      <c r="L5" s="48"/>
      <c r="M5" s="53">
        <f>75845</f>
        <v>75845</v>
      </c>
      <c r="N5" s="176">
        <f>29560+84320</f>
        <v>113880</v>
      </c>
      <c r="O5" s="53"/>
      <c r="P5" s="53"/>
      <c r="Q5" s="53"/>
      <c r="R5" s="53"/>
      <c r="S5" s="53"/>
      <c r="T5" s="177"/>
      <c r="U5" s="53"/>
      <c r="X5" s="176">
        <v>5656429</v>
      </c>
      <c r="AC5" s="407"/>
      <c r="BE5" s="406"/>
      <c r="BG5" s="150">
        <f t="shared" si="0"/>
        <v>16764789</v>
      </c>
    </row>
    <row r="6" spans="1:59" s="14" customFormat="1" ht="14.4" customHeight="1" x14ac:dyDescent="0.25">
      <c r="A6" s="672"/>
      <c r="B6" s="313" t="s">
        <v>575</v>
      </c>
      <c r="C6" s="571"/>
      <c r="D6" s="571"/>
      <c r="E6" s="571"/>
      <c r="F6" s="48">
        <v>4200000</v>
      </c>
      <c r="G6" s="48"/>
      <c r="H6" s="48"/>
      <c r="I6" s="48"/>
      <c r="J6" s="48"/>
      <c r="K6" s="48"/>
      <c r="L6" s="48"/>
      <c r="M6" s="48"/>
      <c r="N6" s="88">
        <v>750000</v>
      </c>
      <c r="O6" s="48"/>
      <c r="P6" s="48"/>
      <c r="Q6" s="48"/>
      <c r="R6" s="48"/>
      <c r="S6" s="48"/>
      <c r="T6" s="89"/>
      <c r="U6" s="48"/>
      <c r="X6" s="88">
        <v>50000</v>
      </c>
      <c r="AC6" s="16"/>
      <c r="BE6" s="313"/>
      <c r="BG6" s="150">
        <f t="shared" si="0"/>
        <v>5000000</v>
      </c>
    </row>
    <row r="7" spans="1:59" s="14" customFormat="1" ht="14.4" customHeight="1" x14ac:dyDescent="0.25">
      <c r="A7" s="672"/>
      <c r="B7" s="313" t="s">
        <v>686</v>
      </c>
      <c r="C7" s="571"/>
      <c r="D7" s="571"/>
      <c r="E7" s="571"/>
      <c r="F7" s="48">
        <f>1050000</f>
        <v>1050000</v>
      </c>
      <c r="G7" s="48"/>
      <c r="H7" s="48"/>
      <c r="I7" s="48"/>
      <c r="J7" s="48"/>
      <c r="K7" s="48"/>
      <c r="L7" s="48"/>
      <c r="M7" s="48"/>
      <c r="N7" s="88">
        <f>245000</f>
        <v>245000</v>
      </c>
      <c r="O7" s="48"/>
      <c r="P7" s="48"/>
      <c r="Q7" s="48"/>
      <c r="R7" s="48"/>
      <c r="S7" s="48"/>
      <c r="T7" s="89"/>
      <c r="U7" s="48"/>
      <c r="X7" s="88"/>
      <c r="AC7" s="16"/>
      <c r="BE7" s="313"/>
      <c r="BG7" s="150">
        <f t="shared" si="0"/>
        <v>1295000</v>
      </c>
    </row>
    <row r="8" spans="1:59" s="14" customFormat="1" ht="14.4" customHeight="1" x14ac:dyDescent="0.25">
      <c r="A8" s="672"/>
      <c r="B8" s="313" t="s">
        <v>602</v>
      </c>
      <c r="C8" s="571"/>
      <c r="D8" s="571"/>
      <c r="E8" s="571"/>
      <c r="F8" s="48">
        <v>1200000</v>
      </c>
      <c r="G8" s="48"/>
      <c r="H8" s="48"/>
      <c r="I8" s="48"/>
      <c r="J8" s="48"/>
      <c r="K8" s="48"/>
      <c r="L8" s="48"/>
      <c r="M8" s="48"/>
      <c r="N8" s="88">
        <v>130000</v>
      </c>
      <c r="O8" s="48"/>
      <c r="P8" s="48"/>
      <c r="Q8" s="48"/>
      <c r="R8" s="48"/>
      <c r="S8" s="48"/>
      <c r="T8" s="89"/>
      <c r="U8" s="48"/>
      <c r="X8" s="88"/>
      <c r="AC8" s="16"/>
      <c r="BE8" s="313"/>
      <c r="BG8" s="150">
        <f t="shared" si="0"/>
        <v>1330000</v>
      </c>
    </row>
    <row r="9" spans="1:59" s="50" customFormat="1" ht="14.7" customHeight="1" thickBot="1" x14ac:dyDescent="0.3">
      <c r="A9" s="673"/>
      <c r="B9" s="339" t="s">
        <v>685</v>
      </c>
      <c r="C9" s="572"/>
      <c r="D9" s="572"/>
      <c r="E9" s="572"/>
      <c r="F9" s="51">
        <v>479000</v>
      </c>
      <c r="G9" s="51"/>
      <c r="H9" s="51"/>
      <c r="I9" s="51"/>
      <c r="J9" s="51"/>
      <c r="K9" s="51"/>
      <c r="L9" s="51"/>
      <c r="M9" s="51"/>
      <c r="N9" s="90">
        <v>240000</v>
      </c>
      <c r="O9" s="51"/>
      <c r="P9" s="51"/>
      <c r="Q9" s="51"/>
      <c r="R9" s="51"/>
      <c r="S9" s="51"/>
      <c r="T9" s="91"/>
      <c r="U9" s="51"/>
      <c r="X9" s="90">
        <v>80000</v>
      </c>
      <c r="AC9" s="80"/>
      <c r="BE9" s="339"/>
      <c r="BG9" s="154">
        <f t="shared" si="0"/>
        <v>799000</v>
      </c>
    </row>
    <row r="11" spans="1:59" x14ac:dyDescent="0.3">
      <c r="F11" s="8">
        <f>F6/13000</f>
        <v>323.07692307692309</v>
      </c>
    </row>
    <row r="13" spans="1:59" x14ac:dyDescent="0.3">
      <c r="E13" s="8"/>
      <c r="F13" s="8">
        <f>F9/67</f>
        <v>7149.253731343284</v>
      </c>
    </row>
    <row r="14" spans="1:59" x14ac:dyDescent="0.3">
      <c r="E14" s="8"/>
    </row>
  </sheetData>
  <mergeCells count="9">
    <mergeCell ref="AD1:BD1"/>
    <mergeCell ref="A3:A9"/>
    <mergeCell ref="C3:C9"/>
    <mergeCell ref="D3:D9"/>
    <mergeCell ref="N1:T1"/>
    <mergeCell ref="U1:W1"/>
    <mergeCell ref="X1:AC1"/>
    <mergeCell ref="F1:M1"/>
    <mergeCell ref="E3:E9"/>
  </mergeCells>
  <pageMargins left="0.7" right="0.7" top="0.75" bottom="0.75" header="0.3" footer="0.3"/>
  <pageSetup paperSize="9" orientation="portrait" horizontalDpi="4294967293" verticalDpi="0"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7DD6FB-CCF1-41DE-A001-B14C062B2097}">
  <sheetPr>
    <tabColor theme="5" tint="0.39997558519241921"/>
  </sheetPr>
  <dimension ref="A1:BJ47"/>
  <sheetViews>
    <sheetView tabSelected="1" topLeftCell="A12" zoomScale="85" zoomScaleNormal="85" workbookViewId="0">
      <selection activeCell="E26" sqref="E26"/>
    </sheetView>
  </sheetViews>
  <sheetFormatPr defaultColWidth="8.88671875" defaultRowHeight="13.2" x14ac:dyDescent="0.25"/>
  <cols>
    <col min="1" max="1" width="32" style="56" customWidth="1"/>
    <col min="2" max="2" width="20.44140625" style="34" customWidth="1"/>
    <col min="3" max="9" width="8.88671875" style="34" bestFit="1" customWidth="1"/>
    <col min="10" max="10" width="11.88671875" style="34" bestFit="1" customWidth="1"/>
    <col min="11" max="11" width="9.5546875" style="34" bestFit="1" customWidth="1"/>
    <col min="12" max="12" width="10.6640625" style="34" bestFit="1" customWidth="1"/>
    <col min="13" max="14" width="8.88671875" style="34" bestFit="1" customWidth="1"/>
    <col min="15" max="15" width="9.5546875" style="34" bestFit="1" customWidth="1"/>
    <col min="16" max="19" width="8.88671875" style="34" bestFit="1" customWidth="1"/>
    <col min="20" max="20" width="9.5546875" style="34" bestFit="1" customWidth="1"/>
    <col min="21" max="31" width="8.88671875" style="34" bestFit="1" customWidth="1"/>
    <col min="32" max="33" width="13.109375" style="34" bestFit="1" customWidth="1"/>
    <col min="34" max="50" width="8.88671875" style="34" bestFit="1" customWidth="1"/>
    <col min="51" max="52" width="9" style="34" bestFit="1" customWidth="1"/>
    <col min="53" max="53" width="8.88671875" style="34"/>
    <col min="54" max="55" width="9" style="34" bestFit="1" customWidth="1"/>
    <col min="56" max="58" width="8.88671875" style="34" bestFit="1" customWidth="1"/>
    <col min="59" max="59" width="8.88671875" style="34"/>
    <col min="60" max="62" width="8.88671875" style="34" bestFit="1" customWidth="1"/>
    <col min="63" max="16384" width="8.88671875" style="34"/>
  </cols>
  <sheetData>
    <row r="1" spans="1:62" s="12" customFormat="1" ht="14.7" customHeight="1" thickBot="1" x14ac:dyDescent="0.35">
      <c r="A1" s="243"/>
      <c r="B1" s="244"/>
      <c r="C1" s="245"/>
      <c r="D1" s="246"/>
      <c r="E1" s="247"/>
      <c r="F1" s="635" t="s">
        <v>557</v>
      </c>
      <c r="G1" s="636"/>
      <c r="H1" s="636"/>
      <c r="I1" s="636"/>
      <c r="J1" s="636"/>
      <c r="K1" s="636"/>
      <c r="L1" s="636"/>
      <c r="M1" s="637"/>
      <c r="N1" s="635" t="s">
        <v>457</v>
      </c>
      <c r="O1" s="636"/>
      <c r="P1" s="636"/>
      <c r="Q1" s="636"/>
      <c r="R1" s="636"/>
      <c r="S1" s="636"/>
      <c r="T1" s="637"/>
      <c r="U1" s="635" t="s">
        <v>458</v>
      </c>
      <c r="V1" s="636"/>
      <c r="W1" s="637"/>
      <c r="X1" s="635" t="s">
        <v>452</v>
      </c>
      <c r="Y1" s="636"/>
      <c r="Z1" s="636"/>
      <c r="AA1" s="636"/>
      <c r="AB1" s="636"/>
      <c r="AC1" s="637"/>
      <c r="AD1" s="635" t="s">
        <v>4</v>
      </c>
      <c r="AE1" s="636"/>
      <c r="AF1" s="636"/>
      <c r="AG1" s="636"/>
      <c r="AH1" s="636"/>
      <c r="AI1" s="636"/>
      <c r="AJ1" s="636"/>
      <c r="AK1" s="636"/>
      <c r="AL1" s="636"/>
      <c r="AM1" s="636"/>
      <c r="AN1" s="636"/>
      <c r="AO1" s="636"/>
      <c r="AP1" s="636"/>
      <c r="AQ1" s="636"/>
      <c r="AR1" s="636"/>
      <c r="AS1" s="636"/>
      <c r="AT1" s="636"/>
      <c r="AU1" s="636"/>
      <c r="AV1" s="636"/>
      <c r="AW1" s="636"/>
      <c r="AX1" s="636"/>
      <c r="AY1" s="636"/>
      <c r="AZ1" s="636"/>
      <c r="BA1" s="636"/>
      <c r="BB1" s="636"/>
      <c r="BC1" s="636"/>
      <c r="BD1" s="637"/>
      <c r="BE1" s="246"/>
      <c r="BF1" s="245"/>
      <c r="BG1" s="245"/>
    </row>
    <row r="2" spans="1:62" s="131" customFormat="1" ht="48.6" thickBot="1" x14ac:dyDescent="0.35">
      <c r="A2" s="219" t="s">
        <v>538</v>
      </c>
      <c r="B2" s="220" t="s">
        <v>5</v>
      </c>
      <c r="C2" s="221" t="s">
        <v>101</v>
      </c>
      <c r="D2" s="222" t="s">
        <v>437</v>
      </c>
      <c r="E2" s="223" t="s">
        <v>438</v>
      </c>
      <c r="F2" s="137" t="s">
        <v>82</v>
      </c>
      <c r="G2" s="138" t="s">
        <v>439</v>
      </c>
      <c r="H2" s="138" t="s">
        <v>136</v>
      </c>
      <c r="I2" s="138" t="s">
        <v>440</v>
      </c>
      <c r="J2" s="138" t="s">
        <v>315</v>
      </c>
      <c r="K2" s="138" t="s">
        <v>441</v>
      </c>
      <c r="L2" s="138" t="s">
        <v>684</v>
      </c>
      <c r="M2" s="138" t="s">
        <v>443</v>
      </c>
      <c r="N2" s="137" t="s">
        <v>444</v>
      </c>
      <c r="O2" s="138" t="s">
        <v>81</v>
      </c>
      <c r="P2" s="138" t="s">
        <v>7</v>
      </c>
      <c r="Q2" s="138" t="s">
        <v>127</v>
      </c>
      <c r="R2" s="138" t="s">
        <v>445</v>
      </c>
      <c r="S2" s="138" t="s">
        <v>446</v>
      </c>
      <c r="T2" s="139" t="s">
        <v>447</v>
      </c>
      <c r="U2" s="138" t="s">
        <v>448</v>
      </c>
      <c r="V2" s="138" t="s">
        <v>449</v>
      </c>
      <c r="W2" s="138" t="s">
        <v>450</v>
      </c>
      <c r="X2" s="137" t="s">
        <v>84</v>
      </c>
      <c r="Y2" s="138" t="s">
        <v>451</v>
      </c>
      <c r="Z2" s="138" t="s">
        <v>452</v>
      </c>
      <c r="AA2" s="138" t="s">
        <v>83</v>
      </c>
      <c r="AB2" s="138" t="s">
        <v>453</v>
      </c>
      <c r="AC2" s="139" t="s">
        <v>454</v>
      </c>
      <c r="AD2" s="137" t="s">
        <v>9</v>
      </c>
      <c r="AE2" s="138" t="s">
        <v>10</v>
      </c>
      <c r="AF2" s="138" t="s">
        <v>11</v>
      </c>
      <c r="AG2" s="138" t="s">
        <v>12</v>
      </c>
      <c r="AH2" s="138" t="s">
        <v>13</v>
      </c>
      <c r="AI2" s="138" t="s">
        <v>14</v>
      </c>
      <c r="AJ2" s="138" t="s">
        <v>15</v>
      </c>
      <c r="AK2" s="138" t="s">
        <v>16</v>
      </c>
      <c r="AL2" s="138" t="s">
        <v>17</v>
      </c>
      <c r="AM2" s="140" t="s">
        <v>18</v>
      </c>
      <c r="AN2" s="140" t="s">
        <v>19</v>
      </c>
      <c r="AO2" s="140" t="s">
        <v>20</v>
      </c>
      <c r="AP2" s="140" t="s">
        <v>21</v>
      </c>
      <c r="AQ2" s="140" t="s">
        <v>22</v>
      </c>
      <c r="AR2" s="140" t="s">
        <v>23</v>
      </c>
      <c r="AS2" s="140" t="s">
        <v>24</v>
      </c>
      <c r="AT2" s="140" t="s">
        <v>25</v>
      </c>
      <c r="AU2" s="140" t="s">
        <v>26</v>
      </c>
      <c r="AV2" s="140" t="s">
        <v>27</v>
      </c>
      <c r="AW2" s="140" t="s">
        <v>28</v>
      </c>
      <c r="AX2" s="140" t="s">
        <v>29</v>
      </c>
      <c r="AY2" s="140" t="s">
        <v>30</v>
      </c>
      <c r="AZ2" s="140" t="s">
        <v>31</v>
      </c>
      <c r="BA2" s="140" t="s">
        <v>32</v>
      </c>
      <c r="BB2" s="140" t="s">
        <v>33</v>
      </c>
      <c r="BC2" s="140" t="s">
        <v>34</v>
      </c>
      <c r="BD2" s="140" t="s">
        <v>35</v>
      </c>
      <c r="BE2" s="141" t="s">
        <v>459</v>
      </c>
      <c r="BF2" s="142"/>
      <c r="BG2" s="143" t="s">
        <v>79</v>
      </c>
      <c r="BH2" s="142"/>
      <c r="BI2" s="142"/>
      <c r="BJ2" s="142"/>
    </row>
    <row r="3" spans="1:62" s="57" customFormat="1" ht="12.45" customHeight="1" x14ac:dyDescent="0.25">
      <c r="A3" s="674" t="s">
        <v>466</v>
      </c>
      <c r="B3" s="338" t="s">
        <v>604</v>
      </c>
      <c r="C3" s="677" t="s">
        <v>38</v>
      </c>
      <c r="D3" s="570">
        <v>2017</v>
      </c>
      <c r="E3" s="609" t="s">
        <v>661</v>
      </c>
      <c r="F3" s="166"/>
      <c r="G3" s="167"/>
      <c r="H3" s="167"/>
      <c r="I3" s="167"/>
      <c r="J3" s="167"/>
      <c r="K3" s="167"/>
      <c r="L3" s="167"/>
      <c r="M3" s="167"/>
      <c r="N3" s="166">
        <f>'2.6.'!J41</f>
        <v>2816.4769917236968</v>
      </c>
      <c r="O3" s="167">
        <f>'2.6.'!K41</f>
        <v>2.1485123595637008</v>
      </c>
      <c r="P3" s="167">
        <f>'2.6.'!L41</f>
        <v>13031.181335885811</v>
      </c>
      <c r="Q3" s="167">
        <f>'2.6.'!BI41</f>
        <v>2.1485123595637008</v>
      </c>
      <c r="R3" s="167"/>
      <c r="S3" s="167">
        <f>'2.6.'!BH41</f>
        <v>958.74440605225755</v>
      </c>
      <c r="T3" s="168"/>
      <c r="U3" s="167"/>
      <c r="V3" s="167">
        <f>'2.6.'!O41</f>
        <v>64.590550600722352</v>
      </c>
      <c r="W3" s="168"/>
      <c r="X3" s="167">
        <f>'2.6.'!Q41</f>
        <v>115.3475344586128</v>
      </c>
      <c r="Y3" s="167"/>
      <c r="Z3" s="167">
        <f>'2.6.'!S41</f>
        <v>1984.3472245765668</v>
      </c>
      <c r="AA3" s="167"/>
      <c r="AB3" s="167"/>
      <c r="AC3" s="168"/>
      <c r="AD3" s="166"/>
      <c r="AE3" s="167"/>
      <c r="AF3" s="167"/>
      <c r="AG3" s="167"/>
      <c r="AH3" s="167"/>
      <c r="AI3" s="167"/>
      <c r="AJ3" s="167"/>
      <c r="AK3" s="167"/>
      <c r="AL3" s="167"/>
      <c r="AM3" s="167"/>
      <c r="AN3" s="167"/>
      <c r="AO3" s="167">
        <f>'2.6.'!AH41</f>
        <v>31.289613655707413</v>
      </c>
      <c r="AP3" s="167"/>
      <c r="AQ3" s="167"/>
      <c r="AR3" s="167"/>
      <c r="AS3" s="167">
        <f>'2.6.'!AM41</f>
        <v>341.42226003321719</v>
      </c>
      <c r="AT3" s="167">
        <f>'2.6.'!AN41</f>
        <v>1423.9373354905338</v>
      </c>
      <c r="AU3" s="167"/>
      <c r="AV3" s="167"/>
      <c r="AW3" s="167">
        <f>'2.6.'!AQ41</f>
        <v>2.7786143400821262</v>
      </c>
      <c r="AX3" s="167"/>
      <c r="AY3" s="167"/>
      <c r="AZ3" s="167"/>
      <c r="BA3" s="167">
        <f>'2.6.'!AU41</f>
        <v>2.0537584252780934</v>
      </c>
      <c r="BB3" s="167"/>
      <c r="BC3" s="167">
        <f>'2.6.'!AW41</f>
        <v>0.24161863826801072</v>
      </c>
      <c r="BD3" s="168">
        <f>'2.6.'!AX41</f>
        <v>30.83361248839509</v>
      </c>
      <c r="BE3" s="146">
        <f t="shared" ref="BE3:BE4" si="0">SUM(AD3:BD3)</f>
        <v>1832.5568130714819</v>
      </c>
      <c r="BF3" s="46"/>
      <c r="BG3" s="147">
        <f t="shared" ref="BG3:BG9" si="1">SUM(F3:BD3)</f>
        <v>20807.541881088269</v>
      </c>
    </row>
    <row r="4" spans="1:62" x14ac:dyDescent="0.25">
      <c r="A4" s="675"/>
      <c r="B4" s="313" t="s">
        <v>607</v>
      </c>
      <c r="C4" s="678"/>
      <c r="D4" s="571"/>
      <c r="E4" s="610"/>
      <c r="F4" s="169"/>
      <c r="G4" s="354"/>
      <c r="H4" s="354"/>
      <c r="I4" s="354"/>
      <c r="J4" s="354"/>
      <c r="K4" s="354"/>
      <c r="L4" s="354"/>
      <c r="M4" s="354"/>
      <c r="N4" s="169">
        <f>'2.6.'!J42</f>
        <v>217910.88309484272</v>
      </c>
      <c r="O4" s="354">
        <f>'2.6.'!K42</f>
        <v>1678.0645611840671</v>
      </c>
      <c r="P4" s="354">
        <f>'2.6.'!L42</f>
        <v>213338.35232697995</v>
      </c>
      <c r="Q4" s="354">
        <f>'2.6.'!BI42</f>
        <v>458.02291797514772</v>
      </c>
      <c r="R4" s="354">
        <f>'2.6.'!BJ42</f>
        <v>1011.1228315255595</v>
      </c>
      <c r="S4" s="354">
        <f>'2.6.'!BH42</f>
        <v>296.09225339190391</v>
      </c>
      <c r="T4" s="170">
        <f>'2.6.'!M42+'2.6.'!BE42</f>
        <v>268.50446667966207</v>
      </c>
      <c r="U4" s="354"/>
      <c r="V4" s="354"/>
      <c r="W4" s="170"/>
      <c r="X4" s="354">
        <f>'2.6.'!Q42</f>
        <v>83340.602742338131</v>
      </c>
      <c r="Y4" s="354">
        <f>'2.6.'!R42</f>
        <v>1.3363636363636361E-2</v>
      </c>
      <c r="Z4" s="354">
        <f>'2.6.'!S42</f>
        <v>14933.887126433121</v>
      </c>
      <c r="AA4" s="354">
        <f>'2.6.'!T42</f>
        <v>4.348533996988199E-4</v>
      </c>
      <c r="AB4" s="354"/>
      <c r="AC4" s="170"/>
      <c r="AD4" s="169">
        <f>'2.6.'!W42</f>
        <v>0.10800384</v>
      </c>
      <c r="AE4" s="354"/>
      <c r="AF4" s="354"/>
      <c r="AG4" s="354"/>
      <c r="AH4" s="354"/>
      <c r="AI4" s="354"/>
      <c r="AJ4" s="354">
        <f>'2.6.'!AC42</f>
        <v>6.7911214960893911E-4</v>
      </c>
      <c r="AK4" s="354">
        <f>'2.6.'!BD42</f>
        <v>35.151295044588991</v>
      </c>
      <c r="AL4" s="354"/>
      <c r="AM4" s="354">
        <f>'2.6.'!AF42</f>
        <v>2.191472303499156E-5</v>
      </c>
      <c r="AN4" s="354">
        <f>'2.6.'!AG42</f>
        <v>2.3379708715717901E-2</v>
      </c>
      <c r="AO4" s="354"/>
      <c r="AP4" s="354">
        <f>'2.6.'!AI42</f>
        <v>5.6896174248045569E-4</v>
      </c>
      <c r="AQ4" s="354">
        <f>'2.6.'!AJ42</f>
        <v>0.1243562469197269</v>
      </c>
      <c r="AR4" s="354"/>
      <c r="AS4" s="354"/>
      <c r="AT4" s="354">
        <f>'2.6.'!AN42</f>
        <v>2.4950820352375161E-3</v>
      </c>
      <c r="AU4" s="354">
        <f>'2.6.'!AO42</f>
        <v>699.49111360032975</v>
      </c>
      <c r="AV4" s="354"/>
      <c r="AW4" s="354"/>
      <c r="AX4" s="354"/>
      <c r="AY4" s="354"/>
      <c r="AZ4" s="354"/>
      <c r="BA4" s="354"/>
      <c r="BB4" s="354"/>
      <c r="BC4" s="354"/>
      <c r="BD4" s="170"/>
      <c r="BE4" s="149">
        <f t="shared" si="0"/>
        <v>734.9019135112045</v>
      </c>
      <c r="BF4" s="14"/>
      <c r="BG4" s="150">
        <f t="shared" si="1"/>
        <v>533970.4480333511</v>
      </c>
    </row>
    <row r="5" spans="1:62" x14ac:dyDescent="0.25">
      <c r="A5" s="675"/>
      <c r="B5" s="313" t="s">
        <v>493</v>
      </c>
      <c r="C5" s="678"/>
      <c r="D5" s="571"/>
      <c r="E5" s="610"/>
      <c r="F5" s="169"/>
      <c r="G5" s="354"/>
      <c r="H5" s="354"/>
      <c r="I5" s="354"/>
      <c r="J5" s="354"/>
      <c r="K5" s="354"/>
      <c r="L5" s="354"/>
      <c r="M5" s="354"/>
      <c r="N5" s="169">
        <f>'2.6.'!J43</f>
        <v>21506497.856162097</v>
      </c>
      <c r="O5" s="354">
        <f>'2.6.'!K43</f>
        <v>907140.11356455891</v>
      </c>
      <c r="P5" s="354">
        <f>'2.6.'!L43</f>
        <v>7916.0775081492211</v>
      </c>
      <c r="Q5" s="354"/>
      <c r="R5" s="354"/>
      <c r="S5" s="354"/>
      <c r="T5" s="170"/>
      <c r="U5" s="354"/>
      <c r="V5" s="354">
        <f>'2.6.'!O43</f>
        <v>744520.90712005971</v>
      </c>
      <c r="W5" s="170"/>
      <c r="X5" s="354">
        <f>'2.6.'!Q43</f>
        <v>268984.76177859952</v>
      </c>
      <c r="Y5" s="354"/>
      <c r="Z5" s="354">
        <f>'2.6.'!S43</f>
        <v>539400.28386653773</v>
      </c>
      <c r="AA5" s="354"/>
      <c r="AB5" s="354"/>
      <c r="AC5" s="170"/>
      <c r="AD5" s="169"/>
      <c r="AE5" s="354"/>
      <c r="AF5" s="354"/>
      <c r="AG5" s="354"/>
      <c r="AH5" s="354"/>
      <c r="AI5" s="354"/>
      <c r="AJ5" s="354"/>
      <c r="AK5" s="354"/>
      <c r="AL5" s="354"/>
      <c r="AM5" s="354"/>
      <c r="AN5" s="354"/>
      <c r="AO5" s="354"/>
      <c r="AP5" s="354"/>
      <c r="AQ5" s="354"/>
      <c r="AR5" s="354"/>
      <c r="AS5" s="354"/>
      <c r="AT5" s="354"/>
      <c r="AU5" s="354"/>
      <c r="AV5" s="354"/>
      <c r="AW5" s="354"/>
      <c r="AX5" s="354"/>
      <c r="AY5" s="354"/>
      <c r="AZ5" s="354"/>
      <c r="BA5" s="354"/>
      <c r="BB5" s="354"/>
      <c r="BC5" s="354"/>
      <c r="BD5" s="170"/>
      <c r="BE5" s="149"/>
      <c r="BF5" s="14"/>
      <c r="BG5" s="150">
        <f t="shared" si="1"/>
        <v>23974460</v>
      </c>
    </row>
    <row r="6" spans="1:62" x14ac:dyDescent="0.25">
      <c r="A6" s="675"/>
      <c r="B6" s="313" t="s">
        <v>494</v>
      </c>
      <c r="C6" s="678"/>
      <c r="D6" s="571"/>
      <c r="E6" s="610"/>
      <c r="F6" s="169"/>
      <c r="G6" s="354"/>
      <c r="H6" s="354"/>
      <c r="I6" s="354"/>
      <c r="J6" s="354"/>
      <c r="K6" s="354"/>
      <c r="L6" s="354"/>
      <c r="M6" s="354"/>
      <c r="N6" s="169">
        <f>'2.6.'!J44</f>
        <v>79822.948545680905</v>
      </c>
      <c r="O6" s="354">
        <f>'2.6.'!K44</f>
        <v>8611.0543958479466</v>
      </c>
      <c r="P6" s="354">
        <f>'2.6.'!L44</f>
        <v>21382.350717086356</v>
      </c>
      <c r="Q6" s="354"/>
      <c r="R6" s="354">
        <f>'2.6.'!BJ44</f>
        <v>24.582335992457459</v>
      </c>
      <c r="S6" s="354"/>
      <c r="T6" s="170"/>
      <c r="U6" s="354"/>
      <c r="V6" s="354">
        <f>'2.6.'!O44</f>
        <v>41.64042085414372</v>
      </c>
      <c r="W6" s="170"/>
      <c r="X6" s="354">
        <f>'2.6.'!Q44</f>
        <v>36557.134215199156</v>
      </c>
      <c r="Y6" s="354">
        <f>'2.6.'!R44</f>
        <v>2.991006660679234</v>
      </c>
      <c r="Z6" s="354">
        <f>'2.6.'!S44</f>
        <v>2956.8892687987704</v>
      </c>
      <c r="AA6" s="354">
        <f>'2.6.'!T44</f>
        <v>5817.4090938795871</v>
      </c>
      <c r="AB6" s="354"/>
      <c r="AC6" s="170"/>
      <c r="AD6" s="169"/>
      <c r="AE6" s="354"/>
      <c r="AF6" s="354"/>
      <c r="AG6" s="354"/>
      <c r="AH6" s="354"/>
      <c r="AI6" s="354"/>
      <c r="AJ6" s="354"/>
      <c r="AK6" s="354"/>
      <c r="AL6" s="354"/>
      <c r="AM6" s="354"/>
      <c r="AN6" s="354"/>
      <c r="AO6" s="354"/>
      <c r="AP6" s="354"/>
      <c r="AQ6" s="354"/>
      <c r="AR6" s="354"/>
      <c r="AS6" s="354"/>
      <c r="AT6" s="354"/>
      <c r="AU6" s="354"/>
      <c r="AV6" s="354"/>
      <c r="AW6" s="354"/>
      <c r="AX6" s="354"/>
      <c r="AY6" s="354"/>
      <c r="AZ6" s="354"/>
      <c r="BA6" s="354"/>
      <c r="BB6" s="354"/>
      <c r="BC6" s="354"/>
      <c r="BD6" s="170"/>
      <c r="BE6" s="149"/>
      <c r="BF6" s="14"/>
      <c r="BG6" s="150">
        <f t="shared" si="1"/>
        <v>155217.00000000006</v>
      </c>
    </row>
    <row r="7" spans="1:62" x14ac:dyDescent="0.25">
      <c r="A7" s="675"/>
      <c r="B7" s="313" t="s">
        <v>606</v>
      </c>
      <c r="C7" s="678"/>
      <c r="D7" s="571"/>
      <c r="E7" s="610"/>
      <c r="F7" s="169"/>
      <c r="G7" s="354"/>
      <c r="H7" s="354"/>
      <c r="I7" s="354"/>
      <c r="J7" s="354"/>
      <c r="K7" s="354"/>
      <c r="L7" s="354"/>
      <c r="M7" s="354"/>
      <c r="N7" s="169">
        <f>J45</f>
        <v>6185477.1215588963</v>
      </c>
      <c r="O7" s="354">
        <f t="shared" ref="O7:T7" si="2">K45</f>
        <v>283889.44394011854</v>
      </c>
      <c r="P7" s="354">
        <f t="shared" si="2"/>
        <v>791314.05411040888</v>
      </c>
      <c r="Q7" s="354">
        <f t="shared" si="2"/>
        <v>0</v>
      </c>
      <c r="R7" s="354">
        <f t="shared" si="2"/>
        <v>0</v>
      </c>
      <c r="S7" s="354">
        <f t="shared" si="2"/>
        <v>90931.844971726052</v>
      </c>
      <c r="T7" s="354">
        <f t="shared" si="2"/>
        <v>0</v>
      </c>
      <c r="U7" s="354">
        <f t="shared" ref="U7:U8" si="3">Q45</f>
        <v>994979.16435401619</v>
      </c>
      <c r="V7" s="354">
        <f t="shared" ref="V7:V8" si="4">R45</f>
        <v>495.74712643678163</v>
      </c>
      <c r="W7" s="354">
        <f t="shared" ref="W7:W8" si="5">S45</f>
        <v>409416.14091050124</v>
      </c>
      <c r="X7" s="354">
        <f t="shared" ref="X7:X8" si="6">T45</f>
        <v>244224.81296107729</v>
      </c>
      <c r="Y7" s="354">
        <f t="shared" ref="Y7:Y8" si="7">U45</f>
        <v>0</v>
      </c>
      <c r="Z7" s="354">
        <f t="shared" ref="Z7:Z8" si="8">V45</f>
        <v>0</v>
      </c>
      <c r="AA7" s="354">
        <f t="shared" ref="AA7:AA8" si="9">W45</f>
        <v>0</v>
      </c>
      <c r="AB7" s="354">
        <f t="shared" ref="AB7:AB8" si="10">X45</f>
        <v>0</v>
      </c>
      <c r="AC7" s="354">
        <f t="shared" ref="AC7:AC8" si="11">Y45</f>
        <v>0</v>
      </c>
      <c r="AD7" s="354">
        <f t="shared" ref="AD7:AD8" si="12">Z45</f>
        <v>0</v>
      </c>
      <c r="AE7" s="354">
        <f t="shared" ref="AE7:AE8" si="13">AA45</f>
        <v>0</v>
      </c>
      <c r="AF7" s="354">
        <f t="shared" ref="AF7:AF8" si="14">AB45</f>
        <v>0</v>
      </c>
      <c r="AG7" s="354">
        <f t="shared" ref="AG7:AG8" si="15">AC45</f>
        <v>0</v>
      </c>
      <c r="AH7" s="354">
        <f t="shared" ref="AH7:AH8" si="16">AD45</f>
        <v>0</v>
      </c>
      <c r="AI7" s="354">
        <f t="shared" ref="AI7:AI8" si="17">AE45</f>
        <v>0</v>
      </c>
      <c r="AJ7" s="354">
        <f t="shared" ref="AJ7:AJ8" si="18">AF45</f>
        <v>0</v>
      </c>
      <c r="AK7" s="354">
        <f t="shared" ref="AK7:AK8" si="19">AG45</f>
        <v>0</v>
      </c>
      <c r="AL7" s="354">
        <f t="shared" ref="AL7:AL8" si="20">AH45</f>
        <v>0</v>
      </c>
      <c r="AM7" s="354">
        <f t="shared" ref="AM7:AM8" si="21">AI45</f>
        <v>0</v>
      </c>
      <c r="AN7" s="354">
        <f t="shared" ref="AN7:AN8" si="22">AJ45</f>
        <v>39.272587248322139</v>
      </c>
      <c r="AO7" s="354">
        <f t="shared" ref="AO7:AO8" si="23">AK45</f>
        <v>0</v>
      </c>
      <c r="AP7" s="354">
        <f t="shared" ref="AP7:AP8" si="24">AL45</f>
        <v>0</v>
      </c>
      <c r="AQ7" s="354">
        <f t="shared" ref="AQ7:AQ8" si="25">AM45</f>
        <v>1465.9518541895072</v>
      </c>
      <c r="AR7" s="354">
        <f t="shared" ref="AR7:AR8" si="26">AN45</f>
        <v>0</v>
      </c>
      <c r="AS7" s="354">
        <f t="shared" ref="AS7:AS8" si="27">AO45</f>
        <v>0</v>
      </c>
      <c r="AT7" s="354">
        <f t="shared" ref="AT7:AT8" si="28">AP45</f>
        <v>0</v>
      </c>
      <c r="AU7" s="354">
        <f t="shared" ref="AU7:AU8" si="29">AQ45</f>
        <v>0</v>
      </c>
      <c r="AV7" s="354">
        <f t="shared" ref="AV7:AV8" si="30">AR45</f>
        <v>0</v>
      </c>
      <c r="AW7" s="354">
        <f t="shared" ref="AW7:AW8" si="31">AS45</f>
        <v>0</v>
      </c>
      <c r="AX7" s="354">
        <f t="shared" ref="AX7:AX8" si="32">AT45</f>
        <v>0</v>
      </c>
      <c r="AY7" s="354">
        <f t="shared" ref="AY7:AY8" si="33">AU45</f>
        <v>0</v>
      </c>
      <c r="AZ7" s="354">
        <f t="shared" ref="AZ7:AZ8" si="34">AV45</f>
        <v>0</v>
      </c>
      <c r="BA7" s="354">
        <f t="shared" ref="BA7:BA8" si="35">AW45</f>
        <v>0</v>
      </c>
      <c r="BB7" s="354">
        <f t="shared" ref="BB7:BB8" si="36">AX45</f>
        <v>0</v>
      </c>
      <c r="BC7" s="354">
        <f t="shared" ref="BC7:BC8" si="37">AY45</f>
        <v>55193.180076628349</v>
      </c>
      <c r="BD7" s="354">
        <f t="shared" ref="BD7:BD8" si="38">AZ45</f>
        <v>0</v>
      </c>
      <c r="BE7" s="149">
        <f t="shared" ref="BE7:BE8" si="39">SUM(AD7:BD7)</f>
        <v>56698.404518066178</v>
      </c>
      <c r="BF7" s="14"/>
      <c r="BG7" s="150">
        <f t="shared" si="1"/>
        <v>9057426.7344512492</v>
      </c>
    </row>
    <row r="8" spans="1:62" x14ac:dyDescent="0.25">
      <c r="A8" s="675"/>
      <c r="B8" s="313" t="s">
        <v>608</v>
      </c>
      <c r="C8" s="678"/>
      <c r="D8" s="571"/>
      <c r="E8" s="610"/>
      <c r="F8" s="169"/>
      <c r="G8" s="354"/>
      <c r="H8" s="354"/>
      <c r="I8" s="354"/>
      <c r="J8" s="354"/>
      <c r="K8" s="354"/>
      <c r="L8" s="354"/>
      <c r="M8" s="354"/>
      <c r="N8" s="169">
        <f>J46</f>
        <v>1447544.0073732319</v>
      </c>
      <c r="O8" s="354">
        <f t="shared" ref="O8:T8" si="40">K46</f>
        <v>44497.978687090908</v>
      </c>
      <c r="P8" s="354">
        <f t="shared" si="40"/>
        <v>141267.49444319989</v>
      </c>
      <c r="Q8" s="354">
        <f t="shared" si="40"/>
        <v>1683.2624983110368</v>
      </c>
      <c r="R8" s="354">
        <f t="shared" si="40"/>
        <v>0</v>
      </c>
      <c r="S8" s="354">
        <f t="shared" si="40"/>
        <v>14248.15932153752</v>
      </c>
      <c r="T8" s="354">
        <f t="shared" si="40"/>
        <v>0</v>
      </c>
      <c r="U8" s="354">
        <f t="shared" si="3"/>
        <v>178144.51403646043</v>
      </c>
      <c r="V8" s="354">
        <f t="shared" si="4"/>
        <v>840.18013597056836</v>
      </c>
      <c r="W8" s="354">
        <f t="shared" si="5"/>
        <v>94254.060083207034</v>
      </c>
      <c r="X8" s="354">
        <f t="shared" si="6"/>
        <v>42669.777357582716</v>
      </c>
      <c r="Y8" s="354">
        <f t="shared" si="7"/>
        <v>0</v>
      </c>
      <c r="Z8" s="354">
        <f t="shared" si="8"/>
        <v>0</v>
      </c>
      <c r="AA8" s="354">
        <f t="shared" si="9"/>
        <v>0</v>
      </c>
      <c r="AB8" s="354">
        <f t="shared" si="10"/>
        <v>0</v>
      </c>
      <c r="AC8" s="354">
        <f t="shared" si="11"/>
        <v>0</v>
      </c>
      <c r="AD8" s="354">
        <f t="shared" si="12"/>
        <v>0</v>
      </c>
      <c r="AE8" s="354">
        <f t="shared" si="13"/>
        <v>0</v>
      </c>
      <c r="AF8" s="354">
        <f t="shared" si="14"/>
        <v>0</v>
      </c>
      <c r="AG8" s="354">
        <f t="shared" si="15"/>
        <v>1.6416927961853234</v>
      </c>
      <c r="AH8" s="354">
        <f t="shared" si="16"/>
        <v>0</v>
      </c>
      <c r="AI8" s="354">
        <f t="shared" si="17"/>
        <v>0</v>
      </c>
      <c r="AJ8" s="354">
        <f t="shared" si="18"/>
        <v>5.2976880118636382E-2</v>
      </c>
      <c r="AK8" s="354">
        <f t="shared" si="19"/>
        <v>4.6727628578124361E-2</v>
      </c>
      <c r="AL8" s="354">
        <f t="shared" si="20"/>
        <v>0</v>
      </c>
      <c r="AM8" s="354">
        <f t="shared" si="21"/>
        <v>1.3754140527055567</v>
      </c>
      <c r="AN8" s="354">
        <f t="shared" si="22"/>
        <v>6.5400953859060396</v>
      </c>
      <c r="AO8" s="354">
        <f t="shared" si="23"/>
        <v>0</v>
      </c>
      <c r="AP8" s="354">
        <f t="shared" si="24"/>
        <v>0</v>
      </c>
      <c r="AQ8" s="354">
        <f t="shared" si="25"/>
        <v>233.41754575960951</v>
      </c>
      <c r="AR8" s="354">
        <f t="shared" si="26"/>
        <v>6.0316373451713146</v>
      </c>
      <c r="AS8" s="354">
        <f t="shared" si="27"/>
        <v>0</v>
      </c>
      <c r="AT8" s="354">
        <f t="shared" si="28"/>
        <v>0</v>
      </c>
      <c r="AU8" s="354">
        <f t="shared" si="29"/>
        <v>0</v>
      </c>
      <c r="AV8" s="354">
        <f t="shared" si="30"/>
        <v>0</v>
      </c>
      <c r="AW8" s="354">
        <f t="shared" si="31"/>
        <v>0</v>
      </c>
      <c r="AX8" s="354">
        <f t="shared" si="32"/>
        <v>0</v>
      </c>
      <c r="AY8" s="354">
        <f t="shared" si="33"/>
        <v>0</v>
      </c>
      <c r="AZ8" s="354">
        <f t="shared" si="34"/>
        <v>0</v>
      </c>
      <c r="BA8" s="354">
        <f t="shared" si="35"/>
        <v>0</v>
      </c>
      <c r="BB8" s="354">
        <f t="shared" si="36"/>
        <v>0</v>
      </c>
      <c r="BC8" s="354">
        <f t="shared" si="37"/>
        <v>0</v>
      </c>
      <c r="BD8" s="354">
        <f t="shared" si="38"/>
        <v>0</v>
      </c>
      <c r="BE8" s="149">
        <f t="shared" si="39"/>
        <v>249.10608984827451</v>
      </c>
      <c r="BF8" s="14"/>
      <c r="BG8" s="150">
        <f t="shared" si="1"/>
        <v>1965398.5400264403</v>
      </c>
    </row>
    <row r="9" spans="1:62" s="33" customFormat="1" ht="13.8" thickBot="1" x14ac:dyDescent="0.3">
      <c r="A9" s="676"/>
      <c r="B9" s="339" t="s">
        <v>544</v>
      </c>
      <c r="C9" s="679"/>
      <c r="D9" s="572"/>
      <c r="E9" s="611"/>
      <c r="F9" s="171"/>
      <c r="G9" s="172"/>
      <c r="H9" s="172"/>
      <c r="I9" s="172"/>
      <c r="J9" s="172"/>
      <c r="K9" s="172"/>
      <c r="L9" s="172"/>
      <c r="M9" s="172"/>
      <c r="N9" s="171">
        <f>'2.6.'!J47</f>
        <v>72249.122665133647</v>
      </c>
      <c r="O9" s="172">
        <f>'2.6.'!K47</f>
        <v>1160.7054549138611</v>
      </c>
      <c r="P9" s="172">
        <f>'2.6.'!L47</f>
        <v>17783.28541014815</v>
      </c>
      <c r="Q9" s="172">
        <f>'2.6.'!BI47</f>
        <v>0</v>
      </c>
      <c r="R9" s="172">
        <f>'2.6.'!BJ47</f>
        <v>958.38065084630762</v>
      </c>
      <c r="S9" s="172">
        <f>'2.6.'!BH47</f>
        <v>0</v>
      </c>
      <c r="T9" s="173">
        <f>'2.6.'!M47+'2.6.'!BE47</f>
        <v>31.946021694876919</v>
      </c>
      <c r="U9" s="172"/>
      <c r="V9" s="172">
        <f>'2.6.'!O47</f>
        <v>0</v>
      </c>
      <c r="W9" s="173"/>
      <c r="X9" s="172">
        <f>'2.6.'!Q47</f>
        <v>6740.6105776190288</v>
      </c>
      <c r="Y9" s="172">
        <f>'2.6.'!R47</f>
        <v>4216.8748637237532</v>
      </c>
      <c r="Z9" s="172">
        <f>'2.6.'!S47</f>
        <v>4632.1731457571532</v>
      </c>
      <c r="AA9" s="172">
        <f>'2.6.'!T47</f>
        <v>5217.8502101632293</v>
      </c>
      <c r="AB9" s="172"/>
      <c r="AC9" s="173"/>
      <c r="AD9" s="171"/>
      <c r="AE9" s="172"/>
      <c r="AF9" s="172"/>
      <c r="AG9" s="172"/>
      <c r="AH9" s="172"/>
      <c r="AI9" s="172"/>
      <c r="AJ9" s="172">
        <f>'2.6.'!AC47</f>
        <v>0</v>
      </c>
      <c r="AK9" s="172">
        <f>'2.6.'!BD47</f>
        <v>0</v>
      </c>
      <c r="AL9" s="172"/>
      <c r="AM9" s="172">
        <f>'2.6.'!AF47</f>
        <v>0</v>
      </c>
      <c r="AN9" s="172">
        <f>'2.6.'!AG47</f>
        <v>0</v>
      </c>
      <c r="AO9" s="172"/>
      <c r="AP9" s="172">
        <f>'2.6.'!AI47</f>
        <v>0</v>
      </c>
      <c r="AQ9" s="172">
        <f>'2.6.'!AJ47</f>
        <v>0</v>
      </c>
      <c r="AR9" s="172"/>
      <c r="AS9" s="172">
        <f>'2.6.'!AM47</f>
        <v>0</v>
      </c>
      <c r="AT9" s="172">
        <f>'2.6.'!AN47</f>
        <v>0</v>
      </c>
      <c r="AU9" s="172"/>
      <c r="AV9" s="172"/>
      <c r="AW9" s="172"/>
      <c r="AX9" s="172"/>
      <c r="AY9" s="172"/>
      <c r="AZ9" s="172"/>
      <c r="BA9" s="172"/>
      <c r="BB9" s="172"/>
      <c r="BC9" s="172"/>
      <c r="BD9" s="173"/>
      <c r="BE9" s="153">
        <f>SUM(AD9:BD9)</f>
        <v>0</v>
      </c>
      <c r="BF9" s="50"/>
      <c r="BG9" s="154">
        <f t="shared" si="1"/>
        <v>112990.94900000001</v>
      </c>
    </row>
    <row r="10" spans="1:62" x14ac:dyDescent="0.25">
      <c r="A10" s="336"/>
      <c r="B10" s="14"/>
      <c r="C10" s="337"/>
      <c r="D10" s="337"/>
      <c r="E10" s="228"/>
      <c r="F10" s="354"/>
      <c r="G10" s="354"/>
      <c r="H10" s="354"/>
      <c r="I10" s="354"/>
      <c r="J10" s="354"/>
      <c r="K10" s="354"/>
      <c r="L10" s="354"/>
      <c r="M10" s="354"/>
      <c r="N10" s="354"/>
      <c r="O10" s="354"/>
      <c r="P10" s="354"/>
      <c r="Q10" s="354"/>
      <c r="R10" s="354"/>
      <c r="S10" s="354"/>
      <c r="T10" s="354"/>
      <c r="U10" s="354"/>
      <c r="V10" s="354"/>
      <c r="W10" s="354"/>
      <c r="X10" s="354"/>
      <c r="Y10" s="354"/>
      <c r="Z10" s="354"/>
      <c r="AA10" s="354"/>
      <c r="AB10" s="354"/>
      <c r="AC10" s="354"/>
      <c r="AD10" s="354"/>
      <c r="AE10" s="354"/>
      <c r="AF10" s="354"/>
      <c r="AG10" s="354"/>
      <c r="AH10" s="354"/>
      <c r="AI10" s="354"/>
      <c r="AJ10" s="354"/>
      <c r="AK10" s="354"/>
      <c r="AL10" s="354"/>
      <c r="AM10" s="354"/>
      <c r="AN10" s="354"/>
      <c r="AO10" s="354"/>
      <c r="AP10" s="354"/>
      <c r="AQ10" s="354"/>
      <c r="AR10" s="354"/>
      <c r="AS10" s="354"/>
      <c r="AT10" s="354"/>
      <c r="AU10" s="354"/>
      <c r="AV10" s="354"/>
      <c r="AW10" s="354"/>
      <c r="AX10" s="354"/>
      <c r="AY10" s="354"/>
      <c r="AZ10" s="354"/>
      <c r="BA10" s="354"/>
      <c r="BB10" s="354"/>
      <c r="BC10" s="354"/>
      <c r="BD10" s="354"/>
      <c r="BE10" s="44"/>
      <c r="BF10" s="14"/>
      <c r="BG10" s="48"/>
    </row>
    <row r="11" spans="1:62" s="33" customFormat="1" ht="22.5" customHeight="1" thickBot="1" x14ac:dyDescent="0.3">
      <c r="A11" s="355" t="s">
        <v>429</v>
      </c>
      <c r="B11" s="356"/>
    </row>
    <row r="12" spans="1:62" s="352" customFormat="1" ht="70.95" customHeight="1" thickBot="1" x14ac:dyDescent="0.35">
      <c r="A12" s="353" t="s">
        <v>644</v>
      </c>
      <c r="B12" s="442" t="s">
        <v>82</v>
      </c>
      <c r="C12" s="443" t="s">
        <v>439</v>
      </c>
      <c r="D12" s="443" t="s">
        <v>136</v>
      </c>
      <c r="E12" s="443" t="s">
        <v>440</v>
      </c>
      <c r="F12" s="443" t="s">
        <v>315</v>
      </c>
      <c r="G12" s="443" t="s">
        <v>552</v>
      </c>
      <c r="H12" s="443" t="s">
        <v>640</v>
      </c>
      <c r="I12" s="444" t="s">
        <v>443</v>
      </c>
      <c r="J12" s="442" t="s">
        <v>444</v>
      </c>
      <c r="K12" s="443" t="s">
        <v>81</v>
      </c>
      <c r="L12" s="443" t="s">
        <v>7</v>
      </c>
      <c r="M12" s="444" t="s">
        <v>545</v>
      </c>
      <c r="N12" s="442" t="s">
        <v>448</v>
      </c>
      <c r="O12" s="443" t="s">
        <v>449</v>
      </c>
      <c r="P12" s="444" t="s">
        <v>450</v>
      </c>
      <c r="Q12" s="442" t="s">
        <v>84</v>
      </c>
      <c r="R12" s="443" t="s">
        <v>641</v>
      </c>
      <c r="S12" s="443" t="s">
        <v>452</v>
      </c>
      <c r="T12" s="443" t="s">
        <v>83</v>
      </c>
      <c r="U12" s="443" t="s">
        <v>453</v>
      </c>
      <c r="V12" s="444" t="s">
        <v>642</v>
      </c>
      <c r="W12" s="443" t="s">
        <v>9</v>
      </c>
      <c r="X12" s="443" t="s">
        <v>10</v>
      </c>
      <c r="Y12" s="443" t="s">
        <v>11</v>
      </c>
      <c r="Z12" s="443" t="s">
        <v>12</v>
      </c>
      <c r="AA12" s="443" t="s">
        <v>13</v>
      </c>
      <c r="AB12" s="443" t="s">
        <v>14</v>
      </c>
      <c r="AC12" s="443" t="s">
        <v>15</v>
      </c>
      <c r="AD12" s="443" t="s">
        <v>16</v>
      </c>
      <c r="AE12" s="443" t="s">
        <v>17</v>
      </c>
      <c r="AF12" s="443" t="s">
        <v>18</v>
      </c>
      <c r="AG12" s="443" t="s">
        <v>19</v>
      </c>
      <c r="AH12" s="443" t="s">
        <v>20</v>
      </c>
      <c r="AI12" s="443" t="s">
        <v>21</v>
      </c>
      <c r="AJ12" s="443" t="s">
        <v>22</v>
      </c>
      <c r="AK12" s="443" t="s">
        <v>33</v>
      </c>
      <c r="AL12" s="443" t="s">
        <v>23</v>
      </c>
      <c r="AM12" s="445" t="s">
        <v>24</v>
      </c>
      <c r="AN12" s="445" t="s">
        <v>25</v>
      </c>
      <c r="AO12" s="445" t="s">
        <v>26</v>
      </c>
      <c r="AP12" s="445" t="s">
        <v>27</v>
      </c>
      <c r="AQ12" s="445" t="s">
        <v>28</v>
      </c>
      <c r="AR12" s="445" t="s">
        <v>29</v>
      </c>
      <c r="AS12" s="445" t="s">
        <v>30</v>
      </c>
      <c r="AT12" s="445" t="s">
        <v>31</v>
      </c>
      <c r="AU12" s="445" t="s">
        <v>32</v>
      </c>
      <c r="AV12" s="445" t="s">
        <v>33</v>
      </c>
      <c r="AW12" s="445" t="s">
        <v>34</v>
      </c>
      <c r="AX12" s="445" t="s">
        <v>35</v>
      </c>
      <c r="AY12" s="446" t="s">
        <v>297</v>
      </c>
      <c r="AZ12" s="446" t="s">
        <v>296</v>
      </c>
      <c r="BA12" s="446"/>
      <c r="BB12" s="446" t="s">
        <v>388</v>
      </c>
      <c r="BC12" s="446" t="s">
        <v>389</v>
      </c>
      <c r="BD12" s="443" t="s">
        <v>16</v>
      </c>
      <c r="BE12" s="443" t="s">
        <v>259</v>
      </c>
      <c r="BF12" s="443" t="s">
        <v>643</v>
      </c>
      <c r="BG12" s="447"/>
      <c r="BH12" s="447" t="s">
        <v>643</v>
      </c>
      <c r="BI12" s="447" t="s">
        <v>264</v>
      </c>
      <c r="BJ12" s="447" t="s">
        <v>262</v>
      </c>
    </row>
    <row r="13" spans="1:62" s="101" customFormat="1" ht="15.9" customHeight="1" thickBot="1" x14ac:dyDescent="0.35">
      <c r="A13" s="441"/>
      <c r="B13" s="448" t="s">
        <v>38</v>
      </c>
      <c r="C13" s="449" t="s">
        <v>38</v>
      </c>
      <c r="D13" s="449" t="s">
        <v>38</v>
      </c>
      <c r="E13" s="449" t="s">
        <v>38</v>
      </c>
      <c r="F13" s="449" t="s">
        <v>38</v>
      </c>
      <c r="G13" s="449" t="s">
        <v>38</v>
      </c>
      <c r="H13" s="449" t="s">
        <v>38</v>
      </c>
      <c r="I13" s="449" t="s">
        <v>38</v>
      </c>
      <c r="J13" s="448" t="s">
        <v>38</v>
      </c>
      <c r="K13" s="449" t="s">
        <v>38</v>
      </c>
      <c r="L13" s="449" t="s">
        <v>38</v>
      </c>
      <c r="M13" s="450" t="s">
        <v>38</v>
      </c>
      <c r="N13" s="448" t="s">
        <v>38</v>
      </c>
      <c r="O13" s="449" t="s">
        <v>38</v>
      </c>
      <c r="P13" s="450" t="s">
        <v>38</v>
      </c>
      <c r="Q13" s="448" t="s">
        <v>38</v>
      </c>
      <c r="R13" s="449" t="s">
        <v>38</v>
      </c>
      <c r="S13" s="449" t="s">
        <v>38</v>
      </c>
      <c r="T13" s="449" t="s">
        <v>38</v>
      </c>
      <c r="U13" s="449" t="s">
        <v>38</v>
      </c>
      <c r="V13" s="449" t="s">
        <v>38</v>
      </c>
      <c r="W13" s="448" t="s">
        <v>38</v>
      </c>
      <c r="X13" s="449" t="s">
        <v>38</v>
      </c>
      <c r="Y13" s="449" t="s">
        <v>38</v>
      </c>
      <c r="Z13" s="449" t="s">
        <v>38</v>
      </c>
      <c r="AA13" s="449" t="s">
        <v>38</v>
      </c>
      <c r="AB13" s="449" t="s">
        <v>38</v>
      </c>
      <c r="AC13" s="449" t="s">
        <v>38</v>
      </c>
      <c r="AD13" s="449" t="s">
        <v>38</v>
      </c>
      <c r="AE13" s="449" t="s">
        <v>38</v>
      </c>
      <c r="AF13" s="449" t="s">
        <v>38</v>
      </c>
      <c r="AG13" s="449" t="s">
        <v>38</v>
      </c>
      <c r="AH13" s="449" t="s">
        <v>38</v>
      </c>
      <c r="AI13" s="449" t="s">
        <v>38</v>
      </c>
      <c r="AJ13" s="449" t="s">
        <v>38</v>
      </c>
      <c r="AK13" s="449" t="s">
        <v>38</v>
      </c>
      <c r="AL13" s="449" t="s">
        <v>38</v>
      </c>
      <c r="AM13" s="449" t="s">
        <v>38</v>
      </c>
      <c r="AN13" s="449" t="s">
        <v>38</v>
      </c>
      <c r="AO13" s="449" t="s">
        <v>38</v>
      </c>
      <c r="AP13" s="449" t="s">
        <v>38</v>
      </c>
      <c r="AQ13" s="449" t="s">
        <v>38</v>
      </c>
      <c r="AR13" s="449" t="s">
        <v>38</v>
      </c>
      <c r="AS13" s="449" t="s">
        <v>38</v>
      </c>
      <c r="AT13" s="449" t="s">
        <v>38</v>
      </c>
      <c r="AU13" s="449" t="s">
        <v>38</v>
      </c>
      <c r="AV13" s="449" t="s">
        <v>38</v>
      </c>
      <c r="AW13" s="449" t="s">
        <v>38</v>
      </c>
      <c r="AX13" s="449" t="s">
        <v>38</v>
      </c>
      <c r="AY13" s="449" t="s">
        <v>38</v>
      </c>
      <c r="AZ13" s="449" t="s">
        <v>38</v>
      </c>
      <c r="BA13" s="449" t="s">
        <v>38</v>
      </c>
      <c r="BB13" s="449" t="s">
        <v>38</v>
      </c>
      <c r="BC13" s="449" t="s">
        <v>38</v>
      </c>
      <c r="BD13" s="449" t="s">
        <v>38</v>
      </c>
      <c r="BE13" s="449" t="s">
        <v>38</v>
      </c>
      <c r="BF13" s="449" t="s">
        <v>38</v>
      </c>
      <c r="BG13" s="449" t="s">
        <v>38</v>
      </c>
      <c r="BH13" s="449" t="s">
        <v>38</v>
      </c>
      <c r="BI13" s="449" t="s">
        <v>38</v>
      </c>
      <c r="BJ13" s="450" t="s">
        <v>38</v>
      </c>
    </row>
    <row r="14" spans="1:62" x14ac:dyDescent="0.25">
      <c r="A14" s="357" t="s">
        <v>390</v>
      </c>
      <c r="B14" s="88"/>
      <c r="C14" s="48"/>
      <c r="D14" s="48"/>
      <c r="E14" s="48"/>
      <c r="F14" s="48"/>
      <c r="G14" s="48"/>
      <c r="H14" s="48"/>
      <c r="I14" s="89"/>
      <c r="J14" s="88">
        <v>148025.10106800211</v>
      </c>
      <c r="K14" s="48">
        <v>0</v>
      </c>
      <c r="L14" s="48">
        <v>171745.61033005489</v>
      </c>
      <c r="M14" s="89">
        <v>0</v>
      </c>
      <c r="N14" s="88"/>
      <c r="O14" s="48">
        <v>0</v>
      </c>
      <c r="P14" s="89"/>
      <c r="Q14" s="88">
        <v>45388.282145658588</v>
      </c>
      <c r="R14" s="48">
        <v>0</v>
      </c>
      <c r="S14" s="48">
        <v>12841.006456284311</v>
      </c>
      <c r="T14" s="48">
        <v>0</v>
      </c>
      <c r="U14" s="48">
        <v>0</v>
      </c>
      <c r="V14" s="89">
        <v>0</v>
      </c>
      <c r="W14" s="48">
        <v>0</v>
      </c>
      <c r="X14" s="48"/>
      <c r="Y14" s="48"/>
      <c r="Z14" s="48"/>
      <c r="AA14" s="48"/>
      <c r="AB14" s="48"/>
      <c r="AC14" s="48">
        <v>0</v>
      </c>
      <c r="AD14" s="48"/>
      <c r="AE14" s="48"/>
      <c r="AF14" s="48">
        <v>0</v>
      </c>
      <c r="AG14" s="48">
        <v>0</v>
      </c>
      <c r="AH14" s="48">
        <v>0</v>
      </c>
      <c r="AI14" s="48">
        <v>0</v>
      </c>
      <c r="AJ14" s="48">
        <v>0</v>
      </c>
      <c r="AK14" s="48"/>
      <c r="AL14" s="48"/>
      <c r="AM14" s="48">
        <v>0</v>
      </c>
      <c r="AN14" s="48">
        <v>0</v>
      </c>
      <c r="AO14" s="48">
        <v>0</v>
      </c>
      <c r="AP14" s="48"/>
      <c r="AQ14" s="48">
        <v>0</v>
      </c>
      <c r="AR14" s="48"/>
      <c r="AS14" s="48"/>
      <c r="AT14" s="48"/>
      <c r="AU14" s="48">
        <v>0</v>
      </c>
      <c r="AV14" s="48"/>
      <c r="AW14" s="48">
        <v>0</v>
      </c>
      <c r="AX14" s="48">
        <v>0</v>
      </c>
      <c r="AY14" s="358">
        <v>0</v>
      </c>
      <c r="AZ14" s="358">
        <v>0</v>
      </c>
      <c r="BA14" s="358"/>
      <c r="BB14" s="358">
        <f>6.94/180.8*AY14</f>
        <v>0</v>
      </c>
      <c r="BC14" s="358">
        <f>6.94/151.9*AZ14</f>
        <v>0</v>
      </c>
      <c r="BD14" s="48">
        <f>BB14+BC14</f>
        <v>0</v>
      </c>
      <c r="BE14" s="48">
        <f>54.938/180.8*AY14</f>
        <v>0</v>
      </c>
      <c r="BF14" s="48">
        <v>0</v>
      </c>
      <c r="BG14" s="48"/>
      <c r="BH14" s="48">
        <v>0</v>
      </c>
      <c r="BI14" s="48">
        <v>0</v>
      </c>
      <c r="BJ14" s="48">
        <v>0</v>
      </c>
    </row>
    <row r="15" spans="1:62" x14ac:dyDescent="0.25">
      <c r="A15" s="357" t="s">
        <v>391</v>
      </c>
      <c r="B15" s="88"/>
      <c r="C15" s="48"/>
      <c r="D15" s="48"/>
      <c r="E15" s="48"/>
      <c r="F15" s="48"/>
      <c r="G15" s="48"/>
      <c r="H15" s="48"/>
      <c r="I15" s="89"/>
      <c r="J15" s="88">
        <v>10456.967356150681</v>
      </c>
      <c r="K15" s="48">
        <v>891.35557897046067</v>
      </c>
      <c r="L15" s="48">
        <v>24153.683027923929</v>
      </c>
      <c r="M15" s="89">
        <v>0</v>
      </c>
      <c r="N15" s="88"/>
      <c r="O15" s="48">
        <v>0</v>
      </c>
      <c r="P15" s="89"/>
      <c r="Q15" s="88">
        <v>3965.4349466350682</v>
      </c>
      <c r="R15" s="48">
        <v>0</v>
      </c>
      <c r="S15" s="48">
        <v>1545.960319491579</v>
      </c>
      <c r="T15" s="48">
        <v>0</v>
      </c>
      <c r="U15" s="48">
        <v>0</v>
      </c>
      <c r="V15" s="89">
        <v>0</v>
      </c>
      <c r="W15" s="48">
        <v>0</v>
      </c>
      <c r="X15" s="48"/>
      <c r="Y15" s="48"/>
      <c r="Z15" s="48"/>
      <c r="AA15" s="48"/>
      <c r="AB15" s="48"/>
      <c r="AC15" s="48">
        <v>0</v>
      </c>
      <c r="AD15" s="48"/>
      <c r="AE15" s="48"/>
      <c r="AF15" s="48">
        <v>0</v>
      </c>
      <c r="AG15" s="48">
        <v>0</v>
      </c>
      <c r="AH15" s="48">
        <v>0</v>
      </c>
      <c r="AI15" s="48">
        <v>0</v>
      </c>
      <c r="AJ15" s="48">
        <v>0</v>
      </c>
      <c r="AK15" s="48"/>
      <c r="AL15" s="48"/>
      <c r="AM15" s="48">
        <v>0</v>
      </c>
      <c r="AN15" s="48">
        <v>0</v>
      </c>
      <c r="AO15" s="48">
        <v>699.49111360032975</v>
      </c>
      <c r="AP15" s="48"/>
      <c r="AQ15" s="48">
        <v>0</v>
      </c>
      <c r="AR15" s="48"/>
      <c r="AS15" s="48"/>
      <c r="AT15" s="48"/>
      <c r="AU15" s="48">
        <v>0</v>
      </c>
      <c r="AV15" s="48"/>
      <c r="AW15" s="48">
        <v>0</v>
      </c>
      <c r="AX15" s="48">
        <v>0</v>
      </c>
      <c r="AY15" s="358">
        <v>882.15174852835105</v>
      </c>
      <c r="AZ15" s="358">
        <v>26.90350436924345</v>
      </c>
      <c r="BA15" s="358"/>
      <c r="BB15" s="358">
        <f>6.94/180.8*AY15</f>
        <v>33.861355833997543</v>
      </c>
      <c r="BC15" s="358">
        <f t="shared" ref="BC15:BC40" si="41">6.94/151.9*AZ15</f>
        <v>1.2291660324065143</v>
      </c>
      <c r="BD15" s="48">
        <f t="shared" ref="BD15:BD40" si="42">BB15+BC15</f>
        <v>35.09052186640406</v>
      </c>
      <c r="BE15" s="48">
        <f t="shared" ref="BE15:BE40" si="43">54.938/180.8*AY15</f>
        <v>268.05117677350967</v>
      </c>
      <c r="BF15" s="48">
        <v>0</v>
      </c>
      <c r="BG15" s="48"/>
      <c r="BH15" s="48">
        <v>0</v>
      </c>
      <c r="BI15" s="48">
        <v>0</v>
      </c>
      <c r="BJ15" s="48">
        <v>0</v>
      </c>
    </row>
    <row r="16" spans="1:62" x14ac:dyDescent="0.25">
      <c r="A16" s="357" t="s">
        <v>392</v>
      </c>
      <c r="B16" s="88"/>
      <c r="C16" s="48"/>
      <c r="D16" s="48"/>
      <c r="E16" s="48"/>
      <c r="F16" s="48"/>
      <c r="G16" s="48"/>
      <c r="H16" s="48"/>
      <c r="I16" s="89"/>
      <c r="J16" s="88">
        <v>59412.068621835882</v>
      </c>
      <c r="K16" s="48">
        <v>785.65255063304107</v>
      </c>
      <c r="L16" s="48">
        <v>17433.11872706452</v>
      </c>
      <c r="M16" s="89">
        <v>0</v>
      </c>
      <c r="N16" s="88"/>
      <c r="O16" s="48">
        <v>0</v>
      </c>
      <c r="P16" s="89"/>
      <c r="Q16" s="88">
        <v>33978.310606963882</v>
      </c>
      <c r="R16" s="48">
        <v>0</v>
      </c>
      <c r="S16" s="48">
        <v>545.65661615711929</v>
      </c>
      <c r="T16" s="48">
        <v>0</v>
      </c>
      <c r="U16" s="48">
        <v>0</v>
      </c>
      <c r="V16" s="89">
        <v>0</v>
      </c>
      <c r="W16" s="48">
        <v>0</v>
      </c>
      <c r="X16" s="48"/>
      <c r="Y16" s="48"/>
      <c r="Z16" s="48"/>
      <c r="AA16" s="48"/>
      <c r="AB16" s="48"/>
      <c r="AC16" s="48">
        <v>0</v>
      </c>
      <c r="AD16" s="48"/>
      <c r="AE16" s="48"/>
      <c r="AF16" s="48">
        <v>0</v>
      </c>
      <c r="AG16" s="48">
        <v>2.336037909426646E-2</v>
      </c>
      <c r="AH16" s="48">
        <v>0</v>
      </c>
      <c r="AI16" s="48">
        <v>0</v>
      </c>
      <c r="AJ16" s="48">
        <v>0.1243562469197269</v>
      </c>
      <c r="AK16" s="48"/>
      <c r="AL16" s="48"/>
      <c r="AM16" s="48">
        <v>0</v>
      </c>
      <c r="AN16" s="48">
        <v>0</v>
      </c>
      <c r="AO16" s="48">
        <v>0</v>
      </c>
      <c r="AP16" s="48"/>
      <c r="AQ16" s="48">
        <v>0</v>
      </c>
      <c r="AR16" s="48"/>
      <c r="AS16" s="48"/>
      <c r="AT16" s="48"/>
      <c r="AU16" s="48">
        <v>0</v>
      </c>
      <c r="AV16" s="48"/>
      <c r="AW16" s="48">
        <v>0</v>
      </c>
      <c r="AX16" s="48">
        <v>0</v>
      </c>
      <c r="AY16" s="358">
        <v>0</v>
      </c>
      <c r="AZ16" s="358">
        <v>0</v>
      </c>
      <c r="BA16" s="358"/>
      <c r="BB16" s="358">
        <f t="shared" ref="BB16:BB40" si="44">6.94/180.8*AY16</f>
        <v>0</v>
      </c>
      <c r="BC16" s="358">
        <f t="shared" si="41"/>
        <v>0</v>
      </c>
      <c r="BD16" s="48">
        <f t="shared" si="42"/>
        <v>0</v>
      </c>
      <c r="BE16" s="48">
        <f t="shared" si="43"/>
        <v>0</v>
      </c>
      <c r="BF16" s="48">
        <v>1765.0451607195259</v>
      </c>
      <c r="BG16" s="48"/>
      <c r="BH16" s="48">
        <v>296.01435598555548</v>
      </c>
      <c r="BI16" s="48">
        <v>457.90991856422801</v>
      </c>
      <c r="BJ16" s="48">
        <v>1011.120886169742</v>
      </c>
    </row>
    <row r="17" spans="1:62" x14ac:dyDescent="0.25">
      <c r="A17" s="357" t="s">
        <v>393</v>
      </c>
      <c r="B17" s="88"/>
      <c r="C17" s="48"/>
      <c r="D17" s="48"/>
      <c r="E17" s="48"/>
      <c r="F17" s="48"/>
      <c r="G17" s="48"/>
      <c r="H17" s="48"/>
      <c r="I17" s="89"/>
      <c r="J17" s="88">
        <v>16.74604885405736</v>
      </c>
      <c r="K17" s="48">
        <v>1.0564315805652189</v>
      </c>
      <c r="L17" s="48">
        <v>5.9402419366161414</v>
      </c>
      <c r="M17" s="89">
        <v>1.2005517678425771E-3</v>
      </c>
      <c r="N17" s="88"/>
      <c r="O17" s="48">
        <v>0</v>
      </c>
      <c r="P17" s="89"/>
      <c r="Q17" s="88">
        <v>8.5750430805981743</v>
      </c>
      <c r="R17" s="48">
        <v>1.3363636363636361E-2</v>
      </c>
      <c r="S17" s="48">
        <v>1.2637345001109199</v>
      </c>
      <c r="T17" s="48">
        <v>4.348533996988199E-4</v>
      </c>
      <c r="U17" s="48">
        <v>0</v>
      </c>
      <c r="V17" s="89">
        <v>0</v>
      </c>
      <c r="W17" s="48">
        <v>0.10800384</v>
      </c>
      <c r="X17" s="48"/>
      <c r="Y17" s="48"/>
      <c r="Z17" s="48"/>
      <c r="AA17" s="48"/>
      <c r="AB17" s="48"/>
      <c r="AC17" s="48">
        <v>6.7911214960893911E-4</v>
      </c>
      <c r="AD17" s="48"/>
      <c r="AE17" s="48"/>
      <c r="AF17" s="48">
        <v>2.191472303499156E-5</v>
      </c>
      <c r="AG17" s="48">
        <v>1.932962145143987E-5</v>
      </c>
      <c r="AH17" s="48">
        <v>0</v>
      </c>
      <c r="AI17" s="48">
        <v>5.6896174248045569E-4</v>
      </c>
      <c r="AJ17" s="48">
        <v>0</v>
      </c>
      <c r="AK17" s="48"/>
      <c r="AL17" s="48"/>
      <c r="AM17" s="48">
        <v>0</v>
      </c>
      <c r="AN17" s="48">
        <v>2.4950820352375161E-3</v>
      </c>
      <c r="AO17" s="48">
        <v>0</v>
      </c>
      <c r="AP17" s="48"/>
      <c r="AQ17" s="48">
        <v>0</v>
      </c>
      <c r="AR17" s="48"/>
      <c r="AS17" s="48"/>
      <c r="AT17" s="48"/>
      <c r="AU17" s="48">
        <v>0</v>
      </c>
      <c r="AV17" s="48"/>
      <c r="AW17" s="48">
        <v>0</v>
      </c>
      <c r="AX17" s="48">
        <v>0</v>
      </c>
      <c r="AY17" s="358">
        <v>1.4878181818181819</v>
      </c>
      <c r="AZ17" s="358">
        <v>8.018181818181816E-2</v>
      </c>
      <c r="BA17" s="358"/>
      <c r="BB17" s="358">
        <f t="shared" si="44"/>
        <v>5.7109835076428E-2</v>
      </c>
      <c r="BC17" s="358">
        <f t="shared" si="41"/>
        <v>3.6633431085043976E-3</v>
      </c>
      <c r="BD17" s="48">
        <f t="shared" si="42"/>
        <v>6.07731781849324E-2</v>
      </c>
      <c r="BE17" s="48">
        <f t="shared" si="43"/>
        <v>0.4520893543845535</v>
      </c>
      <c r="BF17" s="48">
        <v>0.1928421730855617</v>
      </c>
      <c r="BG17" s="48"/>
      <c r="BH17" s="48">
        <v>7.7897406348408305E-2</v>
      </c>
      <c r="BI17" s="48">
        <v>0.1129994109196895</v>
      </c>
      <c r="BJ17" s="48">
        <v>1.9453558174638761E-3</v>
      </c>
    </row>
    <row r="18" spans="1:62" x14ac:dyDescent="0.25">
      <c r="A18" s="357" t="s">
        <v>394</v>
      </c>
      <c r="B18" s="88"/>
      <c r="C18" s="48"/>
      <c r="D18" s="48"/>
      <c r="E18" s="48"/>
      <c r="F18" s="48"/>
      <c r="G18" s="48"/>
      <c r="H18" s="48"/>
      <c r="I18" s="89"/>
      <c r="J18" s="88">
        <v>72249.122665133647</v>
      </c>
      <c r="K18" s="48">
        <v>1160.7054549138611</v>
      </c>
      <c r="L18" s="48">
        <v>17783.28541014815</v>
      </c>
      <c r="M18" s="89">
        <v>31.946021694876919</v>
      </c>
      <c r="N18" s="88"/>
      <c r="O18" s="48">
        <v>0</v>
      </c>
      <c r="P18" s="89"/>
      <c r="Q18" s="88">
        <v>6740.6105776190288</v>
      </c>
      <c r="R18" s="48">
        <v>4216.8748637237532</v>
      </c>
      <c r="S18" s="48">
        <v>4632.1731457571532</v>
      </c>
      <c r="T18" s="48">
        <v>5217.8502101632293</v>
      </c>
      <c r="U18" s="48">
        <v>0</v>
      </c>
      <c r="V18" s="89">
        <v>0</v>
      </c>
      <c r="W18" s="48">
        <v>0</v>
      </c>
      <c r="X18" s="48"/>
      <c r="Y18" s="48"/>
      <c r="Z18" s="48"/>
      <c r="AA18" s="48"/>
      <c r="AB18" s="48"/>
      <c r="AC18" s="48">
        <v>0</v>
      </c>
      <c r="AD18" s="48"/>
      <c r="AE18" s="48"/>
      <c r="AF18" s="48">
        <v>0</v>
      </c>
      <c r="AG18" s="48">
        <v>0</v>
      </c>
      <c r="AH18" s="48">
        <v>0</v>
      </c>
      <c r="AI18" s="48">
        <v>0</v>
      </c>
      <c r="AJ18" s="48">
        <v>0</v>
      </c>
      <c r="AK18" s="48"/>
      <c r="AL18" s="48"/>
      <c r="AM18" s="48">
        <v>0</v>
      </c>
      <c r="AN18" s="48">
        <v>0</v>
      </c>
      <c r="AO18" s="48">
        <v>0</v>
      </c>
      <c r="AP18" s="48"/>
      <c r="AQ18" s="48">
        <v>0</v>
      </c>
      <c r="AR18" s="48"/>
      <c r="AS18" s="48"/>
      <c r="AT18" s="48"/>
      <c r="AU18" s="48">
        <v>0</v>
      </c>
      <c r="AV18" s="48"/>
      <c r="AW18" s="48">
        <v>0</v>
      </c>
      <c r="AX18" s="48">
        <v>0</v>
      </c>
      <c r="AY18" s="358">
        <v>0</v>
      </c>
      <c r="AZ18" s="358">
        <v>0</v>
      </c>
      <c r="BA18" s="358"/>
      <c r="BB18" s="358">
        <f t="shared" si="44"/>
        <v>0</v>
      </c>
      <c r="BC18" s="358">
        <f t="shared" si="41"/>
        <v>0</v>
      </c>
      <c r="BD18" s="48">
        <f t="shared" si="42"/>
        <v>0</v>
      </c>
      <c r="BE18" s="48">
        <f t="shared" si="43"/>
        <v>0</v>
      </c>
      <c r="BF18" s="48">
        <v>958.38065084630762</v>
      </c>
      <c r="BG18" s="48"/>
      <c r="BH18" s="48">
        <v>0</v>
      </c>
      <c r="BI18" s="48">
        <v>0</v>
      </c>
      <c r="BJ18" s="48">
        <v>958.38065084630762</v>
      </c>
    </row>
    <row r="19" spans="1:62" x14ac:dyDescent="0.25">
      <c r="A19" s="357" t="s">
        <v>395</v>
      </c>
      <c r="B19" s="88"/>
      <c r="C19" s="48"/>
      <c r="D19" s="48"/>
      <c r="E19" s="48"/>
      <c r="F19" s="48"/>
      <c r="G19" s="48"/>
      <c r="H19" s="48"/>
      <c r="I19" s="89"/>
      <c r="J19" s="88">
        <v>74830.771491090971</v>
      </c>
      <c r="K19" s="48">
        <v>7974.5307908721479</v>
      </c>
      <c r="L19" s="48">
        <v>20863.597999374801</v>
      </c>
      <c r="M19" s="89">
        <v>0</v>
      </c>
      <c r="N19" s="88"/>
      <c r="O19" s="48">
        <v>0</v>
      </c>
      <c r="P19" s="89"/>
      <c r="Q19" s="88">
        <v>35931.752110034387</v>
      </c>
      <c r="R19" s="48">
        <v>0</v>
      </c>
      <c r="S19" s="48">
        <v>2920.9037199124732</v>
      </c>
      <c r="T19" s="48">
        <v>5795.4438887152237</v>
      </c>
      <c r="U19" s="48">
        <v>0</v>
      </c>
      <c r="V19" s="89">
        <v>0</v>
      </c>
      <c r="W19" s="48">
        <v>0</v>
      </c>
      <c r="X19" s="48"/>
      <c r="Y19" s="48"/>
      <c r="Z19" s="48"/>
      <c r="AA19" s="48"/>
      <c r="AB19" s="48"/>
      <c r="AC19" s="48">
        <v>0</v>
      </c>
      <c r="AD19" s="48"/>
      <c r="AE19" s="48"/>
      <c r="AF19" s="48">
        <v>0</v>
      </c>
      <c r="AG19" s="48">
        <v>0</v>
      </c>
      <c r="AH19" s="48">
        <v>0</v>
      </c>
      <c r="AI19" s="48">
        <v>0</v>
      </c>
      <c r="AJ19" s="48">
        <v>0</v>
      </c>
      <c r="AK19" s="48"/>
      <c r="AL19" s="48"/>
      <c r="AM19" s="48">
        <v>0</v>
      </c>
      <c r="AN19" s="48">
        <v>0</v>
      </c>
      <c r="AO19" s="48">
        <v>0</v>
      </c>
      <c r="AP19" s="48"/>
      <c r="AQ19" s="48">
        <v>0</v>
      </c>
      <c r="AR19" s="48"/>
      <c r="AS19" s="48"/>
      <c r="AT19" s="48"/>
      <c r="AU19" s="48">
        <v>0</v>
      </c>
      <c r="AV19" s="48"/>
      <c r="AW19" s="48">
        <v>0</v>
      </c>
      <c r="AX19" s="48">
        <v>0</v>
      </c>
      <c r="AY19" s="358">
        <v>0</v>
      </c>
      <c r="AZ19" s="358">
        <v>0</v>
      </c>
      <c r="BA19" s="358"/>
      <c r="BB19" s="358">
        <f t="shared" si="44"/>
        <v>0</v>
      </c>
      <c r="BC19" s="358">
        <f t="shared" si="41"/>
        <v>0</v>
      </c>
      <c r="BD19" s="48">
        <f t="shared" si="42"/>
        <v>0</v>
      </c>
      <c r="BE19" s="48">
        <f t="shared" si="43"/>
        <v>0</v>
      </c>
      <c r="BF19" s="48">
        <v>0</v>
      </c>
      <c r="BG19" s="48"/>
      <c r="BH19" s="48">
        <v>0</v>
      </c>
      <c r="BI19" s="48">
        <v>0</v>
      </c>
      <c r="BJ19" s="48">
        <v>0</v>
      </c>
    </row>
    <row r="20" spans="1:62" x14ac:dyDescent="0.25">
      <c r="A20" s="357" t="s">
        <v>396</v>
      </c>
      <c r="B20" s="88"/>
      <c r="C20" s="48"/>
      <c r="D20" s="48"/>
      <c r="E20" s="48"/>
      <c r="F20" s="48"/>
      <c r="G20" s="48"/>
      <c r="H20" s="48"/>
      <c r="I20" s="89"/>
      <c r="J20" s="88">
        <v>208765.47254150701</v>
      </c>
      <c r="K20" s="48">
        <v>32328.026819923369</v>
      </c>
      <c r="L20" s="48">
        <v>51585.121328224777</v>
      </c>
      <c r="M20" s="89">
        <v>0</v>
      </c>
      <c r="N20" s="88"/>
      <c r="O20" s="48">
        <v>5373.1417624521073</v>
      </c>
      <c r="P20" s="89"/>
      <c r="Q20" s="88">
        <v>51535.255427841643</v>
      </c>
      <c r="R20" s="48">
        <v>495.74712643678163</v>
      </c>
      <c r="S20" s="48">
        <v>53625.012771392081</v>
      </c>
      <c r="T20" s="48">
        <v>10712.91826309068</v>
      </c>
      <c r="U20" s="48">
        <v>0</v>
      </c>
      <c r="V20" s="89">
        <v>0</v>
      </c>
      <c r="W20" s="48">
        <v>0</v>
      </c>
      <c r="X20" s="48"/>
      <c r="Y20" s="48"/>
      <c r="Z20" s="48"/>
      <c r="AA20" s="48"/>
      <c r="AB20" s="48"/>
      <c r="AC20" s="48">
        <v>0</v>
      </c>
      <c r="AD20" s="48"/>
      <c r="AE20" s="48"/>
      <c r="AF20" s="48">
        <v>0</v>
      </c>
      <c r="AG20" s="48">
        <v>0</v>
      </c>
      <c r="AH20" s="48">
        <v>0</v>
      </c>
      <c r="AI20" s="48">
        <v>0</v>
      </c>
      <c r="AJ20" s="48">
        <v>0</v>
      </c>
      <c r="AK20" s="48"/>
      <c r="AL20" s="48"/>
      <c r="AM20" s="48">
        <v>64.303959131545341</v>
      </c>
      <c r="AN20" s="48">
        <v>0</v>
      </c>
      <c r="AO20" s="48">
        <v>0</v>
      </c>
      <c r="AP20" s="48"/>
      <c r="AQ20" s="48">
        <v>0</v>
      </c>
      <c r="AR20" s="48"/>
      <c r="AS20" s="48"/>
      <c r="AT20" s="48"/>
      <c r="AU20" s="48">
        <v>0</v>
      </c>
      <c r="AV20" s="48"/>
      <c r="AW20" s="48">
        <v>0</v>
      </c>
      <c r="AX20" s="48">
        <v>0</v>
      </c>
      <c r="AY20" s="358">
        <v>55193.180076628349</v>
      </c>
      <c r="AZ20" s="358">
        <v>0</v>
      </c>
      <c r="BA20" s="358"/>
      <c r="BB20" s="358">
        <f t="shared" si="44"/>
        <v>2118.5877750652694</v>
      </c>
      <c r="BC20" s="358">
        <f t="shared" si="41"/>
        <v>0</v>
      </c>
      <c r="BD20" s="48">
        <f t="shared" si="42"/>
        <v>2118.5877750652694</v>
      </c>
      <c r="BE20" s="48">
        <f t="shared" si="43"/>
        <v>16771.033888549824</v>
      </c>
      <c r="BF20" s="48">
        <v>1868.45466155811</v>
      </c>
      <c r="BG20" s="48"/>
      <c r="BH20" s="48">
        <v>0</v>
      </c>
      <c r="BI20" s="48">
        <v>26.692209450830141</v>
      </c>
      <c r="BJ20" s="48">
        <v>1841.7624521072801</v>
      </c>
    </row>
    <row r="21" spans="1:62" x14ac:dyDescent="0.25">
      <c r="A21" s="357" t="s">
        <v>397</v>
      </c>
      <c r="B21" s="88"/>
      <c r="C21" s="48"/>
      <c r="D21" s="48"/>
      <c r="E21" s="48"/>
      <c r="F21" s="48"/>
      <c r="G21" s="48"/>
      <c r="H21" s="48"/>
      <c r="I21" s="89"/>
      <c r="J21" s="88">
        <v>0</v>
      </c>
      <c r="K21" s="48">
        <v>0</v>
      </c>
      <c r="L21" s="48">
        <v>0</v>
      </c>
      <c r="M21" s="89">
        <v>0</v>
      </c>
      <c r="N21" s="88"/>
      <c r="O21" s="48">
        <v>0</v>
      </c>
      <c r="P21" s="89"/>
      <c r="Q21" s="88">
        <v>0</v>
      </c>
      <c r="R21" s="48">
        <v>0</v>
      </c>
      <c r="S21" s="48">
        <v>0</v>
      </c>
      <c r="T21" s="48">
        <v>0</v>
      </c>
      <c r="U21" s="48">
        <v>0</v>
      </c>
      <c r="V21" s="89">
        <v>0</v>
      </c>
      <c r="W21" s="48">
        <v>0</v>
      </c>
      <c r="X21" s="48"/>
      <c r="Y21" s="48"/>
      <c r="Z21" s="48"/>
      <c r="AA21" s="48"/>
      <c r="AB21" s="48"/>
      <c r="AC21" s="48">
        <v>0</v>
      </c>
      <c r="AD21" s="48"/>
      <c r="AE21" s="48"/>
      <c r="AF21" s="48">
        <v>0</v>
      </c>
      <c r="AG21" s="48">
        <v>0</v>
      </c>
      <c r="AH21" s="48">
        <v>0</v>
      </c>
      <c r="AI21" s="48">
        <v>0</v>
      </c>
      <c r="AJ21" s="48">
        <v>0</v>
      </c>
      <c r="AK21" s="48"/>
      <c r="AL21" s="48"/>
      <c r="AM21" s="48">
        <v>0</v>
      </c>
      <c r="AN21" s="48">
        <v>0</v>
      </c>
      <c r="AO21" s="48">
        <v>0</v>
      </c>
      <c r="AP21" s="48"/>
      <c r="AQ21" s="48">
        <v>0</v>
      </c>
      <c r="AR21" s="48"/>
      <c r="AS21" s="48"/>
      <c r="AT21" s="48"/>
      <c r="AU21" s="48">
        <v>0</v>
      </c>
      <c r="AV21" s="48"/>
      <c r="AW21" s="48">
        <v>0</v>
      </c>
      <c r="AX21" s="48">
        <v>0</v>
      </c>
      <c r="AY21" s="358">
        <v>0</v>
      </c>
      <c r="AZ21" s="358">
        <v>0</v>
      </c>
      <c r="BA21" s="358"/>
      <c r="BB21" s="358">
        <f t="shared" si="44"/>
        <v>0</v>
      </c>
      <c r="BC21" s="358">
        <f t="shared" si="41"/>
        <v>0</v>
      </c>
      <c r="BD21" s="48">
        <f t="shared" si="42"/>
        <v>0</v>
      </c>
      <c r="BE21" s="48">
        <f t="shared" si="43"/>
        <v>0</v>
      </c>
      <c r="BF21" s="48">
        <v>0</v>
      </c>
      <c r="BG21" s="48"/>
      <c r="BH21" s="48">
        <v>0</v>
      </c>
      <c r="BI21" s="48">
        <v>0</v>
      </c>
      <c r="BJ21" s="48">
        <v>0</v>
      </c>
    </row>
    <row r="22" spans="1:62" x14ac:dyDescent="0.25">
      <c r="A22" s="357" t="s">
        <v>398</v>
      </c>
      <c r="B22" s="88"/>
      <c r="C22" s="48"/>
      <c r="D22" s="48"/>
      <c r="E22" s="48"/>
      <c r="F22" s="48"/>
      <c r="G22" s="48"/>
      <c r="H22" s="48"/>
      <c r="I22" s="89"/>
      <c r="J22" s="88">
        <v>5976711.6490173889</v>
      </c>
      <c r="K22" s="48">
        <v>251561.4171201952</v>
      </c>
      <c r="L22" s="48">
        <v>739728.9327821841</v>
      </c>
      <c r="M22" s="89">
        <v>0</v>
      </c>
      <c r="N22" s="88"/>
      <c r="O22" s="48">
        <v>85558.703209273939</v>
      </c>
      <c r="P22" s="89"/>
      <c r="Q22" s="88">
        <v>943443.90892617451</v>
      </c>
      <c r="R22" s="48">
        <v>0</v>
      </c>
      <c r="S22" s="48">
        <v>355791.12813910918</v>
      </c>
      <c r="T22" s="48">
        <v>233511.8946979866</v>
      </c>
      <c r="U22" s="48">
        <v>0</v>
      </c>
      <c r="V22" s="89">
        <v>0</v>
      </c>
      <c r="W22" s="48">
        <v>0</v>
      </c>
      <c r="X22" s="48"/>
      <c r="Y22" s="48"/>
      <c r="Z22" s="48"/>
      <c r="AA22" s="48"/>
      <c r="AB22" s="48"/>
      <c r="AC22" s="48">
        <v>0</v>
      </c>
      <c r="AD22" s="48"/>
      <c r="AE22" s="48"/>
      <c r="AF22" s="48">
        <v>0</v>
      </c>
      <c r="AG22" s="48">
        <v>0</v>
      </c>
      <c r="AH22" s="48">
        <v>0</v>
      </c>
      <c r="AI22" s="48">
        <v>0</v>
      </c>
      <c r="AJ22" s="48">
        <v>39.272587248322139</v>
      </c>
      <c r="AK22" s="48"/>
      <c r="AL22" s="48"/>
      <c r="AM22" s="48">
        <v>1401.6478950579619</v>
      </c>
      <c r="AN22" s="48">
        <v>0</v>
      </c>
      <c r="AO22" s="48">
        <v>0</v>
      </c>
      <c r="AP22" s="48"/>
      <c r="AQ22" s="48">
        <v>0</v>
      </c>
      <c r="AR22" s="48"/>
      <c r="AS22" s="48"/>
      <c r="AT22" s="48"/>
      <c r="AU22" s="48">
        <v>0</v>
      </c>
      <c r="AV22" s="48"/>
      <c r="AW22" s="48">
        <v>0</v>
      </c>
      <c r="AX22" s="48">
        <v>0</v>
      </c>
      <c r="AY22" s="358">
        <v>0</v>
      </c>
      <c r="AZ22" s="358">
        <v>0</v>
      </c>
      <c r="BA22" s="358"/>
      <c r="BB22" s="358">
        <f t="shared" si="44"/>
        <v>0</v>
      </c>
      <c r="BC22" s="358">
        <f t="shared" si="41"/>
        <v>0</v>
      </c>
      <c r="BD22" s="48">
        <f t="shared" si="42"/>
        <v>0</v>
      </c>
      <c r="BE22" s="48">
        <f t="shared" si="43"/>
        <v>0</v>
      </c>
      <c r="BF22" s="48">
        <v>66274.143868212312</v>
      </c>
      <c r="BG22" s="48"/>
      <c r="BH22" s="48">
        <v>0</v>
      </c>
      <c r="BI22" s="48">
        <v>581.81610738255029</v>
      </c>
      <c r="BJ22" s="48">
        <v>65692.327760829765</v>
      </c>
    </row>
    <row r="23" spans="1:62" x14ac:dyDescent="0.25">
      <c r="A23" s="357" t="s">
        <v>399</v>
      </c>
      <c r="B23" s="88"/>
      <c r="C23" s="48"/>
      <c r="D23" s="48"/>
      <c r="E23" s="48"/>
      <c r="F23" s="48"/>
      <c r="G23" s="48"/>
      <c r="H23" s="48"/>
      <c r="I23" s="89"/>
      <c r="J23" s="88">
        <v>995306.57431538287</v>
      </c>
      <c r="K23" s="48">
        <v>41892.724127821843</v>
      </c>
      <c r="L23" s="48">
        <v>123187.6512112568</v>
      </c>
      <c r="M23" s="89">
        <v>0</v>
      </c>
      <c r="N23" s="88"/>
      <c r="O23" s="48">
        <v>14248.15932153752</v>
      </c>
      <c r="P23" s="89"/>
      <c r="Q23" s="88">
        <v>157112.46922986579</v>
      </c>
      <c r="R23" s="48">
        <v>0</v>
      </c>
      <c r="S23" s="48">
        <v>59250.18132306284</v>
      </c>
      <c r="T23" s="48">
        <v>38886.922713087253</v>
      </c>
      <c r="U23" s="48">
        <v>0</v>
      </c>
      <c r="V23" s="89">
        <v>0</v>
      </c>
      <c r="W23" s="48">
        <v>0</v>
      </c>
      <c r="X23" s="48"/>
      <c r="Y23" s="48"/>
      <c r="Z23" s="48"/>
      <c r="AA23" s="48"/>
      <c r="AB23" s="48"/>
      <c r="AC23" s="48">
        <v>0</v>
      </c>
      <c r="AD23" s="48"/>
      <c r="AE23" s="48"/>
      <c r="AF23" s="48">
        <v>0</v>
      </c>
      <c r="AG23" s="48">
        <v>0</v>
      </c>
      <c r="AH23" s="48">
        <v>0</v>
      </c>
      <c r="AI23" s="48">
        <v>0</v>
      </c>
      <c r="AJ23" s="48">
        <v>6.5400953859060396</v>
      </c>
      <c r="AK23" s="48"/>
      <c r="AL23" s="48"/>
      <c r="AM23" s="48">
        <v>233.41754575960951</v>
      </c>
      <c r="AN23" s="48">
        <v>0</v>
      </c>
      <c r="AO23" s="48">
        <v>0</v>
      </c>
      <c r="AP23" s="48"/>
      <c r="AQ23" s="48">
        <v>0</v>
      </c>
      <c r="AR23" s="48"/>
      <c r="AS23" s="48"/>
      <c r="AT23" s="48"/>
      <c r="AU23" s="48">
        <v>0</v>
      </c>
      <c r="AV23" s="48"/>
      <c r="AW23" s="48">
        <v>0</v>
      </c>
      <c r="AX23" s="48">
        <v>0</v>
      </c>
      <c r="AY23" s="358">
        <v>0</v>
      </c>
      <c r="AZ23" s="358">
        <v>0</v>
      </c>
      <c r="BA23" s="358"/>
      <c r="BB23" s="358">
        <f t="shared" si="44"/>
        <v>0</v>
      </c>
      <c r="BC23" s="358">
        <f t="shared" si="41"/>
        <v>0</v>
      </c>
      <c r="BD23" s="48">
        <f t="shared" si="42"/>
        <v>0</v>
      </c>
      <c r="BE23" s="48">
        <f t="shared" si="43"/>
        <v>0</v>
      </c>
      <c r="BF23" s="48">
        <v>11036.68622025625</v>
      </c>
      <c r="BG23" s="48"/>
      <c r="BH23" s="48">
        <v>0</v>
      </c>
      <c r="BI23" s="48">
        <v>96.890302013422811</v>
      </c>
      <c r="BJ23" s="48">
        <v>10939.795918242829</v>
      </c>
    </row>
    <row r="24" spans="1:62" x14ac:dyDescent="0.25">
      <c r="A24" s="357" t="s">
        <v>400</v>
      </c>
      <c r="B24" s="88"/>
      <c r="C24" s="48"/>
      <c r="D24" s="48"/>
      <c r="E24" s="48"/>
      <c r="F24" s="48"/>
      <c r="G24" s="48"/>
      <c r="H24" s="48"/>
      <c r="I24" s="89"/>
      <c r="J24" s="88">
        <v>200483.37142857141</v>
      </c>
      <c r="K24" s="48">
        <v>12547.04761904762</v>
      </c>
      <c r="L24" s="48">
        <v>20212.19047619047</v>
      </c>
      <c r="M24" s="89">
        <v>0</v>
      </c>
      <c r="N24" s="88"/>
      <c r="O24" s="48">
        <v>3142.2857142857142</v>
      </c>
      <c r="P24" s="89"/>
      <c r="Q24" s="88">
        <v>30436.666666666661</v>
      </c>
      <c r="R24" s="48">
        <v>15.61904761904762</v>
      </c>
      <c r="S24" s="48">
        <v>11769.14285714285</v>
      </c>
      <c r="T24" s="48">
        <v>8409.2380952380954</v>
      </c>
      <c r="U24" s="48">
        <v>0</v>
      </c>
      <c r="V24" s="89">
        <v>0</v>
      </c>
      <c r="W24" s="48">
        <v>0</v>
      </c>
      <c r="X24" s="48"/>
      <c r="Y24" s="48"/>
      <c r="Z24" s="48"/>
      <c r="AA24" s="48"/>
      <c r="AB24" s="48"/>
      <c r="AC24" s="48">
        <v>0</v>
      </c>
      <c r="AD24" s="48"/>
      <c r="AE24" s="48"/>
      <c r="AF24" s="48">
        <v>0</v>
      </c>
      <c r="AG24" s="48">
        <v>0</v>
      </c>
      <c r="AH24" s="48">
        <v>0</v>
      </c>
      <c r="AI24" s="48">
        <v>0</v>
      </c>
      <c r="AJ24" s="48">
        <v>0.91428571428571392</v>
      </c>
      <c r="AK24" s="48"/>
      <c r="AL24" s="48"/>
      <c r="AM24" s="48">
        <v>50.476190476190467</v>
      </c>
      <c r="AN24" s="48">
        <v>0</v>
      </c>
      <c r="AO24" s="48">
        <v>0</v>
      </c>
      <c r="AP24" s="48"/>
      <c r="AQ24" s="48">
        <v>0</v>
      </c>
      <c r="AR24" s="48"/>
      <c r="AS24" s="48"/>
      <c r="AT24" s="48"/>
      <c r="AU24" s="48">
        <v>0</v>
      </c>
      <c r="AV24" s="48"/>
      <c r="AW24" s="48">
        <v>0</v>
      </c>
      <c r="AX24" s="48">
        <v>0</v>
      </c>
      <c r="AY24" s="358">
        <v>1054.285714285714</v>
      </c>
      <c r="AZ24" s="358">
        <v>0</v>
      </c>
      <c r="BA24" s="358"/>
      <c r="BB24" s="358">
        <f t="shared" si="44"/>
        <v>40.468710493046764</v>
      </c>
      <c r="BC24" s="358">
        <f t="shared" si="41"/>
        <v>0</v>
      </c>
      <c r="BD24" s="48">
        <f t="shared" si="42"/>
        <v>40.468710493046764</v>
      </c>
      <c r="BE24" s="48">
        <f t="shared" si="43"/>
        <v>320.35591024020215</v>
      </c>
      <c r="BF24" s="48">
        <v>1466.6666666666661</v>
      </c>
      <c r="BG24" s="48"/>
      <c r="BH24" s="48">
        <v>0</v>
      </c>
      <c r="BI24" s="48">
        <v>20.952380952380949</v>
      </c>
      <c r="BJ24" s="48">
        <v>1445.7142857142851</v>
      </c>
    </row>
    <row r="25" spans="1:62" x14ac:dyDescent="0.25">
      <c r="A25" s="357" t="s">
        <v>401</v>
      </c>
      <c r="B25" s="88"/>
      <c r="C25" s="48"/>
      <c r="D25" s="48"/>
      <c r="E25" s="48"/>
      <c r="F25" s="48"/>
      <c r="G25" s="48"/>
      <c r="H25" s="48"/>
      <c r="I25" s="89"/>
      <c r="J25" s="88">
        <v>2244.692571455601</v>
      </c>
      <c r="K25" s="48">
        <v>2.1485123595637008</v>
      </c>
      <c r="L25" s="48">
        <v>10051.850160805239</v>
      </c>
      <c r="M25" s="89">
        <v>0</v>
      </c>
      <c r="N25" s="88"/>
      <c r="O25" s="48">
        <v>0</v>
      </c>
      <c r="P25" s="89"/>
      <c r="Q25" s="88">
        <v>0</v>
      </c>
      <c r="R25" s="48">
        <v>0</v>
      </c>
      <c r="S25" s="48">
        <v>1911.159146833885</v>
      </c>
      <c r="T25" s="48">
        <v>0</v>
      </c>
      <c r="U25" s="48">
        <v>0</v>
      </c>
      <c r="V25" s="89">
        <v>0</v>
      </c>
      <c r="W25" s="48">
        <v>0</v>
      </c>
      <c r="X25" s="48"/>
      <c r="Y25" s="48"/>
      <c r="Z25" s="48"/>
      <c r="AA25" s="48"/>
      <c r="AB25" s="48"/>
      <c r="AC25" s="48">
        <v>0</v>
      </c>
      <c r="AD25" s="48"/>
      <c r="AE25" s="48"/>
      <c r="AF25" s="48">
        <v>0</v>
      </c>
      <c r="AG25" s="48">
        <v>0</v>
      </c>
      <c r="AH25" s="48">
        <v>22.90571394505141</v>
      </c>
      <c r="AI25" s="48">
        <v>0</v>
      </c>
      <c r="AJ25" s="48">
        <v>0</v>
      </c>
      <c r="AK25" s="48"/>
      <c r="AL25" s="48"/>
      <c r="AM25" s="48">
        <v>279.82163783484509</v>
      </c>
      <c r="AN25" s="48">
        <v>1277.5612119127791</v>
      </c>
      <c r="AO25" s="48">
        <v>0</v>
      </c>
      <c r="AP25" s="48"/>
      <c r="AQ25" s="48">
        <v>2.0340981495605508</v>
      </c>
      <c r="AR25" s="48"/>
      <c r="AS25" s="48"/>
      <c r="AT25" s="48"/>
      <c r="AU25" s="48">
        <v>1.50346384967519</v>
      </c>
      <c r="AV25" s="48"/>
      <c r="AW25" s="48">
        <v>0.1768780999617868</v>
      </c>
      <c r="AX25" s="48">
        <v>30.83361248839509</v>
      </c>
      <c r="AY25" s="358">
        <v>0</v>
      </c>
      <c r="AZ25" s="358">
        <v>0</v>
      </c>
      <c r="BA25" s="358"/>
      <c r="BB25" s="358">
        <f t="shared" si="44"/>
        <v>0</v>
      </c>
      <c r="BC25" s="358">
        <f t="shared" si="41"/>
        <v>0</v>
      </c>
      <c r="BD25" s="48">
        <f t="shared" si="42"/>
        <v>0</v>
      </c>
      <c r="BE25" s="48">
        <f t="shared" si="43"/>
        <v>0</v>
      </c>
      <c r="BF25" s="48">
        <v>862.00174614906416</v>
      </c>
      <c r="BG25" s="48"/>
      <c r="BH25" s="48">
        <v>859.85323378950045</v>
      </c>
      <c r="BI25" s="48">
        <v>2.1485123595637008</v>
      </c>
      <c r="BJ25" s="48">
        <v>0</v>
      </c>
    </row>
    <row r="26" spans="1:62" x14ac:dyDescent="0.25">
      <c r="A26" s="357" t="s">
        <v>402</v>
      </c>
      <c r="B26" s="88"/>
      <c r="C26" s="48"/>
      <c r="D26" s="48"/>
      <c r="E26" s="48"/>
      <c r="F26" s="48"/>
      <c r="G26" s="48"/>
      <c r="H26" s="48"/>
      <c r="I26" s="89"/>
      <c r="J26" s="88">
        <v>0</v>
      </c>
      <c r="K26" s="48">
        <v>0</v>
      </c>
      <c r="L26" s="48">
        <v>0</v>
      </c>
      <c r="M26" s="89">
        <v>0</v>
      </c>
      <c r="N26" s="88"/>
      <c r="O26" s="48">
        <v>0</v>
      </c>
      <c r="P26" s="89"/>
      <c r="Q26" s="88">
        <v>0</v>
      </c>
      <c r="R26" s="48">
        <v>0</v>
      </c>
      <c r="S26" s="48">
        <v>0</v>
      </c>
      <c r="T26" s="48">
        <v>0</v>
      </c>
      <c r="U26" s="48">
        <v>0</v>
      </c>
      <c r="V26" s="89">
        <v>0</v>
      </c>
      <c r="W26" s="48">
        <v>0</v>
      </c>
      <c r="X26" s="48"/>
      <c r="Y26" s="48"/>
      <c r="Z26" s="48"/>
      <c r="AA26" s="48"/>
      <c r="AB26" s="48"/>
      <c r="AC26" s="48">
        <v>0</v>
      </c>
      <c r="AD26" s="48"/>
      <c r="AE26" s="48"/>
      <c r="AF26" s="48">
        <v>0</v>
      </c>
      <c r="AG26" s="48">
        <v>0</v>
      </c>
      <c r="AH26" s="48">
        <v>0</v>
      </c>
      <c r="AI26" s="48">
        <v>0</v>
      </c>
      <c r="AJ26" s="48">
        <v>0</v>
      </c>
      <c r="AK26" s="48"/>
      <c r="AL26" s="48"/>
      <c r="AM26" s="48">
        <v>0</v>
      </c>
      <c r="AN26" s="48">
        <v>0</v>
      </c>
      <c r="AO26" s="48">
        <v>0</v>
      </c>
      <c r="AP26" s="48"/>
      <c r="AQ26" s="48">
        <v>0</v>
      </c>
      <c r="AR26" s="48"/>
      <c r="AS26" s="48"/>
      <c r="AT26" s="48"/>
      <c r="AU26" s="48">
        <v>0</v>
      </c>
      <c r="AV26" s="48"/>
      <c r="AW26" s="48">
        <v>0</v>
      </c>
      <c r="AX26" s="48">
        <v>0</v>
      </c>
      <c r="AY26" s="358">
        <v>0</v>
      </c>
      <c r="AZ26" s="358">
        <v>0</v>
      </c>
      <c r="BA26" s="358"/>
      <c r="BB26" s="358">
        <f t="shared" si="44"/>
        <v>0</v>
      </c>
      <c r="BC26" s="358">
        <f t="shared" si="41"/>
        <v>0</v>
      </c>
      <c r="BD26" s="48">
        <f t="shared" si="42"/>
        <v>0</v>
      </c>
      <c r="BE26" s="48">
        <f t="shared" si="43"/>
        <v>0</v>
      </c>
      <c r="BF26" s="48">
        <v>0</v>
      </c>
      <c r="BG26" s="48"/>
      <c r="BH26" s="48">
        <v>0</v>
      </c>
      <c r="BI26" s="48">
        <v>0</v>
      </c>
      <c r="BJ26" s="48">
        <v>0</v>
      </c>
    </row>
    <row r="27" spans="1:62" x14ac:dyDescent="0.25">
      <c r="A27" s="357" t="s">
        <v>403</v>
      </c>
      <c r="B27" s="88"/>
      <c r="C27" s="48"/>
      <c r="D27" s="48"/>
      <c r="E27" s="48"/>
      <c r="F27" s="48"/>
      <c r="G27" s="48"/>
      <c r="H27" s="48"/>
      <c r="I27" s="89"/>
      <c r="J27" s="88">
        <v>0</v>
      </c>
      <c r="K27" s="48">
        <v>0</v>
      </c>
      <c r="L27" s="48">
        <v>0</v>
      </c>
      <c r="M27" s="89">
        <v>0</v>
      </c>
      <c r="N27" s="88"/>
      <c r="O27" s="48">
        <v>0</v>
      </c>
      <c r="P27" s="89"/>
      <c r="Q27" s="88">
        <v>0</v>
      </c>
      <c r="R27" s="48">
        <v>0</v>
      </c>
      <c r="S27" s="48">
        <v>0</v>
      </c>
      <c r="T27" s="48">
        <v>0</v>
      </c>
      <c r="U27" s="48">
        <v>0</v>
      </c>
      <c r="V27" s="89">
        <v>0</v>
      </c>
      <c r="W27" s="48">
        <v>0</v>
      </c>
      <c r="X27" s="48"/>
      <c r="Y27" s="48"/>
      <c r="Z27" s="48"/>
      <c r="AA27" s="48"/>
      <c r="AB27" s="48"/>
      <c r="AC27" s="48">
        <v>0</v>
      </c>
      <c r="AD27" s="48"/>
      <c r="AE27" s="48"/>
      <c r="AF27" s="48">
        <v>0</v>
      </c>
      <c r="AG27" s="48">
        <v>0</v>
      </c>
      <c r="AH27" s="48">
        <v>0</v>
      </c>
      <c r="AI27" s="48">
        <v>0</v>
      </c>
      <c r="AJ27" s="48">
        <v>0</v>
      </c>
      <c r="AK27" s="48"/>
      <c r="AL27" s="48"/>
      <c r="AM27" s="48">
        <v>0</v>
      </c>
      <c r="AN27" s="48">
        <v>0</v>
      </c>
      <c r="AO27" s="48">
        <v>0</v>
      </c>
      <c r="AP27" s="48"/>
      <c r="AQ27" s="48">
        <v>0</v>
      </c>
      <c r="AR27" s="48"/>
      <c r="AS27" s="48"/>
      <c r="AT27" s="48"/>
      <c r="AU27" s="48">
        <v>0</v>
      </c>
      <c r="AV27" s="48"/>
      <c r="AW27" s="48">
        <v>0</v>
      </c>
      <c r="AX27" s="48">
        <v>0</v>
      </c>
      <c r="AY27" s="358">
        <v>0</v>
      </c>
      <c r="AZ27" s="358">
        <v>0</v>
      </c>
      <c r="BA27" s="358"/>
      <c r="BB27" s="358">
        <f t="shared" si="44"/>
        <v>0</v>
      </c>
      <c r="BC27" s="358">
        <f t="shared" si="41"/>
        <v>0</v>
      </c>
      <c r="BD27" s="48">
        <f t="shared" si="42"/>
        <v>0</v>
      </c>
      <c r="BE27" s="48">
        <f t="shared" si="43"/>
        <v>0</v>
      </c>
      <c r="BF27" s="48">
        <v>0</v>
      </c>
      <c r="BG27" s="48"/>
      <c r="BH27" s="48">
        <v>0</v>
      </c>
      <c r="BI27" s="48">
        <v>0</v>
      </c>
      <c r="BJ27" s="48">
        <v>0</v>
      </c>
    </row>
    <row r="28" spans="1:62" x14ac:dyDescent="0.25">
      <c r="A28" s="357" t="s">
        <v>404</v>
      </c>
      <c r="B28" s="88"/>
      <c r="C28" s="48"/>
      <c r="D28" s="48"/>
      <c r="E28" s="48"/>
      <c r="F28" s="48"/>
      <c r="G28" s="48"/>
      <c r="H28" s="48"/>
      <c r="I28" s="89"/>
      <c r="J28" s="88">
        <v>96.061914940664849</v>
      </c>
      <c r="K28" s="48">
        <v>0</v>
      </c>
      <c r="L28" s="48">
        <v>0</v>
      </c>
      <c r="M28" s="89">
        <v>0</v>
      </c>
      <c r="N28" s="88"/>
      <c r="O28" s="48">
        <v>64.590550600722352</v>
      </c>
      <c r="P28" s="89"/>
      <c r="Q28" s="88">
        <v>115.3475344586128</v>
      </c>
      <c r="R28" s="48">
        <v>0</v>
      </c>
      <c r="S28" s="48">
        <v>0</v>
      </c>
      <c r="T28" s="48">
        <v>0</v>
      </c>
      <c r="U28" s="48">
        <v>0</v>
      </c>
      <c r="V28" s="89">
        <v>0</v>
      </c>
      <c r="W28" s="48">
        <v>0</v>
      </c>
      <c r="X28" s="48"/>
      <c r="Y28" s="48"/>
      <c r="Z28" s="48"/>
      <c r="AA28" s="48"/>
      <c r="AB28" s="48"/>
      <c r="AC28" s="48">
        <v>0</v>
      </c>
      <c r="AD28" s="48"/>
      <c r="AE28" s="48"/>
      <c r="AF28" s="48">
        <v>0</v>
      </c>
      <c r="AG28" s="48">
        <v>0</v>
      </c>
      <c r="AH28" s="48">
        <v>0</v>
      </c>
      <c r="AI28" s="48">
        <v>0</v>
      </c>
      <c r="AJ28" s="48">
        <v>0</v>
      </c>
      <c r="AK28" s="48"/>
      <c r="AL28" s="48"/>
      <c r="AM28" s="48">
        <v>0</v>
      </c>
      <c r="AN28" s="48">
        <v>0</v>
      </c>
      <c r="AO28" s="48">
        <v>0</v>
      </c>
      <c r="AP28" s="48"/>
      <c r="AQ28" s="48">
        <v>0</v>
      </c>
      <c r="AR28" s="48"/>
      <c r="AS28" s="48"/>
      <c r="AT28" s="48"/>
      <c r="AU28" s="48">
        <v>0</v>
      </c>
      <c r="AV28" s="48"/>
      <c r="AW28" s="48">
        <v>0</v>
      </c>
      <c r="AX28" s="48">
        <v>0</v>
      </c>
      <c r="AY28" s="358">
        <v>0</v>
      </c>
      <c r="AZ28" s="358">
        <v>0</v>
      </c>
      <c r="BA28" s="358"/>
      <c r="BB28" s="358">
        <f t="shared" si="44"/>
        <v>0</v>
      </c>
      <c r="BC28" s="358">
        <f t="shared" si="41"/>
        <v>0</v>
      </c>
      <c r="BD28" s="48">
        <f t="shared" si="42"/>
        <v>0</v>
      </c>
      <c r="BE28" s="48">
        <f t="shared" si="43"/>
        <v>0</v>
      </c>
      <c r="BF28" s="48">
        <v>0</v>
      </c>
      <c r="BG28" s="48"/>
      <c r="BH28" s="48">
        <v>0</v>
      </c>
      <c r="BI28" s="48">
        <v>0</v>
      </c>
      <c r="BJ28" s="48">
        <v>0</v>
      </c>
    </row>
    <row r="29" spans="1:62" x14ac:dyDescent="0.25">
      <c r="A29" s="357" t="s">
        <v>405</v>
      </c>
      <c r="B29" s="88"/>
      <c r="C29" s="48"/>
      <c r="D29" s="48"/>
      <c r="E29" s="48"/>
      <c r="F29" s="48"/>
      <c r="G29" s="48"/>
      <c r="H29" s="48"/>
      <c r="I29" s="89"/>
      <c r="J29" s="88">
        <v>475.72250532743112</v>
      </c>
      <c r="K29" s="48">
        <v>0</v>
      </c>
      <c r="L29" s="48">
        <v>2979.331175080571</v>
      </c>
      <c r="M29" s="89">
        <v>0</v>
      </c>
      <c r="N29" s="88"/>
      <c r="O29" s="48">
        <v>0</v>
      </c>
      <c r="P29" s="89"/>
      <c r="Q29" s="88">
        <v>0</v>
      </c>
      <c r="R29" s="48">
        <v>0</v>
      </c>
      <c r="S29" s="48">
        <v>73.188077742681699</v>
      </c>
      <c r="T29" s="48">
        <v>0</v>
      </c>
      <c r="U29" s="48">
        <v>0</v>
      </c>
      <c r="V29" s="89">
        <v>0</v>
      </c>
      <c r="W29" s="48">
        <v>0</v>
      </c>
      <c r="X29" s="48"/>
      <c r="Y29" s="48"/>
      <c r="Z29" s="48"/>
      <c r="AA29" s="48"/>
      <c r="AB29" s="48"/>
      <c r="AC29" s="48">
        <v>0</v>
      </c>
      <c r="AD29" s="48"/>
      <c r="AE29" s="48"/>
      <c r="AF29" s="48">
        <v>0</v>
      </c>
      <c r="AG29" s="48">
        <v>0</v>
      </c>
      <c r="AH29" s="48">
        <v>8.3838997106560011</v>
      </c>
      <c r="AI29" s="48">
        <v>0</v>
      </c>
      <c r="AJ29" s="48">
        <v>0</v>
      </c>
      <c r="AK29" s="48"/>
      <c r="AL29" s="48"/>
      <c r="AM29" s="48">
        <v>61.600622198372093</v>
      </c>
      <c r="AN29" s="48">
        <v>146.37612357775461</v>
      </c>
      <c r="AO29" s="48">
        <v>0</v>
      </c>
      <c r="AP29" s="48"/>
      <c r="AQ29" s="48">
        <v>0.74451619052157536</v>
      </c>
      <c r="AR29" s="48"/>
      <c r="AS29" s="48"/>
      <c r="AT29" s="48"/>
      <c r="AU29" s="48">
        <v>0.55029457560290351</v>
      </c>
      <c r="AV29" s="48"/>
      <c r="AW29" s="48">
        <v>6.4740538306223935E-2</v>
      </c>
      <c r="AX29" s="48">
        <v>0</v>
      </c>
      <c r="AY29" s="358">
        <v>0</v>
      </c>
      <c r="AZ29" s="358">
        <v>0</v>
      </c>
      <c r="BA29" s="358"/>
      <c r="BB29" s="358">
        <f t="shared" si="44"/>
        <v>0</v>
      </c>
      <c r="BC29" s="358">
        <f t="shared" si="41"/>
        <v>0</v>
      </c>
      <c r="BD29" s="48">
        <f t="shared" si="42"/>
        <v>0</v>
      </c>
      <c r="BE29" s="48">
        <f t="shared" si="43"/>
        <v>0</v>
      </c>
      <c r="BF29" s="48">
        <v>98.891172262757067</v>
      </c>
      <c r="BG29" s="48"/>
      <c r="BH29" s="48">
        <v>98.891172262757067</v>
      </c>
      <c r="BI29" s="48">
        <v>0</v>
      </c>
      <c r="BJ29" s="48">
        <v>0</v>
      </c>
    </row>
    <row r="30" spans="1:62" x14ac:dyDescent="0.25">
      <c r="A30" s="357" t="s">
        <v>406</v>
      </c>
      <c r="B30" s="88"/>
      <c r="C30" s="48"/>
      <c r="D30" s="48"/>
      <c r="E30" s="48"/>
      <c r="F30" s="48"/>
      <c r="G30" s="48"/>
      <c r="H30" s="48"/>
      <c r="I30" s="89"/>
      <c r="J30" s="88">
        <v>5576280.4985150313</v>
      </c>
      <c r="K30" s="48">
        <v>147550.5871423397</v>
      </c>
      <c r="L30" s="48">
        <v>3309.0510684534588</v>
      </c>
      <c r="M30" s="89">
        <v>0</v>
      </c>
      <c r="N30" s="88"/>
      <c r="O30" s="48">
        <v>78976.018833755894</v>
      </c>
      <c r="P30" s="89"/>
      <c r="Q30" s="88">
        <v>73074.877761680546</v>
      </c>
      <c r="R30" s="48">
        <v>0</v>
      </c>
      <c r="S30" s="48">
        <v>211668.96667873961</v>
      </c>
      <c r="T30" s="48">
        <v>0</v>
      </c>
      <c r="U30" s="48">
        <v>0</v>
      </c>
      <c r="V30" s="89">
        <v>0</v>
      </c>
      <c r="W30" s="48">
        <v>0</v>
      </c>
      <c r="X30" s="48"/>
      <c r="Y30" s="48"/>
      <c r="Z30" s="48"/>
      <c r="AA30" s="48"/>
      <c r="AB30" s="48"/>
      <c r="AC30" s="48">
        <v>0</v>
      </c>
      <c r="AD30" s="48"/>
      <c r="AE30" s="48"/>
      <c r="AF30" s="48">
        <v>0</v>
      </c>
      <c r="AG30" s="48">
        <v>0</v>
      </c>
      <c r="AH30" s="48">
        <v>0</v>
      </c>
      <c r="AI30" s="48">
        <v>0</v>
      </c>
      <c r="AJ30" s="48">
        <v>0</v>
      </c>
      <c r="AK30" s="48"/>
      <c r="AL30" s="48"/>
      <c r="AM30" s="48">
        <v>0</v>
      </c>
      <c r="AN30" s="48">
        <v>0</v>
      </c>
      <c r="AO30" s="48">
        <v>0</v>
      </c>
      <c r="AP30" s="48"/>
      <c r="AQ30" s="48">
        <v>0</v>
      </c>
      <c r="AR30" s="48"/>
      <c r="AS30" s="48"/>
      <c r="AT30" s="48"/>
      <c r="AU30" s="48">
        <v>0</v>
      </c>
      <c r="AV30" s="48"/>
      <c r="AW30" s="48">
        <v>0</v>
      </c>
      <c r="AX30" s="48">
        <v>0</v>
      </c>
      <c r="AY30" s="358">
        <v>0</v>
      </c>
      <c r="AZ30" s="358">
        <v>0</v>
      </c>
      <c r="BA30" s="358"/>
      <c r="BB30" s="358">
        <f t="shared" si="44"/>
        <v>0</v>
      </c>
      <c r="BC30" s="358">
        <f t="shared" si="41"/>
        <v>0</v>
      </c>
      <c r="BD30" s="48">
        <f t="shared" si="42"/>
        <v>0</v>
      </c>
      <c r="BE30" s="48">
        <f t="shared" si="43"/>
        <v>0</v>
      </c>
      <c r="BF30" s="48">
        <v>0</v>
      </c>
      <c r="BG30" s="48"/>
      <c r="BH30" s="48">
        <v>0</v>
      </c>
      <c r="BI30" s="48">
        <v>0</v>
      </c>
      <c r="BJ30" s="48">
        <v>0</v>
      </c>
    </row>
    <row r="31" spans="1:62" x14ac:dyDescent="0.25">
      <c r="A31" s="357" t="s">
        <v>407</v>
      </c>
      <c r="B31" s="88"/>
      <c r="C31" s="48"/>
      <c r="D31" s="48"/>
      <c r="E31" s="48"/>
      <c r="F31" s="48"/>
      <c r="G31" s="48"/>
      <c r="H31" s="48"/>
      <c r="I31" s="89"/>
      <c r="J31" s="88">
        <v>7763576.6751177115</v>
      </c>
      <c r="K31" s="48">
        <v>205427.308946034</v>
      </c>
      <c r="L31" s="48">
        <v>4607.0264396957618</v>
      </c>
      <c r="M31" s="89">
        <v>0</v>
      </c>
      <c r="N31" s="88"/>
      <c r="O31" s="48">
        <v>109954.36436073889</v>
      </c>
      <c r="P31" s="89"/>
      <c r="Q31" s="88">
        <v>101738.50054328141</v>
      </c>
      <c r="R31" s="48">
        <v>0</v>
      </c>
      <c r="S31" s="48">
        <v>294696.12459253898</v>
      </c>
      <c r="T31" s="48">
        <v>0</v>
      </c>
      <c r="U31" s="48">
        <v>0</v>
      </c>
      <c r="V31" s="89">
        <v>0</v>
      </c>
      <c r="W31" s="48">
        <v>0</v>
      </c>
      <c r="X31" s="48"/>
      <c r="Y31" s="48"/>
      <c r="Z31" s="48"/>
      <c r="AA31" s="48"/>
      <c r="AB31" s="48"/>
      <c r="AC31" s="48">
        <v>0</v>
      </c>
      <c r="AD31" s="48"/>
      <c r="AE31" s="48"/>
      <c r="AF31" s="48">
        <v>0</v>
      </c>
      <c r="AG31" s="48">
        <v>0</v>
      </c>
      <c r="AH31" s="48">
        <v>0</v>
      </c>
      <c r="AI31" s="48">
        <v>0</v>
      </c>
      <c r="AJ31" s="48">
        <v>0</v>
      </c>
      <c r="AK31" s="48"/>
      <c r="AL31" s="48"/>
      <c r="AM31" s="48">
        <v>0</v>
      </c>
      <c r="AN31" s="48">
        <v>0</v>
      </c>
      <c r="AO31" s="48">
        <v>0</v>
      </c>
      <c r="AP31" s="48"/>
      <c r="AQ31" s="48">
        <v>0</v>
      </c>
      <c r="AR31" s="48"/>
      <c r="AS31" s="48"/>
      <c r="AT31" s="48"/>
      <c r="AU31" s="48">
        <v>0</v>
      </c>
      <c r="AV31" s="48"/>
      <c r="AW31" s="48">
        <v>0</v>
      </c>
      <c r="AX31" s="48">
        <v>0</v>
      </c>
      <c r="AY31" s="358">
        <v>0</v>
      </c>
      <c r="AZ31" s="358">
        <v>0</v>
      </c>
      <c r="BA31" s="358"/>
      <c r="BB31" s="358">
        <f t="shared" si="44"/>
        <v>0</v>
      </c>
      <c r="BC31" s="358">
        <f t="shared" si="41"/>
        <v>0</v>
      </c>
      <c r="BD31" s="48">
        <f t="shared" si="42"/>
        <v>0</v>
      </c>
      <c r="BE31" s="48">
        <f t="shared" si="43"/>
        <v>0</v>
      </c>
      <c r="BF31" s="48">
        <v>0</v>
      </c>
      <c r="BG31" s="48"/>
      <c r="BH31" s="48">
        <v>0</v>
      </c>
      <c r="BI31" s="48">
        <v>0</v>
      </c>
      <c r="BJ31" s="48">
        <v>0</v>
      </c>
    </row>
    <row r="32" spans="1:62" x14ac:dyDescent="0.25">
      <c r="A32" s="357" t="s">
        <v>408</v>
      </c>
      <c r="B32" s="88"/>
      <c r="C32" s="48"/>
      <c r="D32" s="48"/>
      <c r="E32" s="48"/>
      <c r="F32" s="48"/>
      <c r="G32" s="48"/>
      <c r="H32" s="48"/>
      <c r="I32" s="89"/>
      <c r="J32" s="88">
        <v>2978623.524590164</v>
      </c>
      <c r="K32" s="48">
        <v>126015.8196721311</v>
      </c>
      <c r="L32" s="48">
        <v>0</v>
      </c>
      <c r="M32" s="89">
        <v>0</v>
      </c>
      <c r="N32" s="88"/>
      <c r="O32" s="48">
        <v>169467.21311475409</v>
      </c>
      <c r="P32" s="89"/>
      <c r="Q32" s="88">
        <v>16946.721311475409</v>
      </c>
      <c r="R32" s="48">
        <v>0</v>
      </c>
      <c r="S32" s="48">
        <v>16946.721311475409</v>
      </c>
      <c r="T32" s="48">
        <v>0</v>
      </c>
      <c r="U32" s="48">
        <v>0</v>
      </c>
      <c r="V32" s="89">
        <v>0</v>
      </c>
      <c r="W32" s="48">
        <v>0</v>
      </c>
      <c r="X32" s="48"/>
      <c r="Y32" s="48"/>
      <c r="Z32" s="48"/>
      <c r="AA32" s="48"/>
      <c r="AB32" s="48"/>
      <c r="AC32" s="48">
        <v>0</v>
      </c>
      <c r="AD32" s="48"/>
      <c r="AE32" s="48"/>
      <c r="AF32" s="48">
        <v>0</v>
      </c>
      <c r="AG32" s="48">
        <v>0</v>
      </c>
      <c r="AH32" s="48">
        <v>0</v>
      </c>
      <c r="AI32" s="48">
        <v>0</v>
      </c>
      <c r="AJ32" s="48">
        <v>0</v>
      </c>
      <c r="AK32" s="48"/>
      <c r="AL32" s="48"/>
      <c r="AM32" s="48">
        <v>0</v>
      </c>
      <c r="AN32" s="48">
        <v>0</v>
      </c>
      <c r="AO32" s="48">
        <v>0</v>
      </c>
      <c r="AP32" s="48"/>
      <c r="AQ32" s="48">
        <v>0</v>
      </c>
      <c r="AR32" s="48"/>
      <c r="AS32" s="48"/>
      <c r="AT32" s="48"/>
      <c r="AU32" s="48">
        <v>0</v>
      </c>
      <c r="AV32" s="48"/>
      <c r="AW32" s="48">
        <v>0</v>
      </c>
      <c r="AX32" s="48">
        <v>0</v>
      </c>
      <c r="AY32" s="358">
        <v>0</v>
      </c>
      <c r="AZ32" s="358">
        <v>0</v>
      </c>
      <c r="BA32" s="358"/>
      <c r="BB32" s="358">
        <f t="shared" si="44"/>
        <v>0</v>
      </c>
      <c r="BC32" s="358">
        <f t="shared" si="41"/>
        <v>0</v>
      </c>
      <c r="BD32" s="48">
        <f t="shared" si="42"/>
        <v>0</v>
      </c>
      <c r="BE32" s="48">
        <f t="shared" si="43"/>
        <v>0</v>
      </c>
      <c r="BF32" s="48">
        <v>0</v>
      </c>
      <c r="BG32" s="48"/>
      <c r="BH32" s="48">
        <v>0</v>
      </c>
      <c r="BI32" s="48">
        <v>0</v>
      </c>
      <c r="BJ32" s="48">
        <v>0</v>
      </c>
    </row>
    <row r="33" spans="1:62" x14ac:dyDescent="0.25">
      <c r="A33" s="357" t="s">
        <v>409</v>
      </c>
      <c r="B33" s="88"/>
      <c r="C33" s="48"/>
      <c r="D33" s="48"/>
      <c r="E33" s="48"/>
      <c r="F33" s="48"/>
      <c r="G33" s="48"/>
      <c r="H33" s="48"/>
      <c r="I33" s="89"/>
      <c r="J33" s="88">
        <v>5188017.1579391891</v>
      </c>
      <c r="K33" s="48">
        <v>428146.39780405408</v>
      </c>
      <c r="L33" s="48">
        <v>0</v>
      </c>
      <c r="M33" s="89">
        <v>0</v>
      </c>
      <c r="N33" s="88"/>
      <c r="O33" s="48">
        <v>386123.31081081083</v>
      </c>
      <c r="P33" s="89"/>
      <c r="Q33" s="88">
        <v>77224.662162162174</v>
      </c>
      <c r="R33" s="48">
        <v>0</v>
      </c>
      <c r="S33" s="48">
        <v>16088.471283783791</v>
      </c>
      <c r="T33" s="48">
        <v>0</v>
      </c>
      <c r="U33" s="48">
        <v>0</v>
      </c>
      <c r="V33" s="89">
        <v>0</v>
      </c>
      <c r="W33" s="48">
        <v>0</v>
      </c>
      <c r="X33" s="48"/>
      <c r="Y33" s="48"/>
      <c r="Z33" s="48"/>
      <c r="AA33" s="48"/>
      <c r="AB33" s="48"/>
      <c r="AC33" s="48">
        <v>0</v>
      </c>
      <c r="AD33" s="48"/>
      <c r="AE33" s="48"/>
      <c r="AF33" s="48">
        <v>0</v>
      </c>
      <c r="AG33" s="48">
        <v>0</v>
      </c>
      <c r="AH33" s="48">
        <v>0</v>
      </c>
      <c r="AI33" s="48">
        <v>0</v>
      </c>
      <c r="AJ33" s="48">
        <v>0</v>
      </c>
      <c r="AK33" s="48"/>
      <c r="AL33" s="48"/>
      <c r="AM33" s="48">
        <v>0</v>
      </c>
      <c r="AN33" s="48">
        <v>0</v>
      </c>
      <c r="AO33" s="48">
        <v>0</v>
      </c>
      <c r="AP33" s="48"/>
      <c r="AQ33" s="48">
        <v>0</v>
      </c>
      <c r="AR33" s="48"/>
      <c r="AS33" s="48"/>
      <c r="AT33" s="48"/>
      <c r="AU33" s="48">
        <v>0</v>
      </c>
      <c r="AV33" s="48"/>
      <c r="AW33" s="48">
        <v>0</v>
      </c>
      <c r="AX33" s="48">
        <v>0</v>
      </c>
      <c r="AY33" s="358">
        <v>0</v>
      </c>
      <c r="AZ33" s="358">
        <v>0</v>
      </c>
      <c r="BA33" s="358"/>
      <c r="BB33" s="358">
        <f t="shared" si="44"/>
        <v>0</v>
      </c>
      <c r="BC33" s="358">
        <f t="shared" si="41"/>
        <v>0</v>
      </c>
      <c r="BD33" s="48">
        <f t="shared" si="42"/>
        <v>0</v>
      </c>
      <c r="BE33" s="48">
        <f t="shared" si="43"/>
        <v>0</v>
      </c>
      <c r="BF33" s="48">
        <v>0</v>
      </c>
      <c r="BG33" s="48"/>
      <c r="BH33" s="48">
        <v>0</v>
      </c>
      <c r="BI33" s="48">
        <v>0</v>
      </c>
      <c r="BJ33" s="48">
        <v>0</v>
      </c>
    </row>
    <row r="34" spans="1:62" x14ac:dyDescent="0.25">
      <c r="A34" s="357" t="s">
        <v>410</v>
      </c>
      <c r="B34" s="88"/>
      <c r="C34" s="48"/>
      <c r="D34" s="48"/>
      <c r="E34" s="48"/>
      <c r="F34" s="48"/>
      <c r="G34" s="48"/>
      <c r="H34" s="48"/>
      <c r="I34" s="89"/>
      <c r="J34" s="88">
        <v>264963.58765631408</v>
      </c>
      <c r="K34" s="48">
        <v>1524.746367430995</v>
      </c>
      <c r="L34" s="48">
        <v>10579.397336149381</v>
      </c>
      <c r="M34" s="89">
        <v>985.95969584473289</v>
      </c>
      <c r="N34" s="88"/>
      <c r="O34" s="48">
        <v>0</v>
      </c>
      <c r="P34" s="89"/>
      <c r="Q34" s="88">
        <v>11877.537399214571</v>
      </c>
      <c r="R34" s="48">
        <v>492.13057215788808</v>
      </c>
      <c r="S34" s="48">
        <v>20492.900220723852</v>
      </c>
      <c r="T34" s="48">
        <v>2215.2028092440792</v>
      </c>
      <c r="U34" s="48">
        <v>0</v>
      </c>
      <c r="V34" s="89">
        <v>0</v>
      </c>
      <c r="W34" s="48">
        <v>0</v>
      </c>
      <c r="X34" s="48"/>
      <c r="Y34" s="48"/>
      <c r="Z34" s="48"/>
      <c r="AA34" s="48"/>
      <c r="AB34" s="48"/>
      <c r="AC34" s="48">
        <v>0.96081402813992167</v>
      </c>
      <c r="AD34" s="48"/>
      <c r="AE34" s="48"/>
      <c r="AF34" s="48">
        <v>3.1005148894694159E-2</v>
      </c>
      <c r="AG34" s="48">
        <v>2.7347723729979512E-2</v>
      </c>
      <c r="AH34" s="48">
        <v>0</v>
      </c>
      <c r="AI34" s="48">
        <v>0.80497223317967215</v>
      </c>
      <c r="AJ34" s="48">
        <v>0</v>
      </c>
      <c r="AK34" s="48"/>
      <c r="AL34" s="48"/>
      <c r="AM34" s="48">
        <v>0</v>
      </c>
      <c r="AN34" s="48">
        <v>3.530064691371789</v>
      </c>
      <c r="AO34" s="48">
        <v>0</v>
      </c>
      <c r="AP34" s="48"/>
      <c r="AQ34" s="48">
        <v>0</v>
      </c>
      <c r="AR34" s="48"/>
      <c r="AS34" s="48"/>
      <c r="AT34" s="48"/>
      <c r="AU34" s="48">
        <v>0</v>
      </c>
      <c r="AV34" s="48"/>
      <c r="AW34" s="48">
        <v>0</v>
      </c>
      <c r="AX34" s="48">
        <v>0</v>
      </c>
      <c r="AY34" s="358">
        <v>0</v>
      </c>
      <c r="AZ34" s="358">
        <v>0</v>
      </c>
      <c r="BA34" s="358"/>
      <c r="BB34" s="358">
        <f t="shared" si="44"/>
        <v>0</v>
      </c>
      <c r="BC34" s="358">
        <f t="shared" si="41"/>
        <v>0</v>
      </c>
      <c r="BD34" s="48">
        <f t="shared" si="42"/>
        <v>0</v>
      </c>
      <c r="BE34" s="48">
        <f t="shared" si="43"/>
        <v>0</v>
      </c>
      <c r="BF34" s="48">
        <v>3632.7631517999389</v>
      </c>
      <c r="BG34" s="48"/>
      <c r="BH34" s="48">
        <v>7.4176471401820452</v>
      </c>
      <c r="BI34" s="48">
        <v>0.51218652470598836</v>
      </c>
      <c r="BJ34" s="48">
        <v>3624.8333181350508</v>
      </c>
    </row>
    <row r="35" spans="1:62" x14ac:dyDescent="0.25">
      <c r="A35" s="357" t="s">
        <v>411</v>
      </c>
      <c r="B35" s="88"/>
      <c r="C35" s="48"/>
      <c r="D35" s="48"/>
      <c r="E35" s="48"/>
      <c r="F35" s="48"/>
      <c r="G35" s="48"/>
      <c r="H35" s="48"/>
      <c r="I35" s="89"/>
      <c r="J35" s="88">
        <v>183838.69033310961</v>
      </c>
      <c r="K35" s="48">
        <v>1059.201042348943</v>
      </c>
      <c r="L35" s="48">
        <v>7352.5769248138959</v>
      </c>
      <c r="M35" s="89">
        <v>683.52477939417042</v>
      </c>
      <c r="N35" s="88"/>
      <c r="O35" s="48">
        <v>0</v>
      </c>
      <c r="P35" s="89"/>
      <c r="Q35" s="88">
        <v>8988.4742943151959</v>
      </c>
      <c r="R35" s="48">
        <v>341.17242024761362</v>
      </c>
      <c r="S35" s="48">
        <v>14224.71358702583</v>
      </c>
      <c r="T35" s="48">
        <v>1536.7498194666121</v>
      </c>
      <c r="U35" s="48">
        <v>0</v>
      </c>
      <c r="V35" s="89">
        <v>0</v>
      </c>
      <c r="W35" s="48">
        <v>0</v>
      </c>
      <c r="X35" s="48"/>
      <c r="Y35" s="48"/>
      <c r="Z35" s="48"/>
      <c r="AA35" s="48"/>
      <c r="AB35" s="48"/>
      <c r="AC35" s="48">
        <v>0.66745213620280985</v>
      </c>
      <c r="AD35" s="48"/>
      <c r="AE35" s="48"/>
      <c r="AF35" s="48">
        <v>2.1538458283246579E-2</v>
      </c>
      <c r="AG35" s="48">
        <v>1.8997741591259221E-2</v>
      </c>
      <c r="AH35" s="48">
        <v>0</v>
      </c>
      <c r="AI35" s="48">
        <v>0.55919295606024955</v>
      </c>
      <c r="AJ35" s="48">
        <v>0</v>
      </c>
      <c r="AK35" s="48"/>
      <c r="AL35" s="48"/>
      <c r="AM35" s="48">
        <v>0</v>
      </c>
      <c r="AN35" s="48">
        <v>2.4522427339571391</v>
      </c>
      <c r="AO35" s="48">
        <v>0</v>
      </c>
      <c r="AP35" s="48"/>
      <c r="AQ35" s="48">
        <v>0</v>
      </c>
      <c r="AR35" s="48"/>
      <c r="AS35" s="48"/>
      <c r="AT35" s="48"/>
      <c r="AU35" s="48">
        <v>0</v>
      </c>
      <c r="AV35" s="48"/>
      <c r="AW35" s="48">
        <v>0</v>
      </c>
      <c r="AX35" s="48">
        <v>0</v>
      </c>
      <c r="AY35" s="358">
        <v>0</v>
      </c>
      <c r="AZ35" s="358">
        <v>0</v>
      </c>
      <c r="BA35" s="358"/>
      <c r="BB35" s="358">
        <f t="shared" si="44"/>
        <v>0</v>
      </c>
      <c r="BC35" s="358">
        <f t="shared" si="41"/>
        <v>0</v>
      </c>
      <c r="BD35" s="48">
        <f t="shared" si="42"/>
        <v>0</v>
      </c>
      <c r="BE35" s="48">
        <f t="shared" si="43"/>
        <v>0</v>
      </c>
      <c r="BF35" s="48">
        <v>1547.9291980538351</v>
      </c>
      <c r="BG35" s="48"/>
      <c r="BH35" s="48">
        <v>5.1528436141777219</v>
      </c>
      <c r="BI35" s="48">
        <v>0.35580245504025959</v>
      </c>
      <c r="BJ35" s="48">
        <v>1542.4205519846171</v>
      </c>
    </row>
    <row r="36" spans="1:62" x14ac:dyDescent="0.25">
      <c r="A36" s="357" t="s">
        <v>412</v>
      </c>
      <c r="B36" s="88"/>
      <c r="C36" s="48"/>
      <c r="D36" s="48"/>
      <c r="E36" s="48"/>
      <c r="F36" s="48"/>
      <c r="G36" s="48"/>
      <c r="H36" s="48"/>
      <c r="I36" s="89"/>
      <c r="J36" s="88">
        <v>3435.1550684255621</v>
      </c>
      <c r="K36" s="48">
        <v>21.307149489124921</v>
      </c>
      <c r="L36" s="48">
        <v>147.8689709798183</v>
      </c>
      <c r="M36" s="89">
        <v>13.77802307213341</v>
      </c>
      <c r="N36" s="88"/>
      <c r="O36" s="48">
        <v>0</v>
      </c>
      <c r="P36" s="89"/>
      <c r="Q36" s="88">
        <v>166.0331130648581</v>
      </c>
      <c r="R36" s="48">
        <v>6.8771435650665733</v>
      </c>
      <c r="S36" s="48">
        <v>286.26495239452191</v>
      </c>
      <c r="T36" s="48">
        <v>30.902015784773031</v>
      </c>
      <c r="U36" s="48">
        <v>0</v>
      </c>
      <c r="V36" s="89">
        <v>0</v>
      </c>
      <c r="W36" s="48">
        <v>0</v>
      </c>
      <c r="X36" s="48"/>
      <c r="Y36" s="48"/>
      <c r="Z36" s="48"/>
      <c r="AA36" s="48"/>
      <c r="AB36" s="48"/>
      <c r="AC36" s="48">
        <v>1.342663184259207E-2</v>
      </c>
      <c r="AD36" s="48"/>
      <c r="AE36" s="48"/>
      <c r="AF36" s="48">
        <v>4.3327294069564178E-4</v>
      </c>
      <c r="AG36" s="48">
        <v>3.8216325688562988E-4</v>
      </c>
      <c r="AH36" s="48">
        <v>0</v>
      </c>
      <c r="AI36" s="48">
        <v>1.1248863465634871E-2</v>
      </c>
      <c r="AJ36" s="48">
        <v>0</v>
      </c>
      <c r="AK36" s="48"/>
      <c r="AL36" s="48"/>
      <c r="AM36" s="48">
        <v>0</v>
      </c>
      <c r="AN36" s="48">
        <v>4.932991984238607E-2</v>
      </c>
      <c r="AO36" s="48">
        <v>0</v>
      </c>
      <c r="AP36" s="48"/>
      <c r="AQ36" s="48">
        <v>0</v>
      </c>
      <c r="AR36" s="48"/>
      <c r="AS36" s="48"/>
      <c r="AT36" s="48"/>
      <c r="AU36" s="48">
        <v>0</v>
      </c>
      <c r="AV36" s="48"/>
      <c r="AW36" s="48">
        <v>0</v>
      </c>
      <c r="AX36" s="48">
        <v>0</v>
      </c>
      <c r="AY36" s="358">
        <v>0</v>
      </c>
      <c r="AZ36" s="358">
        <v>0</v>
      </c>
      <c r="BA36" s="358"/>
      <c r="BB36" s="358">
        <f t="shared" si="44"/>
        <v>0</v>
      </c>
      <c r="BC36" s="358">
        <f t="shared" si="41"/>
        <v>0</v>
      </c>
      <c r="BD36" s="48">
        <f t="shared" si="42"/>
        <v>0</v>
      </c>
      <c r="BE36" s="48">
        <f t="shared" si="43"/>
        <v>0</v>
      </c>
      <c r="BF36" s="48">
        <v>19.921062392222719</v>
      </c>
      <c r="BG36" s="48"/>
      <c r="BH36" s="48">
        <v>0.1036558734287928</v>
      </c>
      <c r="BI36" s="48">
        <v>7.1574099675431862E-3</v>
      </c>
      <c r="BJ36" s="48">
        <v>19.81024910882639</v>
      </c>
    </row>
    <row r="37" spans="1:62" x14ac:dyDescent="0.25">
      <c r="A37" s="357" t="s">
        <v>413</v>
      </c>
      <c r="B37" s="88"/>
      <c r="C37" s="48"/>
      <c r="D37" s="48"/>
      <c r="E37" s="48"/>
      <c r="F37" s="48"/>
      <c r="G37" s="48"/>
      <c r="H37" s="48"/>
      <c r="I37" s="89"/>
      <c r="J37" s="88">
        <v>4992.1770545899353</v>
      </c>
      <c r="K37" s="48">
        <v>636.52360497579957</v>
      </c>
      <c r="L37" s="48">
        <v>518.75271771155474</v>
      </c>
      <c r="M37" s="89">
        <v>0</v>
      </c>
      <c r="N37" s="88"/>
      <c r="O37" s="48">
        <v>41.64042085414372</v>
      </c>
      <c r="P37" s="89"/>
      <c r="Q37" s="88">
        <v>625.38210516476954</v>
      </c>
      <c r="R37" s="48">
        <v>2.991006660679234</v>
      </c>
      <c r="S37" s="48">
        <v>35.985548886297053</v>
      </c>
      <c r="T37" s="48">
        <v>21.96520516436313</v>
      </c>
      <c r="U37" s="48">
        <v>0</v>
      </c>
      <c r="V37" s="89">
        <v>0</v>
      </c>
      <c r="W37" s="48">
        <v>0</v>
      </c>
      <c r="X37" s="48"/>
      <c r="Y37" s="48"/>
      <c r="Z37" s="48"/>
      <c r="AA37" s="48"/>
      <c r="AB37" s="48"/>
      <c r="AC37" s="48">
        <v>0</v>
      </c>
      <c r="AD37" s="48"/>
      <c r="AE37" s="48"/>
      <c r="AF37" s="48">
        <v>0</v>
      </c>
      <c r="AG37" s="48">
        <v>0</v>
      </c>
      <c r="AH37" s="48">
        <v>0</v>
      </c>
      <c r="AI37" s="48">
        <v>0</v>
      </c>
      <c r="AJ37" s="48">
        <v>0</v>
      </c>
      <c r="AK37" s="48"/>
      <c r="AL37" s="48"/>
      <c r="AM37" s="48">
        <v>0</v>
      </c>
      <c r="AN37" s="48">
        <v>0</v>
      </c>
      <c r="AO37" s="48">
        <v>0</v>
      </c>
      <c r="AP37" s="48"/>
      <c r="AQ37" s="48">
        <v>0</v>
      </c>
      <c r="AR37" s="48"/>
      <c r="AS37" s="48"/>
      <c r="AT37" s="48"/>
      <c r="AU37" s="48">
        <v>0</v>
      </c>
      <c r="AV37" s="48"/>
      <c r="AW37" s="48">
        <v>0</v>
      </c>
      <c r="AX37" s="48">
        <v>0</v>
      </c>
      <c r="AY37" s="358">
        <v>0</v>
      </c>
      <c r="AZ37" s="358">
        <v>0</v>
      </c>
      <c r="BA37" s="358"/>
      <c r="BB37" s="358">
        <f t="shared" si="44"/>
        <v>0</v>
      </c>
      <c r="BC37" s="358">
        <f t="shared" si="41"/>
        <v>0</v>
      </c>
      <c r="BD37" s="48">
        <f t="shared" si="42"/>
        <v>0</v>
      </c>
      <c r="BE37" s="48">
        <f t="shared" si="43"/>
        <v>0</v>
      </c>
      <c r="BF37" s="48">
        <v>24.582335992457459</v>
      </c>
      <c r="BG37" s="48"/>
      <c r="BH37" s="48">
        <v>0</v>
      </c>
      <c r="BI37" s="48">
        <v>0</v>
      </c>
      <c r="BJ37" s="48">
        <v>24.582335992457459</v>
      </c>
    </row>
    <row r="38" spans="1:62" x14ac:dyDescent="0.25">
      <c r="A38" s="357" t="s">
        <v>414</v>
      </c>
      <c r="B38" s="88"/>
      <c r="C38" s="48"/>
      <c r="D38" s="48"/>
      <c r="E38" s="48"/>
      <c r="F38" s="48"/>
      <c r="G38" s="48"/>
      <c r="H38" s="48"/>
      <c r="I38" s="89"/>
      <c r="J38" s="88">
        <v>0</v>
      </c>
      <c r="K38" s="48">
        <v>0</v>
      </c>
      <c r="L38" s="48">
        <v>0</v>
      </c>
      <c r="M38" s="89">
        <v>0</v>
      </c>
      <c r="N38" s="88"/>
      <c r="O38" s="48">
        <v>0</v>
      </c>
      <c r="P38" s="89"/>
      <c r="Q38" s="88">
        <v>0</v>
      </c>
      <c r="R38" s="48">
        <v>0</v>
      </c>
      <c r="S38" s="48">
        <v>0</v>
      </c>
      <c r="T38" s="48">
        <v>0</v>
      </c>
      <c r="U38" s="48">
        <v>0</v>
      </c>
      <c r="V38" s="89">
        <v>0</v>
      </c>
      <c r="W38" s="48">
        <v>0</v>
      </c>
      <c r="X38" s="48"/>
      <c r="Y38" s="48"/>
      <c r="Z38" s="48"/>
      <c r="AA38" s="48"/>
      <c r="AB38" s="48"/>
      <c r="AC38" s="48">
        <v>0</v>
      </c>
      <c r="AD38" s="48"/>
      <c r="AE38" s="48"/>
      <c r="AF38" s="48">
        <v>0</v>
      </c>
      <c r="AG38" s="48">
        <v>0</v>
      </c>
      <c r="AH38" s="48">
        <v>0</v>
      </c>
      <c r="AI38" s="48">
        <v>0</v>
      </c>
      <c r="AJ38" s="48">
        <v>0</v>
      </c>
      <c r="AK38" s="48"/>
      <c r="AL38" s="48"/>
      <c r="AM38" s="48">
        <v>0</v>
      </c>
      <c r="AN38" s="48">
        <v>0</v>
      </c>
      <c r="AO38" s="48">
        <v>0</v>
      </c>
      <c r="AP38" s="48"/>
      <c r="AQ38" s="48">
        <v>0</v>
      </c>
      <c r="AR38" s="48"/>
      <c r="AS38" s="48"/>
      <c r="AT38" s="48"/>
      <c r="AU38" s="48">
        <v>0</v>
      </c>
      <c r="AV38" s="48"/>
      <c r="AW38" s="48">
        <v>0</v>
      </c>
      <c r="AX38" s="48">
        <v>0</v>
      </c>
      <c r="AY38" s="358">
        <v>0</v>
      </c>
      <c r="AZ38" s="358">
        <v>0</v>
      </c>
      <c r="BA38" s="358"/>
      <c r="BB38" s="358">
        <f t="shared" si="44"/>
        <v>0</v>
      </c>
      <c r="BC38" s="358">
        <f t="shared" si="41"/>
        <v>0</v>
      </c>
      <c r="BD38" s="48">
        <f t="shared" si="42"/>
        <v>0</v>
      </c>
      <c r="BE38" s="48">
        <f t="shared" si="43"/>
        <v>0</v>
      </c>
      <c r="BF38" s="48">
        <v>0</v>
      </c>
      <c r="BG38" s="48"/>
      <c r="BH38" s="48">
        <v>0</v>
      </c>
      <c r="BI38" s="48">
        <v>0</v>
      </c>
      <c r="BJ38" s="48">
        <v>0</v>
      </c>
    </row>
    <row r="39" spans="1:62" x14ac:dyDescent="0.25">
      <c r="A39" s="357" t="s">
        <v>415</v>
      </c>
      <c r="B39" s="88"/>
      <c r="C39" s="48"/>
      <c r="D39" s="48"/>
      <c r="E39" s="48"/>
      <c r="F39" s="48"/>
      <c r="G39" s="48"/>
      <c r="H39" s="48"/>
      <c r="I39" s="89"/>
      <c r="J39" s="88">
        <v>0</v>
      </c>
      <c r="K39" s="48">
        <v>0</v>
      </c>
      <c r="L39" s="48">
        <v>0</v>
      </c>
      <c r="M39" s="89">
        <v>0</v>
      </c>
      <c r="N39" s="88"/>
      <c r="O39" s="48">
        <v>0</v>
      </c>
      <c r="P39" s="89"/>
      <c r="Q39" s="88">
        <v>0</v>
      </c>
      <c r="R39" s="48">
        <v>0</v>
      </c>
      <c r="S39" s="48">
        <v>0</v>
      </c>
      <c r="T39" s="48">
        <v>0</v>
      </c>
      <c r="U39" s="48">
        <v>0</v>
      </c>
      <c r="V39" s="89">
        <v>0</v>
      </c>
      <c r="W39" s="48">
        <v>0</v>
      </c>
      <c r="X39" s="48"/>
      <c r="Y39" s="48"/>
      <c r="Z39" s="48"/>
      <c r="AA39" s="48"/>
      <c r="AB39" s="48"/>
      <c r="AC39" s="48">
        <v>0</v>
      </c>
      <c r="AD39" s="48"/>
      <c r="AE39" s="48"/>
      <c r="AF39" s="48">
        <v>0</v>
      </c>
      <c r="AG39" s="48">
        <v>0</v>
      </c>
      <c r="AH39" s="48">
        <v>0</v>
      </c>
      <c r="AI39" s="48">
        <v>0</v>
      </c>
      <c r="AJ39" s="48">
        <v>0</v>
      </c>
      <c r="AK39" s="48"/>
      <c r="AL39" s="48"/>
      <c r="AM39" s="48">
        <v>0</v>
      </c>
      <c r="AN39" s="48">
        <v>0</v>
      </c>
      <c r="AO39" s="48">
        <v>0</v>
      </c>
      <c r="AP39" s="48"/>
      <c r="AQ39" s="48">
        <v>0</v>
      </c>
      <c r="AR39" s="48"/>
      <c r="AS39" s="48"/>
      <c r="AT39" s="48"/>
      <c r="AU39" s="48">
        <v>0</v>
      </c>
      <c r="AV39" s="48"/>
      <c r="AW39" s="48">
        <v>0</v>
      </c>
      <c r="AX39" s="48">
        <v>0</v>
      </c>
      <c r="AY39" s="358">
        <v>0</v>
      </c>
      <c r="AZ39" s="358">
        <v>0</v>
      </c>
      <c r="BA39" s="358"/>
      <c r="BB39" s="358">
        <f t="shared" si="44"/>
        <v>0</v>
      </c>
      <c r="BC39" s="358">
        <f t="shared" si="41"/>
        <v>0</v>
      </c>
      <c r="BD39" s="48">
        <f t="shared" si="42"/>
        <v>0</v>
      </c>
      <c r="BE39" s="48">
        <f t="shared" si="43"/>
        <v>0</v>
      </c>
      <c r="BF39" s="48">
        <v>0</v>
      </c>
      <c r="BG39" s="48"/>
      <c r="BH39" s="48">
        <v>0</v>
      </c>
      <c r="BI39" s="48">
        <v>0</v>
      </c>
      <c r="BJ39" s="48">
        <v>0</v>
      </c>
    </row>
    <row r="40" spans="1:62" ht="13.8" thickBot="1" x14ac:dyDescent="0.3">
      <c r="B40" s="88"/>
      <c r="C40" s="48"/>
      <c r="D40" s="48"/>
      <c r="E40" s="48"/>
      <c r="F40" s="48"/>
      <c r="G40" s="48"/>
      <c r="H40" s="48"/>
      <c r="I40" s="89"/>
      <c r="J40" s="90"/>
      <c r="K40" s="51"/>
      <c r="L40" s="51"/>
      <c r="M40" s="91"/>
      <c r="N40" s="90"/>
      <c r="O40" s="51"/>
      <c r="P40" s="91"/>
      <c r="Q40" s="90"/>
      <c r="R40" s="51"/>
      <c r="S40" s="51"/>
      <c r="T40" s="51"/>
      <c r="U40" s="51"/>
      <c r="V40" s="91"/>
      <c r="W40" s="51"/>
      <c r="X40" s="51"/>
      <c r="Y40" s="51"/>
      <c r="Z40" s="51"/>
      <c r="AA40" s="51"/>
      <c r="AB40" s="51"/>
      <c r="AC40" s="51"/>
      <c r="AD40" s="51"/>
      <c r="AE40" s="51"/>
      <c r="AF40" s="51"/>
      <c r="AG40" s="51"/>
      <c r="AH40" s="51"/>
      <c r="AI40" s="51"/>
      <c r="AJ40" s="51"/>
      <c r="AK40" s="51"/>
      <c r="AL40" s="51"/>
      <c r="AM40" s="51"/>
      <c r="AN40" s="51"/>
      <c r="AO40" s="51"/>
      <c r="AP40" s="51"/>
      <c r="AQ40" s="51"/>
      <c r="AR40" s="51"/>
      <c r="AS40" s="51"/>
      <c r="AT40" s="51"/>
      <c r="AU40" s="51"/>
      <c r="AV40" s="51"/>
      <c r="AW40" s="51"/>
      <c r="AX40" s="51"/>
      <c r="AY40" s="501"/>
      <c r="AZ40" s="501"/>
      <c r="BA40" s="501"/>
      <c r="BB40" s="501">
        <f t="shared" si="44"/>
        <v>0</v>
      </c>
      <c r="BC40" s="501">
        <f t="shared" si="41"/>
        <v>0</v>
      </c>
      <c r="BD40" s="51">
        <f t="shared" si="42"/>
        <v>0</v>
      </c>
      <c r="BE40" s="51">
        <f t="shared" si="43"/>
        <v>0</v>
      </c>
      <c r="BF40" s="51"/>
      <c r="BG40" s="51"/>
      <c r="BH40" s="51"/>
      <c r="BI40" s="51"/>
      <c r="BJ40" s="51"/>
    </row>
    <row r="41" spans="1:62" s="57" customFormat="1" x14ac:dyDescent="0.25">
      <c r="A41" s="83" t="s">
        <v>604</v>
      </c>
      <c r="B41" s="86"/>
      <c r="C41" s="47"/>
      <c r="D41" s="47"/>
      <c r="E41" s="47"/>
      <c r="F41" s="47"/>
      <c r="G41" s="47"/>
      <c r="H41" s="47"/>
      <c r="I41" s="47"/>
      <c r="J41" s="506">
        <f>SUM(J25:J29)</f>
        <v>2816.4769917236968</v>
      </c>
      <c r="K41" s="507">
        <f t="shared" ref="K41:AP41" si="45">SUM(K25:K29)</f>
        <v>2.1485123595637008</v>
      </c>
      <c r="L41" s="507">
        <f t="shared" si="45"/>
        <v>13031.181335885811</v>
      </c>
      <c r="M41" s="508">
        <f t="shared" si="45"/>
        <v>0</v>
      </c>
      <c r="N41" s="506">
        <f t="shared" si="45"/>
        <v>0</v>
      </c>
      <c r="O41" s="507">
        <f t="shared" si="45"/>
        <v>64.590550600722352</v>
      </c>
      <c r="P41" s="508">
        <f t="shared" si="45"/>
        <v>0</v>
      </c>
      <c r="Q41" s="506">
        <f t="shared" si="45"/>
        <v>115.3475344586128</v>
      </c>
      <c r="R41" s="507">
        <f t="shared" si="45"/>
        <v>0</v>
      </c>
      <c r="S41" s="507">
        <f t="shared" si="45"/>
        <v>1984.3472245765668</v>
      </c>
      <c r="T41" s="507">
        <f t="shared" si="45"/>
        <v>0</v>
      </c>
      <c r="U41" s="507">
        <f t="shared" si="45"/>
        <v>0</v>
      </c>
      <c r="V41" s="508">
        <f t="shared" si="45"/>
        <v>0</v>
      </c>
      <c r="W41" s="503">
        <f t="shared" si="45"/>
        <v>0</v>
      </c>
      <c r="X41" s="500">
        <f t="shared" si="45"/>
        <v>0</v>
      </c>
      <c r="Y41" s="500">
        <f t="shared" si="45"/>
        <v>0</v>
      </c>
      <c r="Z41" s="500">
        <f t="shared" si="45"/>
        <v>0</v>
      </c>
      <c r="AA41" s="500">
        <f t="shared" si="45"/>
        <v>0</v>
      </c>
      <c r="AB41" s="500">
        <f t="shared" si="45"/>
        <v>0</v>
      </c>
      <c r="AC41" s="500">
        <f t="shared" si="45"/>
        <v>0</v>
      </c>
      <c r="AD41" s="500">
        <f t="shared" si="45"/>
        <v>0</v>
      </c>
      <c r="AE41" s="500">
        <f t="shared" si="45"/>
        <v>0</v>
      </c>
      <c r="AF41" s="500">
        <f t="shared" si="45"/>
        <v>0</v>
      </c>
      <c r="AG41" s="500">
        <f t="shared" si="45"/>
        <v>0</v>
      </c>
      <c r="AH41" s="500">
        <f t="shared" si="45"/>
        <v>31.289613655707413</v>
      </c>
      <c r="AI41" s="500">
        <f t="shared" si="45"/>
        <v>0</v>
      </c>
      <c r="AJ41" s="500">
        <f t="shared" si="45"/>
        <v>0</v>
      </c>
      <c r="AK41" s="500">
        <f t="shared" si="45"/>
        <v>0</v>
      </c>
      <c r="AL41" s="500">
        <f t="shared" si="45"/>
        <v>0</v>
      </c>
      <c r="AM41" s="500">
        <f t="shared" si="45"/>
        <v>341.42226003321719</v>
      </c>
      <c r="AN41" s="500">
        <f t="shared" si="45"/>
        <v>1423.9373354905338</v>
      </c>
      <c r="AO41" s="500">
        <f t="shared" si="45"/>
        <v>0</v>
      </c>
      <c r="AP41" s="500">
        <f t="shared" si="45"/>
        <v>0</v>
      </c>
      <c r="AQ41" s="500">
        <f t="shared" ref="AQ41:AX41" si="46">SUM(AQ25:AQ29)</f>
        <v>2.7786143400821262</v>
      </c>
      <c r="AR41" s="500">
        <f t="shared" si="46"/>
        <v>0</v>
      </c>
      <c r="AS41" s="500">
        <f t="shared" si="46"/>
        <v>0</v>
      </c>
      <c r="AT41" s="500">
        <f t="shared" si="46"/>
        <v>0</v>
      </c>
      <c r="AU41" s="500">
        <f t="shared" si="46"/>
        <v>2.0537584252780934</v>
      </c>
      <c r="AV41" s="500">
        <f t="shared" si="46"/>
        <v>0</v>
      </c>
      <c r="AW41" s="500">
        <f t="shared" si="46"/>
        <v>0.24161863826801072</v>
      </c>
      <c r="AX41" s="500">
        <f t="shared" si="46"/>
        <v>30.83361248839509</v>
      </c>
      <c r="AY41" s="500"/>
      <c r="AZ41" s="500"/>
      <c r="BA41" s="500"/>
      <c r="BB41" s="500"/>
      <c r="BC41" s="500"/>
      <c r="BD41" s="500">
        <f t="shared" ref="BD41:BE41" si="47">SUM(BD25:BD29)</f>
        <v>0</v>
      </c>
      <c r="BE41" s="500">
        <f t="shared" si="47"/>
        <v>0</v>
      </c>
      <c r="BF41" s="500">
        <f t="shared" ref="BF41:BJ41" si="48">SUM(BF25:BF29)</f>
        <v>960.89291841182126</v>
      </c>
      <c r="BG41" s="500"/>
      <c r="BH41" s="500">
        <f t="shared" si="48"/>
        <v>958.74440605225755</v>
      </c>
      <c r="BI41" s="500">
        <f t="shared" si="48"/>
        <v>2.1485123595637008</v>
      </c>
      <c r="BJ41" s="500">
        <f t="shared" si="48"/>
        <v>0</v>
      </c>
    </row>
    <row r="42" spans="1:62" x14ac:dyDescent="0.25">
      <c r="A42" s="56" t="s">
        <v>605</v>
      </c>
      <c r="B42" s="88"/>
      <c r="C42" s="48"/>
      <c r="D42" s="48"/>
      <c r="E42" s="48"/>
      <c r="F42" s="48"/>
      <c r="G42" s="48"/>
      <c r="H42" s="48"/>
      <c r="I42" s="48"/>
      <c r="J42" s="509">
        <f>SUM(J14:J17)</f>
        <v>217910.88309484272</v>
      </c>
      <c r="K42" s="499">
        <f t="shared" ref="K42:AP42" si="49">SUM(K14:K17)</f>
        <v>1678.0645611840671</v>
      </c>
      <c r="L42" s="499">
        <f t="shared" si="49"/>
        <v>213338.35232697995</v>
      </c>
      <c r="M42" s="510">
        <f t="shared" si="49"/>
        <v>1.2005517678425771E-3</v>
      </c>
      <c r="N42" s="509">
        <f t="shared" si="49"/>
        <v>0</v>
      </c>
      <c r="O42" s="499">
        <f t="shared" si="49"/>
        <v>0</v>
      </c>
      <c r="P42" s="510">
        <f t="shared" si="49"/>
        <v>0</v>
      </c>
      <c r="Q42" s="509">
        <f t="shared" si="49"/>
        <v>83340.602742338131</v>
      </c>
      <c r="R42" s="499">
        <f t="shared" si="49"/>
        <v>1.3363636363636361E-2</v>
      </c>
      <c r="S42" s="499">
        <f t="shared" si="49"/>
        <v>14933.887126433121</v>
      </c>
      <c r="T42" s="499">
        <f t="shared" si="49"/>
        <v>4.348533996988199E-4</v>
      </c>
      <c r="U42" s="499">
        <f t="shared" si="49"/>
        <v>0</v>
      </c>
      <c r="V42" s="510">
        <f t="shared" si="49"/>
        <v>0</v>
      </c>
      <c r="W42" s="504">
        <f t="shared" si="49"/>
        <v>0.10800384</v>
      </c>
      <c r="X42" s="499">
        <f t="shared" si="49"/>
        <v>0</v>
      </c>
      <c r="Y42" s="499">
        <f t="shared" si="49"/>
        <v>0</v>
      </c>
      <c r="Z42" s="499">
        <f t="shared" si="49"/>
        <v>0</v>
      </c>
      <c r="AA42" s="499">
        <f t="shared" si="49"/>
        <v>0</v>
      </c>
      <c r="AB42" s="499">
        <f t="shared" si="49"/>
        <v>0</v>
      </c>
      <c r="AC42" s="499">
        <f t="shared" si="49"/>
        <v>6.7911214960893911E-4</v>
      </c>
      <c r="AD42" s="499">
        <f t="shared" si="49"/>
        <v>0</v>
      </c>
      <c r="AE42" s="499">
        <f t="shared" si="49"/>
        <v>0</v>
      </c>
      <c r="AF42" s="499">
        <f t="shared" si="49"/>
        <v>2.191472303499156E-5</v>
      </c>
      <c r="AG42" s="499">
        <f t="shared" si="49"/>
        <v>2.3379708715717901E-2</v>
      </c>
      <c r="AH42" s="499">
        <f t="shared" si="49"/>
        <v>0</v>
      </c>
      <c r="AI42" s="499">
        <f t="shared" si="49"/>
        <v>5.6896174248045569E-4</v>
      </c>
      <c r="AJ42" s="499">
        <f t="shared" si="49"/>
        <v>0.1243562469197269</v>
      </c>
      <c r="AK42" s="499">
        <f t="shared" si="49"/>
        <v>0</v>
      </c>
      <c r="AL42" s="499">
        <f t="shared" si="49"/>
        <v>0</v>
      </c>
      <c r="AM42" s="499">
        <f t="shared" si="49"/>
        <v>0</v>
      </c>
      <c r="AN42" s="499">
        <f t="shared" si="49"/>
        <v>2.4950820352375161E-3</v>
      </c>
      <c r="AO42" s="499">
        <f t="shared" si="49"/>
        <v>699.49111360032975</v>
      </c>
      <c r="AP42" s="499">
        <f t="shared" si="49"/>
        <v>0</v>
      </c>
      <c r="AQ42" s="499">
        <f t="shared" ref="AQ42:AX42" si="50">SUM(AQ14:AQ17)</f>
        <v>0</v>
      </c>
      <c r="AR42" s="499">
        <f t="shared" si="50"/>
        <v>0</v>
      </c>
      <c r="AS42" s="499">
        <f t="shared" si="50"/>
        <v>0</v>
      </c>
      <c r="AT42" s="499">
        <f t="shared" si="50"/>
        <v>0</v>
      </c>
      <c r="AU42" s="499">
        <f t="shared" si="50"/>
        <v>0</v>
      </c>
      <c r="AV42" s="499">
        <f t="shared" si="50"/>
        <v>0</v>
      </c>
      <c r="AW42" s="499">
        <f t="shared" si="50"/>
        <v>0</v>
      </c>
      <c r="AX42" s="499">
        <f t="shared" si="50"/>
        <v>0</v>
      </c>
      <c r="AY42" s="499"/>
      <c r="AZ42" s="499"/>
      <c r="BA42" s="499"/>
      <c r="BB42" s="499"/>
      <c r="BC42" s="499"/>
      <c r="BD42" s="499">
        <f t="shared" ref="BD42:BE42" si="51">SUM(BD14:BD17)</f>
        <v>35.151295044588991</v>
      </c>
      <c r="BE42" s="499">
        <f t="shared" si="51"/>
        <v>268.50326612789422</v>
      </c>
      <c r="BF42" s="499">
        <f t="shared" ref="BF42:BJ42" si="52">SUM(BF14:BF17)</f>
        <v>1765.2380028926116</v>
      </c>
      <c r="BG42" s="499"/>
      <c r="BH42" s="499">
        <f t="shared" si="52"/>
        <v>296.09225339190391</v>
      </c>
      <c r="BI42" s="499">
        <f t="shared" si="52"/>
        <v>458.02291797514772</v>
      </c>
      <c r="BJ42" s="499">
        <f t="shared" si="52"/>
        <v>1011.1228315255595</v>
      </c>
    </row>
    <row r="43" spans="1:62" x14ac:dyDescent="0.25">
      <c r="A43" s="56" t="s">
        <v>493</v>
      </c>
      <c r="B43" s="88"/>
      <c r="C43" s="48"/>
      <c r="D43" s="48"/>
      <c r="E43" s="48"/>
      <c r="F43" s="48"/>
      <c r="G43" s="48"/>
      <c r="H43" s="48"/>
      <c r="I43" s="48"/>
      <c r="J43" s="509">
        <f>SUM(J30:J33)</f>
        <v>21506497.856162097</v>
      </c>
      <c r="K43" s="499">
        <f t="shared" ref="K43:AP43" si="53">SUM(K30:K33)</f>
        <v>907140.11356455891</v>
      </c>
      <c r="L43" s="499">
        <f t="shared" si="53"/>
        <v>7916.0775081492211</v>
      </c>
      <c r="M43" s="510">
        <f t="shared" si="53"/>
        <v>0</v>
      </c>
      <c r="N43" s="509">
        <f t="shared" si="53"/>
        <v>0</v>
      </c>
      <c r="O43" s="499">
        <f t="shared" si="53"/>
        <v>744520.90712005971</v>
      </c>
      <c r="P43" s="510">
        <f t="shared" si="53"/>
        <v>0</v>
      </c>
      <c r="Q43" s="509">
        <f t="shared" si="53"/>
        <v>268984.76177859952</v>
      </c>
      <c r="R43" s="499">
        <f t="shared" si="53"/>
        <v>0</v>
      </c>
      <c r="S43" s="499">
        <f t="shared" si="53"/>
        <v>539400.28386653773</v>
      </c>
      <c r="T43" s="499">
        <f t="shared" si="53"/>
        <v>0</v>
      </c>
      <c r="U43" s="499">
        <f t="shared" si="53"/>
        <v>0</v>
      </c>
      <c r="V43" s="510">
        <f t="shared" si="53"/>
        <v>0</v>
      </c>
      <c r="W43" s="504">
        <f t="shared" si="53"/>
        <v>0</v>
      </c>
      <c r="X43" s="499">
        <f t="shared" si="53"/>
        <v>0</v>
      </c>
      <c r="Y43" s="499">
        <f t="shared" si="53"/>
        <v>0</v>
      </c>
      <c r="Z43" s="499">
        <f t="shared" si="53"/>
        <v>0</v>
      </c>
      <c r="AA43" s="499">
        <f t="shared" si="53"/>
        <v>0</v>
      </c>
      <c r="AB43" s="499">
        <f t="shared" si="53"/>
        <v>0</v>
      </c>
      <c r="AC43" s="499">
        <f t="shared" si="53"/>
        <v>0</v>
      </c>
      <c r="AD43" s="499">
        <f t="shared" si="53"/>
        <v>0</v>
      </c>
      <c r="AE43" s="499">
        <f t="shared" si="53"/>
        <v>0</v>
      </c>
      <c r="AF43" s="499">
        <f t="shared" si="53"/>
        <v>0</v>
      </c>
      <c r="AG43" s="499">
        <f t="shared" si="53"/>
        <v>0</v>
      </c>
      <c r="AH43" s="499">
        <f t="shared" si="53"/>
        <v>0</v>
      </c>
      <c r="AI43" s="499">
        <f t="shared" si="53"/>
        <v>0</v>
      </c>
      <c r="AJ43" s="499">
        <f t="shared" si="53"/>
        <v>0</v>
      </c>
      <c r="AK43" s="499">
        <f t="shared" si="53"/>
        <v>0</v>
      </c>
      <c r="AL43" s="499">
        <f t="shared" si="53"/>
        <v>0</v>
      </c>
      <c r="AM43" s="499">
        <f t="shared" si="53"/>
        <v>0</v>
      </c>
      <c r="AN43" s="499">
        <f t="shared" si="53"/>
        <v>0</v>
      </c>
      <c r="AO43" s="499">
        <f t="shared" si="53"/>
        <v>0</v>
      </c>
      <c r="AP43" s="499">
        <f t="shared" si="53"/>
        <v>0</v>
      </c>
      <c r="AQ43" s="499">
        <f t="shared" ref="AQ43:AX43" si="54">SUM(AQ30:AQ33)</f>
        <v>0</v>
      </c>
      <c r="AR43" s="499">
        <f t="shared" si="54"/>
        <v>0</v>
      </c>
      <c r="AS43" s="499">
        <f t="shared" si="54"/>
        <v>0</v>
      </c>
      <c r="AT43" s="499">
        <f t="shared" si="54"/>
        <v>0</v>
      </c>
      <c r="AU43" s="499">
        <f t="shared" si="54"/>
        <v>0</v>
      </c>
      <c r="AV43" s="499">
        <f t="shared" si="54"/>
        <v>0</v>
      </c>
      <c r="AW43" s="499">
        <f t="shared" si="54"/>
        <v>0</v>
      </c>
      <c r="AX43" s="499">
        <f t="shared" si="54"/>
        <v>0</v>
      </c>
      <c r="AY43" s="499"/>
      <c r="AZ43" s="499"/>
      <c r="BA43" s="499"/>
      <c r="BB43" s="499"/>
      <c r="BC43" s="499"/>
      <c r="BD43" s="499">
        <f t="shared" ref="BD43:BE43" si="55">SUM(BD30:BD33)</f>
        <v>0</v>
      </c>
      <c r="BE43" s="499">
        <f t="shared" si="55"/>
        <v>0</v>
      </c>
      <c r="BF43" s="499">
        <f t="shared" ref="BF43:BJ43" si="56">SUM(BF30:BF33)</f>
        <v>0</v>
      </c>
      <c r="BG43" s="499"/>
      <c r="BH43" s="499">
        <f t="shared" si="56"/>
        <v>0</v>
      </c>
      <c r="BI43" s="499">
        <f t="shared" si="56"/>
        <v>0</v>
      </c>
      <c r="BJ43" s="499">
        <f t="shared" si="56"/>
        <v>0</v>
      </c>
    </row>
    <row r="44" spans="1:62" x14ac:dyDescent="0.25">
      <c r="A44" s="56" t="s">
        <v>494</v>
      </c>
      <c r="B44" s="88"/>
      <c r="C44" s="48"/>
      <c r="D44" s="48"/>
      <c r="E44" s="48"/>
      <c r="F44" s="48"/>
      <c r="G44" s="48"/>
      <c r="H44" s="48"/>
      <c r="I44" s="48"/>
      <c r="J44" s="509">
        <f t="shared" ref="J44:AP44" si="57">SUM(J19+J37)</f>
        <v>79822.948545680905</v>
      </c>
      <c r="K44" s="499">
        <f t="shared" si="57"/>
        <v>8611.0543958479466</v>
      </c>
      <c r="L44" s="499">
        <f t="shared" si="57"/>
        <v>21382.350717086356</v>
      </c>
      <c r="M44" s="510">
        <f t="shared" si="57"/>
        <v>0</v>
      </c>
      <c r="N44" s="509">
        <f t="shared" si="57"/>
        <v>0</v>
      </c>
      <c r="O44" s="499">
        <f t="shared" si="57"/>
        <v>41.64042085414372</v>
      </c>
      <c r="P44" s="510">
        <f t="shared" si="57"/>
        <v>0</v>
      </c>
      <c r="Q44" s="509">
        <f t="shared" si="57"/>
        <v>36557.134215199156</v>
      </c>
      <c r="R44" s="499">
        <f t="shared" si="57"/>
        <v>2.991006660679234</v>
      </c>
      <c r="S44" s="499">
        <f t="shared" si="57"/>
        <v>2956.8892687987704</v>
      </c>
      <c r="T44" s="499">
        <f t="shared" si="57"/>
        <v>5817.4090938795871</v>
      </c>
      <c r="U44" s="499">
        <f t="shared" si="57"/>
        <v>0</v>
      </c>
      <c r="V44" s="510">
        <f t="shared" si="57"/>
        <v>0</v>
      </c>
      <c r="W44" s="504">
        <f t="shared" si="57"/>
        <v>0</v>
      </c>
      <c r="X44" s="499">
        <f t="shared" si="57"/>
        <v>0</v>
      </c>
      <c r="Y44" s="499">
        <f t="shared" si="57"/>
        <v>0</v>
      </c>
      <c r="Z44" s="499">
        <f t="shared" si="57"/>
        <v>0</v>
      </c>
      <c r="AA44" s="499">
        <f t="shared" si="57"/>
        <v>0</v>
      </c>
      <c r="AB44" s="499">
        <f t="shared" si="57"/>
        <v>0</v>
      </c>
      <c r="AC44" s="499">
        <f t="shared" si="57"/>
        <v>0</v>
      </c>
      <c r="AD44" s="499">
        <f t="shared" si="57"/>
        <v>0</v>
      </c>
      <c r="AE44" s="499">
        <f t="shared" si="57"/>
        <v>0</v>
      </c>
      <c r="AF44" s="499">
        <f t="shared" si="57"/>
        <v>0</v>
      </c>
      <c r="AG44" s="499">
        <f t="shared" si="57"/>
        <v>0</v>
      </c>
      <c r="AH44" s="499">
        <f t="shared" si="57"/>
        <v>0</v>
      </c>
      <c r="AI44" s="499">
        <f t="shared" si="57"/>
        <v>0</v>
      </c>
      <c r="AJ44" s="499">
        <f t="shared" si="57"/>
        <v>0</v>
      </c>
      <c r="AK44" s="499">
        <f t="shared" si="57"/>
        <v>0</v>
      </c>
      <c r="AL44" s="499">
        <f t="shared" si="57"/>
        <v>0</v>
      </c>
      <c r="AM44" s="499">
        <f t="shared" si="57"/>
        <v>0</v>
      </c>
      <c r="AN44" s="499">
        <f t="shared" si="57"/>
        <v>0</v>
      </c>
      <c r="AO44" s="499">
        <f t="shared" si="57"/>
        <v>0</v>
      </c>
      <c r="AP44" s="499">
        <f t="shared" si="57"/>
        <v>0</v>
      </c>
      <c r="AQ44" s="499">
        <f t="shared" ref="AQ44:AX44" si="58">SUM(AQ19+AQ37)</f>
        <v>0</v>
      </c>
      <c r="AR44" s="499">
        <f t="shared" si="58"/>
        <v>0</v>
      </c>
      <c r="AS44" s="499">
        <f t="shared" si="58"/>
        <v>0</v>
      </c>
      <c r="AT44" s="499">
        <f t="shared" si="58"/>
        <v>0</v>
      </c>
      <c r="AU44" s="499">
        <f t="shared" si="58"/>
        <v>0</v>
      </c>
      <c r="AV44" s="499">
        <f t="shared" si="58"/>
        <v>0</v>
      </c>
      <c r="AW44" s="499">
        <f t="shared" si="58"/>
        <v>0</v>
      </c>
      <c r="AX44" s="499">
        <f t="shared" si="58"/>
        <v>0</v>
      </c>
      <c r="AY44" s="499"/>
      <c r="AZ44" s="499"/>
      <c r="BA44" s="499"/>
      <c r="BB44" s="499"/>
      <c r="BC44" s="499"/>
      <c r="BD44" s="499">
        <f t="shared" ref="BD44:BE44" si="59">SUM(BD19+BD37)</f>
        <v>0</v>
      </c>
      <c r="BE44" s="499">
        <f t="shared" si="59"/>
        <v>0</v>
      </c>
      <c r="BF44" s="499">
        <f t="shared" ref="BF44:BJ44" si="60">SUM(BF19+BF37)</f>
        <v>24.582335992457459</v>
      </c>
      <c r="BG44" s="499"/>
      <c r="BH44" s="499">
        <f t="shared" si="60"/>
        <v>0</v>
      </c>
      <c r="BI44" s="499">
        <f t="shared" si="60"/>
        <v>0</v>
      </c>
      <c r="BJ44" s="499">
        <f t="shared" si="60"/>
        <v>24.582335992457459</v>
      </c>
    </row>
    <row r="45" spans="1:62" x14ac:dyDescent="0.25">
      <c r="A45" s="56" t="s">
        <v>606</v>
      </c>
      <c r="B45" s="88"/>
      <c r="C45" s="48"/>
      <c r="D45" s="48"/>
      <c r="E45" s="48"/>
      <c r="F45" s="48"/>
      <c r="G45" s="48"/>
      <c r="H45" s="48"/>
      <c r="I45" s="48"/>
      <c r="J45" s="509">
        <f>J20+J22</f>
        <v>6185477.1215588963</v>
      </c>
      <c r="K45" s="499">
        <f t="shared" ref="K45:BJ45" si="61">K20+K22</f>
        <v>283889.44394011854</v>
      </c>
      <c r="L45" s="499">
        <f t="shared" si="61"/>
        <v>791314.05411040888</v>
      </c>
      <c r="M45" s="510">
        <f t="shared" si="61"/>
        <v>0</v>
      </c>
      <c r="N45" s="509">
        <f t="shared" si="61"/>
        <v>0</v>
      </c>
      <c r="O45" s="499">
        <f t="shared" si="61"/>
        <v>90931.844971726052</v>
      </c>
      <c r="P45" s="510">
        <f t="shared" si="61"/>
        <v>0</v>
      </c>
      <c r="Q45" s="509">
        <f t="shared" si="61"/>
        <v>994979.16435401619</v>
      </c>
      <c r="R45" s="499">
        <f t="shared" si="61"/>
        <v>495.74712643678163</v>
      </c>
      <c r="S45" s="499">
        <f t="shared" si="61"/>
        <v>409416.14091050124</v>
      </c>
      <c r="T45" s="499">
        <f t="shared" si="61"/>
        <v>244224.81296107729</v>
      </c>
      <c r="U45" s="499">
        <f t="shared" si="61"/>
        <v>0</v>
      </c>
      <c r="V45" s="510">
        <f t="shared" si="61"/>
        <v>0</v>
      </c>
      <c r="W45" s="504">
        <f t="shared" si="61"/>
        <v>0</v>
      </c>
      <c r="X45" s="499">
        <f t="shared" si="61"/>
        <v>0</v>
      </c>
      <c r="Y45" s="499">
        <f t="shared" si="61"/>
        <v>0</v>
      </c>
      <c r="Z45" s="499">
        <f t="shared" si="61"/>
        <v>0</v>
      </c>
      <c r="AA45" s="499">
        <f t="shared" si="61"/>
        <v>0</v>
      </c>
      <c r="AB45" s="499">
        <f t="shared" si="61"/>
        <v>0</v>
      </c>
      <c r="AC45" s="499">
        <f t="shared" si="61"/>
        <v>0</v>
      </c>
      <c r="AD45" s="499">
        <f t="shared" si="61"/>
        <v>0</v>
      </c>
      <c r="AE45" s="499">
        <f t="shared" si="61"/>
        <v>0</v>
      </c>
      <c r="AF45" s="499">
        <f t="shared" si="61"/>
        <v>0</v>
      </c>
      <c r="AG45" s="499">
        <f t="shared" si="61"/>
        <v>0</v>
      </c>
      <c r="AH45" s="499">
        <f t="shared" si="61"/>
        <v>0</v>
      </c>
      <c r="AI45" s="499">
        <f t="shared" si="61"/>
        <v>0</v>
      </c>
      <c r="AJ45" s="499">
        <f t="shared" si="61"/>
        <v>39.272587248322139</v>
      </c>
      <c r="AK45" s="499">
        <f t="shared" si="61"/>
        <v>0</v>
      </c>
      <c r="AL45" s="499">
        <f t="shared" si="61"/>
        <v>0</v>
      </c>
      <c r="AM45" s="499">
        <f t="shared" si="61"/>
        <v>1465.9518541895072</v>
      </c>
      <c r="AN45" s="499">
        <f t="shared" si="61"/>
        <v>0</v>
      </c>
      <c r="AO45" s="499">
        <f t="shared" si="61"/>
        <v>0</v>
      </c>
      <c r="AP45" s="499">
        <f t="shared" si="61"/>
        <v>0</v>
      </c>
      <c r="AQ45" s="499">
        <f t="shared" si="61"/>
        <v>0</v>
      </c>
      <c r="AR45" s="499">
        <f t="shared" si="61"/>
        <v>0</v>
      </c>
      <c r="AS45" s="499">
        <f t="shared" si="61"/>
        <v>0</v>
      </c>
      <c r="AT45" s="499">
        <f t="shared" si="61"/>
        <v>0</v>
      </c>
      <c r="AU45" s="499">
        <f t="shared" si="61"/>
        <v>0</v>
      </c>
      <c r="AV45" s="499">
        <f t="shared" si="61"/>
        <v>0</v>
      </c>
      <c r="AW45" s="499">
        <f t="shared" si="61"/>
        <v>0</v>
      </c>
      <c r="AX45" s="499">
        <f t="shared" si="61"/>
        <v>0</v>
      </c>
      <c r="AY45" s="499">
        <f t="shared" si="61"/>
        <v>55193.180076628349</v>
      </c>
      <c r="AZ45" s="499">
        <f t="shared" si="61"/>
        <v>0</v>
      </c>
      <c r="BA45" s="499">
        <f t="shared" si="61"/>
        <v>0</v>
      </c>
      <c r="BB45" s="499">
        <f t="shared" si="61"/>
        <v>2118.5877750652694</v>
      </c>
      <c r="BC45" s="499">
        <f t="shared" si="61"/>
        <v>0</v>
      </c>
      <c r="BD45" s="499">
        <f t="shared" si="61"/>
        <v>2118.5877750652694</v>
      </c>
      <c r="BE45" s="499">
        <f t="shared" si="61"/>
        <v>16771.033888549824</v>
      </c>
      <c r="BF45" s="499">
        <f t="shared" si="61"/>
        <v>68142.598529770417</v>
      </c>
      <c r="BG45" s="499">
        <f t="shared" si="61"/>
        <v>0</v>
      </c>
      <c r="BH45" s="499">
        <f t="shared" si="61"/>
        <v>0</v>
      </c>
      <c r="BI45" s="499">
        <f t="shared" si="61"/>
        <v>608.50831683338038</v>
      </c>
      <c r="BJ45" s="499">
        <f t="shared" si="61"/>
        <v>67534.090212937052</v>
      </c>
    </row>
    <row r="46" spans="1:62" x14ac:dyDescent="0.25">
      <c r="A46" s="56" t="s">
        <v>495</v>
      </c>
      <c r="B46" s="88"/>
      <c r="C46" s="48"/>
      <c r="D46" s="48"/>
      <c r="E46" s="48"/>
      <c r="F46" s="48"/>
      <c r="G46" s="48"/>
      <c r="H46" s="48"/>
      <c r="I46" s="48"/>
      <c r="J46" s="509">
        <f>J21+J23+J34+J35+J36</f>
        <v>1447544.0073732319</v>
      </c>
      <c r="K46" s="499">
        <f t="shared" ref="K46:BJ46" si="62">K21+K23+K34+K35+K36</f>
        <v>44497.978687090908</v>
      </c>
      <c r="L46" s="499">
        <f t="shared" si="62"/>
        <v>141267.49444319989</v>
      </c>
      <c r="M46" s="510">
        <f t="shared" si="62"/>
        <v>1683.2624983110368</v>
      </c>
      <c r="N46" s="509">
        <f t="shared" si="62"/>
        <v>0</v>
      </c>
      <c r="O46" s="499">
        <f t="shared" si="62"/>
        <v>14248.15932153752</v>
      </c>
      <c r="P46" s="510">
        <f t="shared" si="62"/>
        <v>0</v>
      </c>
      <c r="Q46" s="509">
        <f t="shared" si="62"/>
        <v>178144.51403646043</v>
      </c>
      <c r="R46" s="499">
        <f t="shared" si="62"/>
        <v>840.18013597056836</v>
      </c>
      <c r="S46" s="499">
        <f t="shared" si="62"/>
        <v>94254.060083207034</v>
      </c>
      <c r="T46" s="499">
        <f t="shared" si="62"/>
        <v>42669.777357582716</v>
      </c>
      <c r="U46" s="499">
        <f t="shared" si="62"/>
        <v>0</v>
      </c>
      <c r="V46" s="510">
        <f t="shared" si="62"/>
        <v>0</v>
      </c>
      <c r="W46" s="504">
        <f t="shared" si="62"/>
        <v>0</v>
      </c>
      <c r="X46" s="499">
        <f t="shared" si="62"/>
        <v>0</v>
      </c>
      <c r="Y46" s="499">
        <f t="shared" si="62"/>
        <v>0</v>
      </c>
      <c r="Z46" s="499">
        <f t="shared" si="62"/>
        <v>0</v>
      </c>
      <c r="AA46" s="499">
        <f t="shared" si="62"/>
        <v>0</v>
      </c>
      <c r="AB46" s="499">
        <f t="shared" si="62"/>
        <v>0</v>
      </c>
      <c r="AC46" s="499">
        <f t="shared" si="62"/>
        <v>1.6416927961853234</v>
      </c>
      <c r="AD46" s="499">
        <f t="shared" si="62"/>
        <v>0</v>
      </c>
      <c r="AE46" s="499">
        <f t="shared" si="62"/>
        <v>0</v>
      </c>
      <c r="AF46" s="499">
        <f t="shared" si="62"/>
        <v>5.2976880118636382E-2</v>
      </c>
      <c r="AG46" s="499">
        <f t="shared" si="62"/>
        <v>4.6727628578124361E-2</v>
      </c>
      <c r="AH46" s="499">
        <f t="shared" si="62"/>
        <v>0</v>
      </c>
      <c r="AI46" s="499">
        <f t="shared" si="62"/>
        <v>1.3754140527055567</v>
      </c>
      <c r="AJ46" s="499">
        <f t="shared" si="62"/>
        <v>6.5400953859060396</v>
      </c>
      <c r="AK46" s="499">
        <f t="shared" si="62"/>
        <v>0</v>
      </c>
      <c r="AL46" s="499">
        <f t="shared" si="62"/>
        <v>0</v>
      </c>
      <c r="AM46" s="499">
        <f t="shared" si="62"/>
        <v>233.41754575960951</v>
      </c>
      <c r="AN46" s="499">
        <f t="shared" si="62"/>
        <v>6.0316373451713146</v>
      </c>
      <c r="AO46" s="499">
        <f t="shared" si="62"/>
        <v>0</v>
      </c>
      <c r="AP46" s="499">
        <f t="shared" si="62"/>
        <v>0</v>
      </c>
      <c r="AQ46" s="499">
        <f t="shared" si="62"/>
        <v>0</v>
      </c>
      <c r="AR46" s="499">
        <f t="shared" si="62"/>
        <v>0</v>
      </c>
      <c r="AS46" s="499">
        <f t="shared" si="62"/>
        <v>0</v>
      </c>
      <c r="AT46" s="499">
        <f t="shared" si="62"/>
        <v>0</v>
      </c>
      <c r="AU46" s="499">
        <f t="shared" si="62"/>
        <v>0</v>
      </c>
      <c r="AV46" s="499">
        <f t="shared" si="62"/>
        <v>0</v>
      </c>
      <c r="AW46" s="499">
        <f t="shared" si="62"/>
        <v>0</v>
      </c>
      <c r="AX46" s="499">
        <f t="shared" si="62"/>
        <v>0</v>
      </c>
      <c r="AY46" s="499">
        <f t="shared" si="62"/>
        <v>0</v>
      </c>
      <c r="AZ46" s="499">
        <f t="shared" si="62"/>
        <v>0</v>
      </c>
      <c r="BA46" s="499">
        <f t="shared" si="62"/>
        <v>0</v>
      </c>
      <c r="BB46" s="499">
        <f t="shared" si="62"/>
        <v>0</v>
      </c>
      <c r="BC46" s="499">
        <f t="shared" si="62"/>
        <v>0</v>
      </c>
      <c r="BD46" s="499">
        <f t="shared" si="62"/>
        <v>0</v>
      </c>
      <c r="BE46" s="499">
        <f t="shared" si="62"/>
        <v>0</v>
      </c>
      <c r="BF46" s="499">
        <f t="shared" si="62"/>
        <v>16237.299632502245</v>
      </c>
      <c r="BG46" s="499">
        <f t="shared" si="62"/>
        <v>0</v>
      </c>
      <c r="BH46" s="499">
        <f t="shared" si="62"/>
        <v>12.674146627788559</v>
      </c>
      <c r="BI46" s="499">
        <f t="shared" si="62"/>
        <v>97.765448403136602</v>
      </c>
      <c r="BJ46" s="499">
        <f t="shared" si="62"/>
        <v>16126.860037471324</v>
      </c>
    </row>
    <row r="47" spans="1:62" s="33" customFormat="1" ht="13.8" thickBot="1" x14ac:dyDescent="0.3">
      <c r="A47" s="84" t="s">
        <v>544</v>
      </c>
      <c r="B47" s="90"/>
      <c r="C47" s="51"/>
      <c r="D47" s="51"/>
      <c r="E47" s="51"/>
      <c r="F47" s="51"/>
      <c r="G47" s="51"/>
      <c r="H47" s="51"/>
      <c r="I47" s="51"/>
      <c r="J47" s="511">
        <f>J18</f>
        <v>72249.122665133647</v>
      </c>
      <c r="K47" s="502">
        <f t="shared" ref="K47:BJ47" si="63">K18</f>
        <v>1160.7054549138611</v>
      </c>
      <c r="L47" s="502">
        <f t="shared" si="63"/>
        <v>17783.28541014815</v>
      </c>
      <c r="M47" s="512">
        <f t="shared" si="63"/>
        <v>31.946021694876919</v>
      </c>
      <c r="N47" s="511">
        <f t="shared" si="63"/>
        <v>0</v>
      </c>
      <c r="O47" s="502">
        <f t="shared" si="63"/>
        <v>0</v>
      </c>
      <c r="P47" s="512">
        <f t="shared" si="63"/>
        <v>0</v>
      </c>
      <c r="Q47" s="511">
        <f t="shared" si="63"/>
        <v>6740.6105776190288</v>
      </c>
      <c r="R47" s="502">
        <f t="shared" si="63"/>
        <v>4216.8748637237532</v>
      </c>
      <c r="S47" s="502">
        <f t="shared" si="63"/>
        <v>4632.1731457571532</v>
      </c>
      <c r="T47" s="502">
        <f t="shared" si="63"/>
        <v>5217.8502101632293</v>
      </c>
      <c r="U47" s="502">
        <f t="shared" si="63"/>
        <v>0</v>
      </c>
      <c r="V47" s="512">
        <f t="shared" si="63"/>
        <v>0</v>
      </c>
      <c r="W47" s="505">
        <f t="shared" si="63"/>
        <v>0</v>
      </c>
      <c r="X47" s="502">
        <f t="shared" si="63"/>
        <v>0</v>
      </c>
      <c r="Y47" s="502">
        <f t="shared" si="63"/>
        <v>0</v>
      </c>
      <c r="Z47" s="502">
        <f t="shared" si="63"/>
        <v>0</v>
      </c>
      <c r="AA47" s="502">
        <f t="shared" si="63"/>
        <v>0</v>
      </c>
      <c r="AB47" s="502">
        <f t="shared" si="63"/>
        <v>0</v>
      </c>
      <c r="AC47" s="502">
        <f t="shared" si="63"/>
        <v>0</v>
      </c>
      <c r="AD47" s="502">
        <f t="shared" si="63"/>
        <v>0</v>
      </c>
      <c r="AE47" s="502">
        <f t="shared" si="63"/>
        <v>0</v>
      </c>
      <c r="AF47" s="502">
        <f t="shared" si="63"/>
        <v>0</v>
      </c>
      <c r="AG47" s="502">
        <f t="shared" si="63"/>
        <v>0</v>
      </c>
      <c r="AH47" s="502">
        <f t="shared" si="63"/>
        <v>0</v>
      </c>
      <c r="AI47" s="502">
        <f t="shared" si="63"/>
        <v>0</v>
      </c>
      <c r="AJ47" s="502">
        <f t="shared" si="63"/>
        <v>0</v>
      </c>
      <c r="AK47" s="502">
        <f t="shared" si="63"/>
        <v>0</v>
      </c>
      <c r="AL47" s="502">
        <f t="shared" si="63"/>
        <v>0</v>
      </c>
      <c r="AM47" s="502">
        <f t="shared" si="63"/>
        <v>0</v>
      </c>
      <c r="AN47" s="502">
        <f t="shared" si="63"/>
        <v>0</v>
      </c>
      <c r="AO47" s="502">
        <f t="shared" si="63"/>
        <v>0</v>
      </c>
      <c r="AP47" s="502">
        <f t="shared" si="63"/>
        <v>0</v>
      </c>
      <c r="AQ47" s="502">
        <f t="shared" si="63"/>
        <v>0</v>
      </c>
      <c r="AR47" s="502">
        <f t="shared" si="63"/>
        <v>0</v>
      </c>
      <c r="AS47" s="502">
        <f t="shared" si="63"/>
        <v>0</v>
      </c>
      <c r="AT47" s="502">
        <f t="shared" si="63"/>
        <v>0</v>
      </c>
      <c r="AU47" s="502">
        <f t="shared" si="63"/>
        <v>0</v>
      </c>
      <c r="AV47" s="502">
        <f t="shared" si="63"/>
        <v>0</v>
      </c>
      <c r="AW47" s="502">
        <f t="shared" si="63"/>
        <v>0</v>
      </c>
      <c r="AX47" s="502">
        <f t="shared" si="63"/>
        <v>0</v>
      </c>
      <c r="AY47" s="502">
        <f t="shared" si="63"/>
        <v>0</v>
      </c>
      <c r="AZ47" s="502">
        <f t="shared" si="63"/>
        <v>0</v>
      </c>
      <c r="BA47" s="502">
        <f t="shared" si="63"/>
        <v>0</v>
      </c>
      <c r="BB47" s="502">
        <f t="shared" si="63"/>
        <v>0</v>
      </c>
      <c r="BC47" s="502">
        <f t="shared" si="63"/>
        <v>0</v>
      </c>
      <c r="BD47" s="502">
        <f t="shared" si="63"/>
        <v>0</v>
      </c>
      <c r="BE47" s="502">
        <f t="shared" si="63"/>
        <v>0</v>
      </c>
      <c r="BF47" s="502">
        <f t="shared" si="63"/>
        <v>958.38065084630762</v>
      </c>
      <c r="BG47" s="502">
        <f t="shared" si="63"/>
        <v>0</v>
      </c>
      <c r="BH47" s="502">
        <f t="shared" si="63"/>
        <v>0</v>
      </c>
      <c r="BI47" s="502">
        <f t="shared" si="63"/>
        <v>0</v>
      </c>
      <c r="BJ47" s="502">
        <f t="shared" si="63"/>
        <v>958.38065084630762</v>
      </c>
    </row>
  </sheetData>
  <mergeCells count="9">
    <mergeCell ref="N1:T1"/>
    <mergeCell ref="U1:W1"/>
    <mergeCell ref="X1:AC1"/>
    <mergeCell ref="AD1:BD1"/>
    <mergeCell ref="A3:A9"/>
    <mergeCell ref="C3:C9"/>
    <mergeCell ref="D3:D9"/>
    <mergeCell ref="E3:E9"/>
    <mergeCell ref="F1:M1"/>
  </mergeCells>
  <pageMargins left="0.7" right="0.7" top="0.75" bottom="0.75" header="0.3" footer="0.3"/>
  <pageSetup paperSize="9" orientation="portrait" horizontalDpi="4294967293" verticalDpi="0" r:id="rId1"/>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3CC193-6A34-4542-8466-35AB54DF539A}">
  <sheetPr>
    <tabColor theme="5" tint="0.39997558519241921"/>
  </sheetPr>
  <dimension ref="A1:BG18"/>
  <sheetViews>
    <sheetView workbookViewId="0">
      <selection activeCell="M3" sqref="M3"/>
    </sheetView>
  </sheetViews>
  <sheetFormatPr defaultColWidth="8.88671875" defaultRowHeight="12" x14ac:dyDescent="0.25"/>
  <cols>
    <col min="1" max="1" width="15.6640625" style="14" customWidth="1"/>
    <col min="2" max="2" width="28.44140625" style="15" customWidth="1"/>
    <col min="3" max="3" width="8.88671875" style="16"/>
    <col min="4" max="17" width="8.88671875" style="14"/>
    <col min="18" max="18" width="11" style="313" customWidth="1"/>
    <col min="19" max="16384" width="8.88671875" style="14"/>
  </cols>
  <sheetData>
    <row r="1" spans="1:59" s="12" customFormat="1" ht="14.7" customHeight="1" thickBot="1" x14ac:dyDescent="0.35">
      <c r="A1" s="243"/>
      <c r="B1" s="244"/>
      <c r="C1" s="245"/>
      <c r="D1" s="246"/>
      <c r="E1" s="247"/>
      <c r="F1" s="635" t="s">
        <v>557</v>
      </c>
      <c r="G1" s="636"/>
      <c r="H1" s="636"/>
      <c r="I1" s="636"/>
      <c r="J1" s="636"/>
      <c r="K1" s="636"/>
      <c r="L1" s="636"/>
      <c r="M1" s="637"/>
      <c r="N1" s="635" t="s">
        <v>457</v>
      </c>
      <c r="O1" s="636"/>
      <c r="P1" s="636"/>
      <c r="Q1" s="636"/>
      <c r="R1" s="636"/>
      <c r="S1" s="636"/>
      <c r="T1" s="637"/>
      <c r="U1" s="635" t="s">
        <v>458</v>
      </c>
      <c r="V1" s="636"/>
      <c r="W1" s="637"/>
      <c r="X1" s="635" t="s">
        <v>452</v>
      </c>
      <c r="Y1" s="636"/>
      <c r="Z1" s="636"/>
      <c r="AA1" s="636"/>
      <c r="AB1" s="636"/>
      <c r="AC1" s="637"/>
      <c r="AD1" s="635" t="s">
        <v>4</v>
      </c>
      <c r="AE1" s="636"/>
      <c r="AF1" s="636"/>
      <c r="AG1" s="636"/>
      <c r="AH1" s="636"/>
      <c r="AI1" s="636"/>
      <c r="AJ1" s="636"/>
      <c r="AK1" s="636"/>
      <c r="AL1" s="636"/>
      <c r="AM1" s="636"/>
      <c r="AN1" s="636"/>
      <c r="AO1" s="636"/>
      <c r="AP1" s="636"/>
      <c r="AQ1" s="636"/>
      <c r="AR1" s="636"/>
      <c r="AS1" s="636"/>
      <c r="AT1" s="636"/>
      <c r="AU1" s="636"/>
      <c r="AV1" s="636"/>
      <c r="AW1" s="636"/>
      <c r="AX1" s="636"/>
      <c r="AY1" s="636"/>
      <c r="AZ1" s="636"/>
      <c r="BA1" s="636"/>
      <c r="BB1" s="636"/>
      <c r="BC1" s="636"/>
      <c r="BD1" s="637"/>
      <c r="BE1" s="246"/>
      <c r="BF1" s="245"/>
      <c r="BG1" s="245"/>
    </row>
    <row r="2" spans="1:59" s="457" customFormat="1" ht="48.6" thickBot="1" x14ac:dyDescent="0.35">
      <c r="A2" s="219" t="s">
        <v>538</v>
      </c>
      <c r="B2" s="220" t="s">
        <v>5</v>
      </c>
      <c r="C2" s="221" t="s">
        <v>101</v>
      </c>
      <c r="D2" s="222" t="s">
        <v>437</v>
      </c>
      <c r="E2" s="223" t="s">
        <v>438</v>
      </c>
      <c r="F2" s="137" t="s">
        <v>82</v>
      </c>
      <c r="G2" s="138" t="s">
        <v>439</v>
      </c>
      <c r="H2" s="138" t="s">
        <v>136</v>
      </c>
      <c r="I2" s="138" t="s">
        <v>440</v>
      </c>
      <c r="J2" s="138" t="s">
        <v>315</v>
      </c>
      <c r="K2" s="138" t="s">
        <v>441</v>
      </c>
      <c r="L2" s="138" t="s">
        <v>684</v>
      </c>
      <c r="M2" s="138" t="s">
        <v>443</v>
      </c>
      <c r="N2" s="137" t="s">
        <v>444</v>
      </c>
      <c r="O2" s="138" t="s">
        <v>81</v>
      </c>
      <c r="P2" s="138" t="s">
        <v>7</v>
      </c>
      <c r="Q2" s="138" t="s">
        <v>127</v>
      </c>
      <c r="R2" s="138" t="s">
        <v>445</v>
      </c>
      <c r="S2" s="138" t="s">
        <v>446</v>
      </c>
      <c r="T2" s="139" t="s">
        <v>447</v>
      </c>
      <c r="U2" s="138" t="s">
        <v>448</v>
      </c>
      <c r="V2" s="138" t="s">
        <v>449</v>
      </c>
      <c r="W2" s="138" t="s">
        <v>450</v>
      </c>
      <c r="X2" s="137" t="s">
        <v>84</v>
      </c>
      <c r="Y2" s="138" t="s">
        <v>451</v>
      </c>
      <c r="Z2" s="138" t="s">
        <v>452</v>
      </c>
      <c r="AA2" s="138" t="s">
        <v>83</v>
      </c>
      <c r="AB2" s="138" t="s">
        <v>453</v>
      </c>
      <c r="AC2" s="139" t="s">
        <v>454</v>
      </c>
      <c r="AD2" s="137" t="s">
        <v>9</v>
      </c>
      <c r="AE2" s="138" t="s">
        <v>10</v>
      </c>
      <c r="AF2" s="138" t="s">
        <v>11</v>
      </c>
      <c r="AG2" s="138" t="s">
        <v>12</v>
      </c>
      <c r="AH2" s="138" t="s">
        <v>13</v>
      </c>
      <c r="AI2" s="138" t="s">
        <v>14</v>
      </c>
      <c r="AJ2" s="138" t="s">
        <v>15</v>
      </c>
      <c r="AK2" s="138" t="s">
        <v>16</v>
      </c>
      <c r="AL2" s="138" t="s">
        <v>17</v>
      </c>
      <c r="AM2" s="140" t="s">
        <v>18</v>
      </c>
      <c r="AN2" s="140" t="s">
        <v>19</v>
      </c>
      <c r="AO2" s="140" t="s">
        <v>20</v>
      </c>
      <c r="AP2" s="140" t="s">
        <v>21</v>
      </c>
      <c r="AQ2" s="140" t="s">
        <v>22</v>
      </c>
      <c r="AR2" s="140" t="s">
        <v>23</v>
      </c>
      <c r="AS2" s="140" t="s">
        <v>24</v>
      </c>
      <c r="AT2" s="140" t="s">
        <v>25</v>
      </c>
      <c r="AU2" s="140" t="s">
        <v>26</v>
      </c>
      <c r="AV2" s="140" t="s">
        <v>27</v>
      </c>
      <c r="AW2" s="140" t="s">
        <v>28</v>
      </c>
      <c r="AX2" s="140" t="s">
        <v>29</v>
      </c>
      <c r="AY2" s="140" t="s">
        <v>30</v>
      </c>
      <c r="AZ2" s="140" t="s">
        <v>31</v>
      </c>
      <c r="BA2" s="140" t="s">
        <v>32</v>
      </c>
      <c r="BB2" s="140" t="s">
        <v>33</v>
      </c>
      <c r="BC2" s="140" t="s">
        <v>34</v>
      </c>
      <c r="BD2" s="140" t="s">
        <v>35</v>
      </c>
      <c r="BE2" s="141" t="s">
        <v>459</v>
      </c>
      <c r="BF2" s="142"/>
      <c r="BG2" s="143" t="s">
        <v>79</v>
      </c>
    </row>
    <row r="3" spans="1:59" x14ac:dyDescent="0.25">
      <c r="A3" s="603" t="s">
        <v>436</v>
      </c>
      <c r="B3" s="291" t="s">
        <v>518</v>
      </c>
      <c r="C3" s="570" t="s">
        <v>38</v>
      </c>
      <c r="D3" s="573">
        <v>2017</v>
      </c>
      <c r="E3" s="573" t="s">
        <v>663</v>
      </c>
      <c r="F3" s="86"/>
      <c r="G3" s="47"/>
      <c r="H3" s="47"/>
      <c r="I3" s="47"/>
      <c r="J3" s="47"/>
      <c r="K3" s="47"/>
      <c r="L3" s="47"/>
      <c r="M3" s="87"/>
      <c r="N3" s="86">
        <f>'2.7.'!AD12</f>
        <v>347055</v>
      </c>
      <c r="O3" s="47">
        <f>'2.7.'!AB12</f>
        <v>26575</v>
      </c>
      <c r="P3" s="47">
        <f>'2.7.'!T12</f>
        <v>29704</v>
      </c>
      <c r="Q3" s="47"/>
      <c r="R3" s="47"/>
      <c r="S3" s="47">
        <f>'2.7.'!AL12+'2.7.'!AH12+'2.7.'!AA12+'2.7.'!AI12+'2.7.'!AP12+'2.7.'!AK12+'2.7.'!X12</f>
        <v>20284</v>
      </c>
      <c r="T3" s="87"/>
      <c r="U3" s="86"/>
      <c r="V3" s="47"/>
      <c r="W3" s="87"/>
      <c r="X3" s="86">
        <f>'2.7.'!N12</f>
        <v>211075</v>
      </c>
      <c r="Y3" s="47"/>
      <c r="Z3" s="47"/>
      <c r="AA3" s="47"/>
      <c r="AB3" s="47"/>
      <c r="AC3" s="87"/>
      <c r="AD3" s="86"/>
      <c r="AE3" s="47"/>
      <c r="AF3" s="47"/>
      <c r="AG3" s="47"/>
      <c r="AH3" s="47"/>
      <c r="AI3" s="47"/>
      <c r="AJ3" s="47"/>
      <c r="AK3" s="47"/>
      <c r="AL3" s="47"/>
      <c r="AM3" s="47"/>
      <c r="AN3" s="47"/>
      <c r="AO3" s="47">
        <f>'2.7.'!Z12</f>
        <v>7</v>
      </c>
      <c r="AP3" s="47"/>
      <c r="AQ3" s="47"/>
      <c r="AR3" s="47"/>
      <c r="AS3" s="47">
        <f>'2.7.'!AG12</f>
        <v>755</v>
      </c>
      <c r="AT3" s="47"/>
      <c r="AU3" s="47"/>
      <c r="AV3" s="47">
        <f>'2.7.'!AP12</f>
        <v>64</v>
      </c>
      <c r="AW3" s="47">
        <f>'2.7.'!AS12</f>
        <v>43</v>
      </c>
      <c r="AX3" s="47"/>
      <c r="AY3" s="47"/>
      <c r="AZ3" s="47"/>
      <c r="BA3" s="47"/>
      <c r="BB3" s="47"/>
      <c r="BC3" s="47"/>
      <c r="BD3" s="304"/>
      <c r="BE3" s="147">
        <f>SUM(AD3:BD3)</f>
        <v>869</v>
      </c>
      <c r="BG3" s="147">
        <f>SUM(F3:BD3)</f>
        <v>635562</v>
      </c>
    </row>
    <row r="4" spans="1:59" x14ac:dyDescent="0.25">
      <c r="A4" s="604"/>
      <c r="B4" s="292" t="s">
        <v>519</v>
      </c>
      <c r="C4" s="571"/>
      <c r="D4" s="574"/>
      <c r="E4" s="574"/>
      <c r="F4" s="88"/>
      <c r="G4" s="48"/>
      <c r="H4" s="48"/>
      <c r="I4" s="48"/>
      <c r="J4" s="48"/>
      <c r="K4" s="48"/>
      <c r="L4" s="48"/>
      <c r="M4" s="89"/>
      <c r="N4" s="88">
        <f>'2.7.'!AD13</f>
        <v>128353</v>
      </c>
      <c r="O4" s="48">
        <f>'2.7.'!AB13</f>
        <v>15023</v>
      </c>
      <c r="P4" s="48">
        <f>'2.7.'!T13</f>
        <v>28533</v>
      </c>
      <c r="Q4" s="48"/>
      <c r="R4" s="48"/>
      <c r="S4" s="48">
        <f>'2.7.'!AL13+'2.7.'!AH13+'2.7.'!AA13+'2.7.'!AI13+'2.7.'!AP13+'2.7.'!AK13+'2.7.'!X13</f>
        <v>3895</v>
      </c>
      <c r="T4" s="89"/>
      <c r="U4" s="88"/>
      <c r="V4" s="48"/>
      <c r="W4" s="89"/>
      <c r="X4" s="88">
        <f>'2.7.'!N13</f>
        <v>101672</v>
      </c>
      <c r="Y4" s="48"/>
      <c r="Z4" s="48"/>
      <c r="AA4" s="48">
        <f>'2.7.'!L13</f>
        <v>777</v>
      </c>
      <c r="AB4" s="48"/>
      <c r="AC4" s="89"/>
      <c r="AD4" s="88">
        <f>'2.7.'!AJ13</f>
        <v>20</v>
      </c>
      <c r="AE4" s="48">
        <f>'2.7.'!AC13</f>
        <v>1</v>
      </c>
      <c r="AF4" s="48">
        <f>'2.7.'!AN13</f>
        <v>3</v>
      </c>
      <c r="AG4" s="48">
        <f>'2.7.'!AF13</f>
        <v>9</v>
      </c>
      <c r="AH4" s="48">
        <f>'2.7.'!AE13</f>
        <v>1</v>
      </c>
      <c r="AI4" s="48"/>
      <c r="AJ4" s="48">
        <f>'2.7.'!S13</f>
        <v>32</v>
      </c>
      <c r="AK4" s="48"/>
      <c r="AL4" s="48"/>
      <c r="AM4" s="48">
        <f>'2.7.'!AO13</f>
        <v>27238</v>
      </c>
      <c r="AN4" s="48">
        <f>'2.7.'!AM13</f>
        <v>1</v>
      </c>
      <c r="AO4" s="48">
        <f>'2.7.'!Z13</f>
        <v>45</v>
      </c>
      <c r="AP4" s="48">
        <f>'2.7.'!V13</f>
        <v>7</v>
      </c>
      <c r="AQ4" s="48"/>
      <c r="AR4" s="48">
        <f>'2.7.'!AR13</f>
        <v>11</v>
      </c>
      <c r="AS4" s="48">
        <f>'2.7.'!AG13</f>
        <v>4931</v>
      </c>
      <c r="AT4" s="48"/>
      <c r="AU4" s="48"/>
      <c r="AV4" s="48">
        <f>'2.7.'!AP13</f>
        <v>482</v>
      </c>
      <c r="AW4" s="48">
        <f>'2.7.'!AS13</f>
        <v>10</v>
      </c>
      <c r="AX4" s="48">
        <f>'2.7.'!AT13</f>
        <v>1</v>
      </c>
      <c r="AY4" s="48"/>
      <c r="AZ4" s="48"/>
      <c r="BA4" s="48"/>
      <c r="BB4" s="48">
        <f>'2.7.'!Y13</f>
        <v>3</v>
      </c>
      <c r="BC4" s="48"/>
      <c r="BD4" s="305"/>
      <c r="BE4" s="150">
        <f t="shared" ref="BE4:BE8" si="0">SUM(AD4:BD4)</f>
        <v>32795</v>
      </c>
      <c r="BG4" s="150">
        <f t="shared" ref="BG4:BG8" si="1">SUM(F4:BD4)</f>
        <v>311048</v>
      </c>
    </row>
    <row r="5" spans="1:59" x14ac:dyDescent="0.25">
      <c r="A5" s="604"/>
      <c r="B5" s="292" t="s">
        <v>520</v>
      </c>
      <c r="C5" s="571"/>
      <c r="D5" s="574"/>
      <c r="E5" s="574"/>
      <c r="F5" s="88"/>
      <c r="G5" s="48"/>
      <c r="H5" s="48"/>
      <c r="I5" s="48"/>
      <c r="J5" s="48"/>
      <c r="K5" s="48"/>
      <c r="L5" s="48"/>
      <c r="M5" s="89"/>
      <c r="N5" s="88">
        <f>'2.7.'!AD14</f>
        <v>28</v>
      </c>
      <c r="O5" s="48">
        <f>'2.7.'!AB14</f>
        <v>40</v>
      </c>
      <c r="P5" s="48">
        <f>'2.7.'!T14</f>
        <v>264</v>
      </c>
      <c r="Q5" s="48"/>
      <c r="R5" s="48"/>
      <c r="S5" s="48">
        <f>'2.7.'!AL14+'2.7.'!AH14+'2.7.'!AA14+'2.7.'!AI14+'2.7.'!AP14+'2.7.'!AK14+'2.7.'!X14</f>
        <v>27</v>
      </c>
      <c r="T5" s="89"/>
      <c r="U5" s="88"/>
      <c r="V5" s="48"/>
      <c r="W5" s="89"/>
      <c r="X5" s="88">
        <f>'2.7.'!N14</f>
        <v>265</v>
      </c>
      <c r="Y5" s="48"/>
      <c r="Z5" s="48"/>
      <c r="AA5" s="48">
        <f>'2.7.'!L14</f>
        <v>706</v>
      </c>
      <c r="AB5" s="48"/>
      <c r="AC5" s="89"/>
      <c r="AD5" s="88"/>
      <c r="AE5" s="48"/>
      <c r="AF5" s="48"/>
      <c r="AG5" s="48"/>
      <c r="AH5" s="48"/>
      <c r="AI5" s="48"/>
      <c r="AJ5" s="48"/>
      <c r="AK5" s="48"/>
      <c r="AL5" s="48"/>
      <c r="AM5" s="48"/>
      <c r="AN5" s="48"/>
      <c r="AO5" s="48">
        <f>'2.7.'!Z14</f>
        <v>17</v>
      </c>
      <c r="AP5" s="48"/>
      <c r="AQ5" s="48"/>
      <c r="AR5" s="48"/>
      <c r="AS5" s="48">
        <f>'2.7.'!AG14</f>
        <v>7</v>
      </c>
      <c r="AT5" s="48"/>
      <c r="AU5" s="48"/>
      <c r="AV5" s="48"/>
      <c r="AW5" s="48">
        <f>'2.7.'!AS14</f>
        <v>6</v>
      </c>
      <c r="AX5" s="48">
        <f>'2.7.'!AT14</f>
        <v>2</v>
      </c>
      <c r="AY5" s="48"/>
      <c r="AZ5" s="48"/>
      <c r="BA5" s="48"/>
      <c r="BB5" s="48"/>
      <c r="BC5" s="48"/>
      <c r="BD5" s="305"/>
      <c r="BE5" s="150">
        <f t="shared" si="0"/>
        <v>32</v>
      </c>
      <c r="BG5" s="150">
        <f t="shared" si="1"/>
        <v>1362</v>
      </c>
    </row>
    <row r="6" spans="1:59" x14ac:dyDescent="0.25">
      <c r="A6" s="604"/>
      <c r="B6" s="292" t="s">
        <v>521</v>
      </c>
      <c r="C6" s="571"/>
      <c r="D6" s="574"/>
      <c r="E6" s="574"/>
      <c r="F6" s="88"/>
      <c r="G6" s="48"/>
      <c r="H6" s="48"/>
      <c r="I6" s="48"/>
      <c r="J6" s="48"/>
      <c r="K6" s="48"/>
      <c r="L6" s="48"/>
      <c r="M6" s="89"/>
      <c r="N6" s="88">
        <f>'2.7.'!AD15</f>
        <v>31432</v>
      </c>
      <c r="O6" s="48">
        <f>'2.7.'!AB15</f>
        <v>1071</v>
      </c>
      <c r="P6" s="48">
        <f>'2.7.'!T15</f>
        <v>1957</v>
      </c>
      <c r="Q6" s="48"/>
      <c r="R6" s="48"/>
      <c r="S6" s="48">
        <f>'2.7.'!AL15+'2.7.'!AH15+'2.7.'!AA15+'2.7.'!AI15+'2.7.'!AP15+'2.7.'!AK15+'2.7.'!X15</f>
        <v>2035</v>
      </c>
      <c r="T6" s="89"/>
      <c r="U6" s="88"/>
      <c r="V6" s="48"/>
      <c r="W6" s="89"/>
      <c r="X6" s="88">
        <f>'2.7.'!N15</f>
        <v>6976</v>
      </c>
      <c r="Y6" s="48"/>
      <c r="Z6" s="48"/>
      <c r="AA6" s="48">
        <f>'2.7.'!L15</f>
        <v>465</v>
      </c>
      <c r="AB6" s="48"/>
      <c r="AC6" s="89"/>
      <c r="AD6" s="88">
        <f>'2.7.'!AJ15</f>
        <v>12</v>
      </c>
      <c r="AE6" s="48">
        <f>'2.7.'!AC15</f>
        <v>1</v>
      </c>
      <c r="AF6" s="48"/>
      <c r="AG6" s="48"/>
      <c r="AH6" s="48"/>
      <c r="AI6" s="48"/>
      <c r="AJ6" s="48"/>
      <c r="AK6" s="48"/>
      <c r="AL6" s="48"/>
      <c r="AM6" s="48"/>
      <c r="AN6" s="48"/>
      <c r="AO6" s="48"/>
      <c r="AP6" s="48"/>
      <c r="AQ6" s="48"/>
      <c r="AR6" s="48"/>
      <c r="AS6" s="48">
        <f>'2.7.'!AG15</f>
        <v>49</v>
      </c>
      <c r="AT6" s="48"/>
      <c r="AU6" s="48"/>
      <c r="AV6" s="48">
        <f>'2.7.'!AP15</f>
        <v>4</v>
      </c>
      <c r="AW6" s="48">
        <f>'2.7.'!AS15</f>
        <v>5</v>
      </c>
      <c r="AX6" s="48"/>
      <c r="AY6" s="48"/>
      <c r="AZ6" s="48"/>
      <c r="BA6" s="48"/>
      <c r="BB6" s="48"/>
      <c r="BC6" s="48"/>
      <c r="BD6" s="305"/>
      <c r="BE6" s="150">
        <f t="shared" si="0"/>
        <v>71</v>
      </c>
      <c r="BG6" s="150">
        <f t="shared" si="1"/>
        <v>44007</v>
      </c>
    </row>
    <row r="7" spans="1:59" x14ac:dyDescent="0.25">
      <c r="A7" s="604"/>
      <c r="B7" s="292" t="s">
        <v>522</v>
      </c>
      <c r="C7" s="571"/>
      <c r="D7" s="574"/>
      <c r="E7" s="574"/>
      <c r="F7" s="88"/>
      <c r="G7" s="48"/>
      <c r="H7" s="48"/>
      <c r="I7" s="48"/>
      <c r="J7" s="48"/>
      <c r="K7" s="48"/>
      <c r="L7" s="48"/>
      <c r="M7" s="89"/>
      <c r="N7" s="88">
        <f>'2.7.'!AD16</f>
        <v>48507</v>
      </c>
      <c r="O7" s="48">
        <f>'2.7.'!AB16</f>
        <v>6191</v>
      </c>
      <c r="P7" s="48">
        <f>'2.7.'!T16</f>
        <v>8837</v>
      </c>
      <c r="Q7" s="48"/>
      <c r="R7" s="48"/>
      <c r="S7" s="48">
        <f>'2.7.'!AL16+'2.7.'!AH16+'2.7.'!AA16+'2.7.'!AI16+'2.7.'!AP16+'2.7.'!AK16+'2.7.'!X16</f>
        <v>926</v>
      </c>
      <c r="T7" s="89"/>
      <c r="U7" s="88"/>
      <c r="V7" s="48"/>
      <c r="W7" s="89"/>
      <c r="X7" s="88">
        <f>'2.7.'!N16</f>
        <v>26501</v>
      </c>
      <c r="Y7" s="48"/>
      <c r="Z7" s="48"/>
      <c r="AA7" s="48">
        <f>'2.7.'!L16</f>
        <v>3221</v>
      </c>
      <c r="AB7" s="48"/>
      <c r="AC7" s="89"/>
      <c r="AD7" s="88"/>
      <c r="AE7" s="48"/>
      <c r="AF7" s="48"/>
      <c r="AG7" s="48"/>
      <c r="AH7" s="48"/>
      <c r="AI7" s="48"/>
      <c r="AJ7" s="48">
        <f>'2.7.'!S16</f>
        <v>1</v>
      </c>
      <c r="AK7" s="48"/>
      <c r="AL7" s="48"/>
      <c r="AM7" s="48"/>
      <c r="AN7" s="48"/>
      <c r="AO7" s="48">
        <f>'2.7.'!Z16</f>
        <v>1</v>
      </c>
      <c r="AP7" s="48"/>
      <c r="AQ7" s="48"/>
      <c r="AR7" s="48"/>
      <c r="AS7" s="48">
        <f>'2.7.'!AG16</f>
        <v>204</v>
      </c>
      <c r="AT7" s="48"/>
      <c r="AU7" s="48"/>
      <c r="AV7" s="48"/>
      <c r="AW7" s="48">
        <f>'2.7.'!AS16</f>
        <v>88</v>
      </c>
      <c r="AX7" s="48"/>
      <c r="AY7" s="48"/>
      <c r="AZ7" s="48"/>
      <c r="BA7" s="48"/>
      <c r="BB7" s="48"/>
      <c r="BC7" s="48"/>
      <c r="BD7" s="305"/>
      <c r="BE7" s="150">
        <f t="shared" si="0"/>
        <v>294</v>
      </c>
      <c r="BG7" s="150">
        <f t="shared" si="1"/>
        <v>94477</v>
      </c>
    </row>
    <row r="8" spans="1:59" s="50" customFormat="1" ht="12.6" thickBot="1" x14ac:dyDescent="0.3">
      <c r="A8" s="605"/>
      <c r="B8" s="293" t="s">
        <v>523</v>
      </c>
      <c r="C8" s="572"/>
      <c r="D8" s="575"/>
      <c r="E8" s="575"/>
      <c r="F8" s="90"/>
      <c r="G8" s="51"/>
      <c r="H8" s="51"/>
      <c r="I8" s="51"/>
      <c r="J8" s="51"/>
      <c r="K8" s="51"/>
      <c r="L8" s="51"/>
      <c r="M8" s="91"/>
      <c r="N8" s="90">
        <f>'2.7.'!AD17</f>
        <v>17554</v>
      </c>
      <c r="O8" s="51">
        <f>'2.7.'!AB17</f>
        <v>931</v>
      </c>
      <c r="P8" s="51">
        <f>'2.7.'!T17</f>
        <v>1248</v>
      </c>
      <c r="Q8" s="51"/>
      <c r="R8" s="51"/>
      <c r="S8" s="51">
        <f>'2.7.'!AL17+'2.7.'!AH17+'2.7.'!AA17+'2.7.'!AI17+'2.7.'!AP17+'2.7.'!AK17+'2.7.'!X17</f>
        <v>395</v>
      </c>
      <c r="T8" s="91"/>
      <c r="U8" s="90"/>
      <c r="V8" s="51"/>
      <c r="W8" s="91"/>
      <c r="X8" s="90">
        <f>'2.7.'!N17</f>
        <v>17386</v>
      </c>
      <c r="Y8" s="51"/>
      <c r="Z8" s="51"/>
      <c r="AA8" s="51">
        <f>'2.7.'!L17</f>
        <v>1167</v>
      </c>
      <c r="AB8" s="51"/>
      <c r="AC8" s="91"/>
      <c r="AD8" s="90">
        <f>'2.7.'!AJ17</f>
        <v>7</v>
      </c>
      <c r="AE8" s="51">
        <f>'2.7.'!AC17</f>
        <v>1</v>
      </c>
      <c r="AF8" s="51">
        <f>'2.7.'!AN17</f>
        <v>1</v>
      </c>
      <c r="AG8" s="51"/>
      <c r="AH8" s="51"/>
      <c r="AI8" s="51"/>
      <c r="AJ8" s="51">
        <f>'2.7.'!S17</f>
        <v>2</v>
      </c>
      <c r="AK8" s="51"/>
      <c r="AL8" s="51"/>
      <c r="AM8" s="51"/>
      <c r="AN8" s="51"/>
      <c r="AO8" s="51">
        <f>'2.7.'!Z17</f>
        <v>9</v>
      </c>
      <c r="AP8" s="51"/>
      <c r="AQ8" s="51"/>
      <c r="AR8" s="51"/>
      <c r="AS8" s="51">
        <f>'2.7.'!AG17</f>
        <v>20</v>
      </c>
      <c r="AT8" s="51"/>
      <c r="AU8" s="51"/>
      <c r="AV8" s="51">
        <f>'2.7.'!AP17</f>
        <v>76</v>
      </c>
      <c r="AW8" s="51">
        <f>'2.7.'!AS17</f>
        <v>2</v>
      </c>
      <c r="AX8" s="51"/>
      <c r="AY8" s="51"/>
      <c r="AZ8" s="51"/>
      <c r="BA8" s="51"/>
      <c r="BB8" s="51"/>
      <c r="BC8" s="51"/>
      <c r="BD8" s="306"/>
      <c r="BE8" s="154">
        <f t="shared" si="0"/>
        <v>118</v>
      </c>
      <c r="BG8" s="154">
        <f t="shared" si="1"/>
        <v>38799</v>
      </c>
    </row>
    <row r="9" spans="1:59" x14ac:dyDescent="0.25">
      <c r="A9" s="334"/>
      <c r="B9" s="386"/>
      <c r="C9" s="337"/>
      <c r="D9" s="228"/>
      <c r="E9" s="228"/>
      <c r="F9" s="48"/>
      <c r="G9" s="48"/>
      <c r="H9" s="48"/>
      <c r="I9" s="48"/>
      <c r="J9" s="48"/>
      <c r="K9" s="48"/>
      <c r="L9" s="48"/>
      <c r="M9" s="48"/>
      <c r="N9" s="48"/>
      <c r="O9" s="48"/>
      <c r="P9" s="48"/>
      <c r="Q9" s="48"/>
      <c r="R9" s="48"/>
      <c r="S9" s="48"/>
      <c r="T9" s="48"/>
      <c r="U9" s="48"/>
      <c r="V9" s="48"/>
      <c r="W9" s="48"/>
      <c r="X9" s="48"/>
      <c r="Y9" s="48"/>
      <c r="Z9" s="48"/>
      <c r="AA9" s="48"/>
      <c r="AB9" s="48"/>
      <c r="AC9" s="48"/>
      <c r="AD9" s="48"/>
      <c r="AE9" s="48"/>
      <c r="AF9" s="48"/>
      <c r="AG9" s="48"/>
      <c r="AH9" s="48"/>
      <c r="AI9" s="48"/>
      <c r="AJ9" s="48"/>
      <c r="AK9" s="48"/>
      <c r="AL9" s="48"/>
      <c r="AM9" s="48"/>
      <c r="AN9" s="48"/>
      <c r="AO9" s="48"/>
      <c r="AP9" s="48"/>
      <c r="AQ9" s="48"/>
      <c r="AR9" s="48"/>
      <c r="AS9" s="48"/>
      <c r="AT9" s="48"/>
      <c r="AU9" s="48"/>
      <c r="AV9" s="48"/>
      <c r="AW9" s="48"/>
      <c r="AX9" s="48"/>
      <c r="AY9" s="48"/>
      <c r="AZ9" s="48"/>
      <c r="BA9" s="48"/>
      <c r="BB9" s="48"/>
      <c r="BC9" s="48"/>
      <c r="BD9" s="148"/>
      <c r="BE9" s="48"/>
      <c r="BG9" s="48"/>
    </row>
    <row r="10" spans="1:59" ht="12.6" thickBot="1" x14ac:dyDescent="0.3">
      <c r="A10" s="451" t="s">
        <v>672</v>
      </c>
      <c r="B10" s="452"/>
      <c r="C10" s="303"/>
      <c r="D10" s="253"/>
      <c r="E10" s="253"/>
      <c r="F10" s="48"/>
      <c r="G10" s="48"/>
      <c r="H10" s="48"/>
      <c r="I10" s="48"/>
      <c r="J10" s="48"/>
      <c r="K10" s="48"/>
      <c r="L10" s="48"/>
      <c r="M10" s="48"/>
      <c r="N10" s="48"/>
      <c r="O10" s="48"/>
      <c r="P10" s="48"/>
      <c r="Q10" s="48"/>
      <c r="R10" s="48"/>
      <c r="S10" s="48"/>
      <c r="T10" s="48"/>
      <c r="U10" s="48"/>
      <c r="V10" s="48"/>
      <c r="W10" s="48"/>
      <c r="X10" s="48"/>
      <c r="Y10" s="48"/>
      <c r="Z10" s="48"/>
      <c r="AA10" s="48"/>
      <c r="AB10" s="48"/>
      <c r="AC10" s="48"/>
      <c r="AD10" s="48"/>
      <c r="AE10" s="48"/>
      <c r="AF10" s="48"/>
      <c r="AG10" s="48"/>
      <c r="AH10" s="48"/>
      <c r="AI10" s="48"/>
      <c r="AJ10" s="48"/>
      <c r="AK10" s="48"/>
      <c r="AL10" s="48"/>
      <c r="AM10" s="48"/>
      <c r="AN10" s="48"/>
      <c r="AO10" s="48"/>
      <c r="AP10" s="48"/>
      <c r="AQ10" s="48"/>
      <c r="AR10" s="48"/>
      <c r="AS10" s="48"/>
      <c r="AT10" s="48"/>
      <c r="AU10" s="48"/>
      <c r="AV10" s="48"/>
      <c r="AW10" s="48"/>
      <c r="AX10" s="48"/>
      <c r="AY10" s="48"/>
      <c r="AZ10" s="48"/>
      <c r="BA10" s="48"/>
      <c r="BB10" s="48"/>
      <c r="BC10" s="48"/>
      <c r="BD10" s="148"/>
    </row>
    <row r="11" spans="1:59" s="309" customFormat="1" ht="39.9" customHeight="1" thickBot="1" x14ac:dyDescent="0.3">
      <c r="A11" s="680" t="s">
        <v>609</v>
      </c>
      <c r="B11" s="310"/>
      <c r="C11" s="307" t="s">
        <v>621</v>
      </c>
      <c r="D11" s="308" t="s">
        <v>620</v>
      </c>
      <c r="E11" s="308" t="s">
        <v>610</v>
      </c>
      <c r="F11" s="308" t="s">
        <v>611</v>
      </c>
      <c r="G11" s="308" t="s">
        <v>595</v>
      </c>
      <c r="H11" s="308" t="s">
        <v>126</v>
      </c>
      <c r="I11" s="308" t="s">
        <v>596</v>
      </c>
      <c r="J11" s="308" t="s">
        <v>612</v>
      </c>
      <c r="K11" s="308" t="s">
        <v>613</v>
      </c>
      <c r="L11" s="308" t="s">
        <v>83</v>
      </c>
      <c r="M11" s="308" t="s">
        <v>614</v>
      </c>
      <c r="N11" s="308" t="s">
        <v>84</v>
      </c>
      <c r="O11" s="308" t="s">
        <v>615</v>
      </c>
      <c r="P11" s="311" t="s">
        <v>616</v>
      </c>
      <c r="Q11" s="312" t="s">
        <v>617</v>
      </c>
      <c r="R11" s="680" t="s">
        <v>618</v>
      </c>
      <c r="S11" s="308" t="s">
        <v>15</v>
      </c>
      <c r="T11" s="308" t="s">
        <v>252</v>
      </c>
      <c r="U11" s="308" t="s">
        <v>253</v>
      </c>
      <c r="V11" s="308" t="s">
        <v>21</v>
      </c>
      <c r="W11" s="308" t="s">
        <v>254</v>
      </c>
      <c r="X11" s="308" t="s">
        <v>255</v>
      </c>
      <c r="Y11" s="308" t="s">
        <v>33</v>
      </c>
      <c r="Z11" s="308" t="s">
        <v>20</v>
      </c>
      <c r="AA11" s="308" t="s">
        <v>256</v>
      </c>
      <c r="AB11" s="308" t="s">
        <v>257</v>
      </c>
      <c r="AC11" s="308" t="s">
        <v>10</v>
      </c>
      <c r="AD11" s="308" t="s">
        <v>258</v>
      </c>
      <c r="AE11" s="308" t="s">
        <v>13</v>
      </c>
      <c r="AF11" s="308" t="s">
        <v>12</v>
      </c>
      <c r="AG11" s="308" t="s">
        <v>24</v>
      </c>
      <c r="AH11" s="308" t="s">
        <v>259</v>
      </c>
      <c r="AI11" s="308" t="s">
        <v>260</v>
      </c>
      <c r="AJ11" s="308" t="s">
        <v>9</v>
      </c>
      <c r="AK11" s="308" t="s">
        <v>261</v>
      </c>
      <c r="AL11" s="308" t="s">
        <v>262</v>
      </c>
      <c r="AM11" s="308" t="s">
        <v>19</v>
      </c>
      <c r="AN11" s="308" t="s">
        <v>11</v>
      </c>
      <c r="AO11" s="308" t="s">
        <v>18</v>
      </c>
      <c r="AP11" s="308" t="s">
        <v>263</v>
      </c>
      <c r="AQ11" s="308" t="s">
        <v>27</v>
      </c>
      <c r="AR11" s="308" t="s">
        <v>23</v>
      </c>
      <c r="AS11" s="308" t="s">
        <v>28</v>
      </c>
      <c r="AT11" s="308" t="s">
        <v>29</v>
      </c>
      <c r="AU11" s="308" t="s">
        <v>264</v>
      </c>
      <c r="AV11" s="308" t="s">
        <v>265</v>
      </c>
      <c r="AW11" s="311" t="s">
        <v>619</v>
      </c>
      <c r="AX11" s="312" t="s">
        <v>617</v>
      </c>
    </row>
    <row r="12" spans="1:59" s="46" customFormat="1" ht="15.6" customHeight="1" x14ac:dyDescent="0.25">
      <c r="A12" s="681"/>
      <c r="B12" s="291" t="s">
        <v>518</v>
      </c>
      <c r="C12" s="683" t="s">
        <v>622</v>
      </c>
      <c r="D12" s="314">
        <v>14</v>
      </c>
      <c r="E12" s="314">
        <v>3481</v>
      </c>
      <c r="F12" s="314">
        <v>30423</v>
      </c>
      <c r="G12" s="314">
        <v>128</v>
      </c>
      <c r="H12" s="314">
        <v>98</v>
      </c>
      <c r="I12" s="314">
        <v>70767</v>
      </c>
      <c r="J12" s="314">
        <v>26151</v>
      </c>
      <c r="K12" s="315"/>
      <c r="L12" s="315"/>
      <c r="M12" s="314">
        <v>5</v>
      </c>
      <c r="N12" s="314">
        <v>211075</v>
      </c>
      <c r="O12" s="314">
        <v>202987</v>
      </c>
      <c r="P12" s="316">
        <v>545129</v>
      </c>
      <c r="Q12" s="317">
        <v>844695</v>
      </c>
      <c r="R12" s="681"/>
      <c r="S12" s="314">
        <v>0</v>
      </c>
      <c r="T12" s="314">
        <v>29704</v>
      </c>
      <c r="U12" s="314">
        <v>0</v>
      </c>
      <c r="V12" s="314">
        <v>0</v>
      </c>
      <c r="W12" s="315"/>
      <c r="X12" s="314">
        <v>0</v>
      </c>
      <c r="Y12" s="314">
        <v>0</v>
      </c>
      <c r="Z12" s="314">
        <v>7</v>
      </c>
      <c r="AA12" s="315"/>
      <c r="AB12" s="314">
        <v>26575</v>
      </c>
      <c r="AC12" s="314">
        <v>0</v>
      </c>
      <c r="AD12" s="314">
        <v>347055</v>
      </c>
      <c r="AE12" s="314">
        <v>0</v>
      </c>
      <c r="AF12" s="314">
        <v>0</v>
      </c>
      <c r="AG12" s="314">
        <v>755</v>
      </c>
      <c r="AH12" s="314">
        <v>3961</v>
      </c>
      <c r="AI12" s="314">
        <v>0</v>
      </c>
      <c r="AJ12" s="314">
        <v>0</v>
      </c>
      <c r="AK12" s="314">
        <v>16245</v>
      </c>
      <c r="AL12" s="314">
        <v>14</v>
      </c>
      <c r="AM12" s="314">
        <v>0</v>
      </c>
      <c r="AN12" s="314">
        <v>0</v>
      </c>
      <c r="AO12" s="315"/>
      <c r="AP12" s="314">
        <v>64</v>
      </c>
      <c r="AQ12" s="314">
        <v>160</v>
      </c>
      <c r="AR12" s="314">
        <v>0</v>
      </c>
      <c r="AS12" s="314">
        <v>43</v>
      </c>
      <c r="AT12" s="314">
        <v>0</v>
      </c>
      <c r="AU12" s="314">
        <v>341</v>
      </c>
      <c r="AV12" s="314"/>
      <c r="AW12" s="316">
        <v>427992</v>
      </c>
      <c r="AX12" s="317">
        <v>844695</v>
      </c>
    </row>
    <row r="13" spans="1:59" ht="14.4" customHeight="1" x14ac:dyDescent="0.25">
      <c r="A13" s="681"/>
      <c r="B13" s="292" t="s">
        <v>519</v>
      </c>
      <c r="C13" s="684"/>
      <c r="D13" s="318">
        <v>0</v>
      </c>
      <c r="E13" s="318">
        <v>626</v>
      </c>
      <c r="F13" s="318">
        <v>22074</v>
      </c>
      <c r="G13" s="318">
        <v>751</v>
      </c>
      <c r="H13" s="318">
        <v>15</v>
      </c>
      <c r="I13" s="318">
        <v>0</v>
      </c>
      <c r="J13" s="318">
        <v>1127</v>
      </c>
      <c r="K13" s="319"/>
      <c r="L13" s="318">
        <v>777</v>
      </c>
      <c r="M13" s="318">
        <v>91</v>
      </c>
      <c r="N13" s="318">
        <v>101672</v>
      </c>
      <c r="O13" s="318">
        <v>293</v>
      </c>
      <c r="P13" s="320">
        <v>137056</v>
      </c>
      <c r="Q13" s="321">
        <v>524392</v>
      </c>
      <c r="R13" s="681"/>
      <c r="S13" s="318">
        <v>32</v>
      </c>
      <c r="T13" s="318">
        <v>28533</v>
      </c>
      <c r="U13" s="318">
        <v>8</v>
      </c>
      <c r="V13" s="318">
        <v>7</v>
      </c>
      <c r="W13" s="318">
        <v>9</v>
      </c>
      <c r="X13" s="318">
        <v>1</v>
      </c>
      <c r="Y13" s="318">
        <v>3</v>
      </c>
      <c r="Z13" s="318">
        <v>45</v>
      </c>
      <c r="AA13" s="319"/>
      <c r="AB13" s="318">
        <v>15023</v>
      </c>
      <c r="AC13" s="318">
        <v>1</v>
      </c>
      <c r="AD13" s="318">
        <v>128353</v>
      </c>
      <c r="AE13" s="318">
        <v>1</v>
      </c>
      <c r="AF13" s="318">
        <v>9</v>
      </c>
      <c r="AG13" s="318">
        <v>4931</v>
      </c>
      <c r="AH13" s="318">
        <v>1455</v>
      </c>
      <c r="AI13" s="318">
        <v>1</v>
      </c>
      <c r="AJ13" s="318">
        <v>20</v>
      </c>
      <c r="AK13" s="318">
        <v>437</v>
      </c>
      <c r="AL13" s="318">
        <v>1519</v>
      </c>
      <c r="AM13" s="318">
        <v>1</v>
      </c>
      <c r="AN13" s="318">
        <v>3</v>
      </c>
      <c r="AO13" s="318">
        <v>27238</v>
      </c>
      <c r="AP13" s="318">
        <v>482</v>
      </c>
      <c r="AQ13" s="318">
        <v>3835</v>
      </c>
      <c r="AR13" s="318">
        <v>11</v>
      </c>
      <c r="AS13" s="318">
        <v>10</v>
      </c>
      <c r="AT13" s="318">
        <v>1</v>
      </c>
      <c r="AU13" s="318">
        <v>1568</v>
      </c>
      <c r="AV13" s="318">
        <v>728</v>
      </c>
      <c r="AW13" s="320">
        <v>227939</v>
      </c>
      <c r="AX13" s="321">
        <v>524392</v>
      </c>
    </row>
    <row r="14" spans="1:59" ht="15.6" customHeight="1" x14ac:dyDescent="0.25">
      <c r="A14" s="681"/>
      <c r="B14" s="292" t="s">
        <v>520</v>
      </c>
      <c r="C14" s="684"/>
      <c r="D14" s="319"/>
      <c r="E14" s="319"/>
      <c r="F14" s="318">
        <v>267</v>
      </c>
      <c r="G14" s="319"/>
      <c r="H14" s="319"/>
      <c r="I14" s="318">
        <v>2</v>
      </c>
      <c r="J14" s="319"/>
      <c r="K14" s="319"/>
      <c r="L14" s="318">
        <v>706</v>
      </c>
      <c r="M14" s="319"/>
      <c r="N14" s="318">
        <v>265</v>
      </c>
      <c r="O14" s="318">
        <v>24</v>
      </c>
      <c r="P14" s="320">
        <v>1264</v>
      </c>
      <c r="Q14" s="321">
        <v>38384</v>
      </c>
      <c r="R14" s="681"/>
      <c r="S14" s="319"/>
      <c r="T14" s="318">
        <v>264</v>
      </c>
      <c r="U14" s="319"/>
      <c r="V14" s="318">
        <v>0</v>
      </c>
      <c r="W14" s="319"/>
      <c r="X14" s="319"/>
      <c r="Y14" s="318">
        <v>0</v>
      </c>
      <c r="Z14" s="318">
        <v>17</v>
      </c>
      <c r="AA14" s="318">
        <v>14</v>
      </c>
      <c r="AB14" s="318">
        <v>40</v>
      </c>
      <c r="AC14" s="318">
        <v>0</v>
      </c>
      <c r="AD14" s="318">
        <v>28</v>
      </c>
      <c r="AE14" s="318">
        <v>0</v>
      </c>
      <c r="AF14" s="318">
        <v>0</v>
      </c>
      <c r="AG14" s="318">
        <v>7</v>
      </c>
      <c r="AH14" s="318">
        <v>1</v>
      </c>
      <c r="AI14" s="319"/>
      <c r="AJ14" s="318">
        <v>0</v>
      </c>
      <c r="AK14" s="318">
        <v>12</v>
      </c>
      <c r="AL14" s="319"/>
      <c r="AM14" s="318">
        <v>0</v>
      </c>
      <c r="AN14" s="318">
        <v>0</v>
      </c>
      <c r="AO14" s="319"/>
      <c r="AP14" s="318">
        <v>0</v>
      </c>
      <c r="AQ14" s="318">
        <v>0</v>
      </c>
      <c r="AR14" s="318">
        <v>0</v>
      </c>
      <c r="AS14" s="318">
        <v>6</v>
      </c>
      <c r="AT14" s="318">
        <v>2</v>
      </c>
      <c r="AU14" s="318">
        <v>0</v>
      </c>
      <c r="AV14" s="318"/>
      <c r="AW14" s="320">
        <v>392</v>
      </c>
      <c r="AX14" s="321">
        <v>38384</v>
      </c>
    </row>
    <row r="15" spans="1:59" ht="13.8" customHeight="1" x14ac:dyDescent="0.25">
      <c r="A15" s="681"/>
      <c r="B15" s="292" t="s">
        <v>521</v>
      </c>
      <c r="C15" s="684"/>
      <c r="D15" s="318">
        <v>5</v>
      </c>
      <c r="E15" s="318">
        <v>42</v>
      </c>
      <c r="F15" s="318">
        <v>1982</v>
      </c>
      <c r="G15" s="318">
        <v>212</v>
      </c>
      <c r="H15" s="318">
        <v>14</v>
      </c>
      <c r="I15" s="318">
        <v>189</v>
      </c>
      <c r="J15" s="318">
        <v>710</v>
      </c>
      <c r="K15" s="318">
        <v>206</v>
      </c>
      <c r="L15" s="318">
        <v>465</v>
      </c>
      <c r="M15" s="318">
        <v>20</v>
      </c>
      <c r="N15" s="318">
        <v>6976</v>
      </c>
      <c r="O15" s="318">
        <v>5635</v>
      </c>
      <c r="P15" s="320">
        <v>22342</v>
      </c>
      <c r="Q15" s="321">
        <v>1559854</v>
      </c>
      <c r="R15" s="681"/>
      <c r="S15" s="319"/>
      <c r="T15" s="318">
        <v>1957</v>
      </c>
      <c r="U15" s="318">
        <v>0</v>
      </c>
      <c r="V15" s="318">
        <v>0</v>
      </c>
      <c r="W15" s="319"/>
      <c r="X15" s="318">
        <v>0</v>
      </c>
      <c r="Y15" s="318">
        <v>0</v>
      </c>
      <c r="Z15" s="318">
        <v>0</v>
      </c>
      <c r="AA15" s="318">
        <v>1224</v>
      </c>
      <c r="AB15" s="318">
        <v>1071</v>
      </c>
      <c r="AC15" s="318">
        <v>1</v>
      </c>
      <c r="AD15" s="318">
        <v>31432</v>
      </c>
      <c r="AE15" s="318">
        <v>0</v>
      </c>
      <c r="AF15" s="318">
        <v>0</v>
      </c>
      <c r="AG15" s="318">
        <v>49</v>
      </c>
      <c r="AH15" s="318">
        <v>333</v>
      </c>
      <c r="AI15" s="318">
        <v>0</v>
      </c>
      <c r="AJ15" s="318">
        <v>12</v>
      </c>
      <c r="AK15" s="318">
        <v>471</v>
      </c>
      <c r="AL15" s="318">
        <v>3</v>
      </c>
      <c r="AM15" s="318">
        <v>0</v>
      </c>
      <c r="AN15" s="318">
        <v>0</v>
      </c>
      <c r="AO15" s="319"/>
      <c r="AP15" s="318">
        <v>4</v>
      </c>
      <c r="AQ15" s="319"/>
      <c r="AR15" s="318">
        <v>0</v>
      </c>
      <c r="AS15" s="318">
        <v>5</v>
      </c>
      <c r="AT15" s="318">
        <v>0</v>
      </c>
      <c r="AU15" s="318">
        <v>104</v>
      </c>
      <c r="AV15" s="322"/>
      <c r="AW15" s="320">
        <v>36667</v>
      </c>
      <c r="AX15" s="321">
        <v>1559854</v>
      </c>
    </row>
    <row r="16" spans="1:59" ht="14.4" customHeight="1" x14ac:dyDescent="0.25">
      <c r="A16" s="681"/>
      <c r="B16" s="292" t="s">
        <v>522</v>
      </c>
      <c r="C16" s="684"/>
      <c r="D16" s="318">
        <v>79</v>
      </c>
      <c r="E16" s="318">
        <v>447</v>
      </c>
      <c r="F16" s="318">
        <v>8146</v>
      </c>
      <c r="G16" s="318">
        <v>684</v>
      </c>
      <c r="H16" s="318">
        <v>630</v>
      </c>
      <c r="I16" s="318">
        <v>232</v>
      </c>
      <c r="J16" s="318">
        <v>3226</v>
      </c>
      <c r="K16" s="319"/>
      <c r="L16" s="318">
        <v>3221</v>
      </c>
      <c r="M16" s="318">
        <v>49</v>
      </c>
      <c r="N16" s="318">
        <v>26501</v>
      </c>
      <c r="O16" s="318">
        <v>4312</v>
      </c>
      <c r="P16" s="320">
        <v>47527</v>
      </c>
      <c r="Q16" s="321">
        <v>2088342</v>
      </c>
      <c r="R16" s="681"/>
      <c r="S16" s="318">
        <v>1</v>
      </c>
      <c r="T16" s="318">
        <v>8837</v>
      </c>
      <c r="U16" s="318">
        <v>0</v>
      </c>
      <c r="V16" s="318">
        <v>0</v>
      </c>
      <c r="W16" s="319"/>
      <c r="X16" s="318">
        <v>0</v>
      </c>
      <c r="Y16" s="318">
        <v>0</v>
      </c>
      <c r="Z16" s="318">
        <v>1</v>
      </c>
      <c r="AA16" s="319"/>
      <c r="AB16" s="318">
        <v>6191</v>
      </c>
      <c r="AC16" s="318">
        <v>0</v>
      </c>
      <c r="AD16" s="318">
        <v>48507</v>
      </c>
      <c r="AE16" s="318">
        <v>0</v>
      </c>
      <c r="AF16" s="318">
        <v>0</v>
      </c>
      <c r="AG16" s="318">
        <v>204</v>
      </c>
      <c r="AH16" s="318">
        <v>511</v>
      </c>
      <c r="AI16" s="318">
        <v>0</v>
      </c>
      <c r="AJ16" s="318">
        <v>0</v>
      </c>
      <c r="AK16" s="318">
        <v>395</v>
      </c>
      <c r="AL16" s="318">
        <v>20</v>
      </c>
      <c r="AM16" s="318">
        <v>0</v>
      </c>
      <c r="AN16" s="318">
        <v>0</v>
      </c>
      <c r="AO16" s="319"/>
      <c r="AP16" s="319"/>
      <c r="AQ16" s="318">
        <v>46</v>
      </c>
      <c r="AR16" s="318">
        <v>0</v>
      </c>
      <c r="AS16" s="318">
        <v>88</v>
      </c>
      <c r="AT16" s="318">
        <v>0</v>
      </c>
      <c r="AU16" s="318">
        <v>755</v>
      </c>
      <c r="AV16" s="322"/>
      <c r="AW16" s="320">
        <v>65557</v>
      </c>
      <c r="AX16" s="321">
        <v>2088342</v>
      </c>
    </row>
    <row r="17" spans="1:50" ht="15" customHeight="1" thickBot="1" x14ac:dyDescent="0.3">
      <c r="A17" s="682"/>
      <c r="B17" s="293" t="s">
        <v>523</v>
      </c>
      <c r="C17" s="684"/>
      <c r="D17" s="318">
        <v>1</v>
      </c>
      <c r="E17" s="318">
        <v>26</v>
      </c>
      <c r="F17" s="318">
        <v>697</v>
      </c>
      <c r="G17" s="318">
        <v>34</v>
      </c>
      <c r="H17" s="318">
        <v>24</v>
      </c>
      <c r="I17" s="318">
        <v>16</v>
      </c>
      <c r="J17" s="318">
        <v>158</v>
      </c>
      <c r="K17" s="319"/>
      <c r="L17" s="318">
        <v>1167</v>
      </c>
      <c r="M17" s="318">
        <v>27</v>
      </c>
      <c r="N17" s="318">
        <v>17386</v>
      </c>
      <c r="O17" s="318">
        <v>428</v>
      </c>
      <c r="P17" s="320">
        <v>19965</v>
      </c>
      <c r="Q17" s="321">
        <v>705533</v>
      </c>
      <c r="R17" s="682"/>
      <c r="S17" s="318">
        <v>2</v>
      </c>
      <c r="T17" s="318">
        <v>1248</v>
      </c>
      <c r="U17" s="318">
        <v>0</v>
      </c>
      <c r="V17" s="318">
        <v>0</v>
      </c>
      <c r="W17" s="318">
        <v>0</v>
      </c>
      <c r="X17" s="318">
        <v>0</v>
      </c>
      <c r="Y17" s="318">
        <v>0</v>
      </c>
      <c r="Z17" s="318">
        <v>9</v>
      </c>
      <c r="AA17" s="319"/>
      <c r="AB17" s="318">
        <v>931</v>
      </c>
      <c r="AC17" s="318">
        <v>1</v>
      </c>
      <c r="AD17" s="318">
        <v>17554</v>
      </c>
      <c r="AE17" s="318">
        <v>0</v>
      </c>
      <c r="AF17" s="318">
        <v>0</v>
      </c>
      <c r="AG17" s="318">
        <v>20</v>
      </c>
      <c r="AH17" s="318">
        <v>178</v>
      </c>
      <c r="AI17" s="318">
        <v>0</v>
      </c>
      <c r="AJ17" s="318">
        <v>7</v>
      </c>
      <c r="AK17" s="318">
        <v>103</v>
      </c>
      <c r="AL17" s="318">
        <v>38</v>
      </c>
      <c r="AM17" s="318">
        <v>0</v>
      </c>
      <c r="AN17" s="318">
        <v>1</v>
      </c>
      <c r="AO17" s="319"/>
      <c r="AP17" s="318">
        <v>76</v>
      </c>
      <c r="AQ17" s="319"/>
      <c r="AR17" s="318">
        <v>0</v>
      </c>
      <c r="AS17" s="318">
        <v>2</v>
      </c>
      <c r="AT17" s="318">
        <v>0</v>
      </c>
      <c r="AU17" s="318">
        <v>80</v>
      </c>
      <c r="AV17" s="318">
        <v>0</v>
      </c>
      <c r="AW17" s="320">
        <v>20252</v>
      </c>
      <c r="AX17" s="321">
        <v>705533</v>
      </c>
    </row>
    <row r="18" spans="1:50" s="481" customFormat="1" ht="14.4" customHeight="1" thickBot="1" x14ac:dyDescent="0.3">
      <c r="A18" s="476"/>
      <c r="B18" s="477" t="s">
        <v>37</v>
      </c>
      <c r="C18" s="685"/>
      <c r="D18" s="478">
        <v>99</v>
      </c>
      <c r="E18" s="479">
        <v>4622</v>
      </c>
      <c r="F18" s="479">
        <v>63589</v>
      </c>
      <c r="G18" s="479">
        <v>181</v>
      </c>
      <c r="H18" s="479">
        <v>780</v>
      </c>
      <c r="I18" s="479">
        <v>72909</v>
      </c>
      <c r="J18" s="479">
        <v>31372</v>
      </c>
      <c r="K18" s="479">
        <v>206</v>
      </c>
      <c r="L18" s="479">
        <v>17515</v>
      </c>
      <c r="M18" s="479">
        <v>192</v>
      </c>
      <c r="N18" s="479">
        <v>363874</v>
      </c>
      <c r="O18" s="479">
        <v>216316</v>
      </c>
      <c r="P18" s="478">
        <v>773283</v>
      </c>
      <c r="Q18" s="475">
        <v>5761199</v>
      </c>
      <c r="R18" s="480"/>
      <c r="S18" s="479">
        <v>35</v>
      </c>
      <c r="T18" s="479">
        <v>70542</v>
      </c>
      <c r="U18" s="479">
        <v>8</v>
      </c>
      <c r="V18" s="479">
        <v>8</v>
      </c>
      <c r="W18" s="479">
        <v>9</v>
      </c>
      <c r="X18" s="479">
        <v>1</v>
      </c>
      <c r="Y18" s="479">
        <v>4</v>
      </c>
      <c r="Z18" s="479">
        <v>79</v>
      </c>
      <c r="AA18" s="479">
        <v>1238</v>
      </c>
      <c r="AB18" s="479">
        <v>4983</v>
      </c>
      <c r="AC18" s="479">
        <v>3</v>
      </c>
      <c r="AD18" s="479">
        <v>572929</v>
      </c>
      <c r="AE18" s="479">
        <v>1</v>
      </c>
      <c r="AF18" s="479">
        <v>9</v>
      </c>
      <c r="AG18" s="479">
        <v>5966</v>
      </c>
      <c r="AH18" s="479">
        <v>644</v>
      </c>
      <c r="AI18" s="479">
        <v>2</v>
      </c>
      <c r="AJ18" s="479">
        <v>38</v>
      </c>
      <c r="AK18" s="479">
        <v>17663</v>
      </c>
      <c r="AL18" s="479">
        <v>15265</v>
      </c>
      <c r="AM18" s="479">
        <v>2</v>
      </c>
      <c r="AN18" s="479">
        <v>5</v>
      </c>
      <c r="AO18" s="479">
        <v>27238</v>
      </c>
      <c r="AP18" s="479">
        <v>626</v>
      </c>
      <c r="AQ18" s="479">
        <v>4041</v>
      </c>
      <c r="AR18" s="479">
        <v>12</v>
      </c>
      <c r="AS18" s="479">
        <v>153</v>
      </c>
      <c r="AT18" s="479">
        <v>4</v>
      </c>
      <c r="AU18" s="479">
        <v>5917</v>
      </c>
      <c r="AV18" s="479">
        <v>728</v>
      </c>
      <c r="AW18" s="478">
        <v>778799</v>
      </c>
      <c r="AX18" s="475">
        <v>5761199</v>
      </c>
    </row>
  </sheetData>
  <mergeCells count="12">
    <mergeCell ref="A11:A17"/>
    <mergeCell ref="R11:R17"/>
    <mergeCell ref="AD1:BD1"/>
    <mergeCell ref="A3:A8"/>
    <mergeCell ref="C3:C8"/>
    <mergeCell ref="D3:D8"/>
    <mergeCell ref="E3:E8"/>
    <mergeCell ref="C12:C18"/>
    <mergeCell ref="F1:M1"/>
    <mergeCell ref="N1:T1"/>
    <mergeCell ref="U1:W1"/>
    <mergeCell ref="X1:AC1"/>
  </mergeCells>
  <pageMargins left="0.7" right="0.7" top="0.75" bottom="0.75" header="0.3" footer="0.3"/>
  <pageSetup paperSize="9" orientation="portrait" verticalDpi="0" r:id="rId1"/>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ACBB6C-89CB-47FA-8E02-63F1E8D8B600}">
  <sheetPr>
    <tabColor theme="5" tint="0.39997558519241921"/>
  </sheetPr>
  <dimension ref="A1:DO82"/>
  <sheetViews>
    <sheetView workbookViewId="0">
      <selection activeCell="M3" sqref="M3"/>
    </sheetView>
  </sheetViews>
  <sheetFormatPr defaultColWidth="8.88671875" defaultRowHeight="14.4" x14ac:dyDescent="0.3"/>
  <cols>
    <col min="1" max="1" width="13.77734375" customWidth="1"/>
    <col min="2" max="2" width="23.77734375" customWidth="1"/>
    <col min="5" max="5" width="16.109375" customWidth="1"/>
  </cols>
  <sheetData>
    <row r="1" spans="1:59" s="12" customFormat="1" ht="14.7" customHeight="1" thickBot="1" x14ac:dyDescent="0.35">
      <c r="A1" s="243"/>
      <c r="B1" s="244"/>
      <c r="C1" s="245"/>
      <c r="D1" s="246"/>
      <c r="E1" s="247"/>
      <c r="F1" s="635" t="s">
        <v>557</v>
      </c>
      <c r="G1" s="636"/>
      <c r="H1" s="636"/>
      <c r="I1" s="636"/>
      <c r="J1" s="636"/>
      <c r="K1" s="636"/>
      <c r="L1" s="636"/>
      <c r="M1" s="637"/>
      <c r="N1" s="635" t="s">
        <v>457</v>
      </c>
      <c r="O1" s="636"/>
      <c r="P1" s="636"/>
      <c r="Q1" s="636"/>
      <c r="R1" s="636"/>
      <c r="S1" s="636"/>
      <c r="T1" s="637"/>
      <c r="U1" s="635" t="s">
        <v>458</v>
      </c>
      <c r="V1" s="636"/>
      <c r="W1" s="637"/>
      <c r="X1" s="635" t="s">
        <v>452</v>
      </c>
      <c r="Y1" s="636"/>
      <c r="Z1" s="636"/>
      <c r="AA1" s="636"/>
      <c r="AB1" s="636"/>
      <c r="AC1" s="637"/>
      <c r="AD1" s="635" t="s">
        <v>4</v>
      </c>
      <c r="AE1" s="636"/>
      <c r="AF1" s="636"/>
      <c r="AG1" s="636"/>
      <c r="AH1" s="636"/>
      <c r="AI1" s="636"/>
      <c r="AJ1" s="636"/>
      <c r="AK1" s="636"/>
      <c r="AL1" s="636"/>
      <c r="AM1" s="636"/>
      <c r="AN1" s="636"/>
      <c r="AO1" s="636"/>
      <c r="AP1" s="636"/>
      <c r="AQ1" s="636"/>
      <c r="AR1" s="636"/>
      <c r="AS1" s="636"/>
      <c r="AT1" s="636"/>
      <c r="AU1" s="636"/>
      <c r="AV1" s="636"/>
      <c r="AW1" s="636"/>
      <c r="AX1" s="636"/>
      <c r="AY1" s="636"/>
      <c r="AZ1" s="636"/>
      <c r="BA1" s="636"/>
      <c r="BB1" s="636"/>
      <c r="BC1" s="636"/>
      <c r="BD1" s="637"/>
      <c r="BE1" s="246"/>
      <c r="BF1" s="245"/>
      <c r="BG1" s="245"/>
    </row>
    <row r="2" spans="1:59" s="328" customFormat="1" ht="48.6" thickBot="1" x14ac:dyDescent="0.35">
      <c r="A2" s="219" t="s">
        <v>538</v>
      </c>
      <c r="B2" s="220" t="s">
        <v>5</v>
      </c>
      <c r="C2" s="221" t="s">
        <v>101</v>
      </c>
      <c r="D2" s="222"/>
      <c r="E2" s="223" t="s">
        <v>438</v>
      </c>
      <c r="F2" s="137" t="s">
        <v>82</v>
      </c>
      <c r="G2" s="138" t="s">
        <v>439</v>
      </c>
      <c r="H2" s="138" t="s">
        <v>136</v>
      </c>
      <c r="I2" s="138" t="s">
        <v>440</v>
      </c>
      <c r="J2" s="138" t="s">
        <v>315</v>
      </c>
      <c r="K2" s="138" t="s">
        <v>441</v>
      </c>
      <c r="L2" s="138" t="s">
        <v>684</v>
      </c>
      <c r="M2" s="138" t="s">
        <v>443</v>
      </c>
      <c r="N2" s="137" t="s">
        <v>444</v>
      </c>
      <c r="O2" s="138" t="s">
        <v>81</v>
      </c>
      <c r="P2" s="138" t="s">
        <v>7</v>
      </c>
      <c r="Q2" s="138" t="s">
        <v>127</v>
      </c>
      <c r="R2" s="138" t="s">
        <v>445</v>
      </c>
      <c r="S2" s="138" t="s">
        <v>446</v>
      </c>
      <c r="T2" s="139" t="s">
        <v>447</v>
      </c>
      <c r="U2" s="138" t="s">
        <v>448</v>
      </c>
      <c r="V2" s="138" t="s">
        <v>449</v>
      </c>
      <c r="W2" s="138" t="s">
        <v>450</v>
      </c>
      <c r="X2" s="137" t="s">
        <v>84</v>
      </c>
      <c r="Y2" s="138" t="s">
        <v>451</v>
      </c>
      <c r="Z2" s="138" t="s">
        <v>452</v>
      </c>
      <c r="AA2" s="138" t="s">
        <v>83</v>
      </c>
      <c r="AB2" s="138" t="s">
        <v>453</v>
      </c>
      <c r="AC2" s="139" t="s">
        <v>454</v>
      </c>
      <c r="AD2" s="137" t="s">
        <v>9</v>
      </c>
      <c r="AE2" s="138" t="s">
        <v>10</v>
      </c>
      <c r="AF2" s="138" t="s">
        <v>11</v>
      </c>
      <c r="AG2" s="138" t="s">
        <v>12</v>
      </c>
      <c r="AH2" s="138" t="s">
        <v>13</v>
      </c>
      <c r="AI2" s="138" t="s">
        <v>14</v>
      </c>
      <c r="AJ2" s="138" t="s">
        <v>15</v>
      </c>
      <c r="AK2" s="138" t="s">
        <v>16</v>
      </c>
      <c r="AL2" s="138" t="s">
        <v>17</v>
      </c>
      <c r="AM2" s="140" t="s">
        <v>18</v>
      </c>
      <c r="AN2" s="140" t="s">
        <v>19</v>
      </c>
      <c r="AO2" s="140" t="s">
        <v>20</v>
      </c>
      <c r="AP2" s="140" t="s">
        <v>21</v>
      </c>
      <c r="AQ2" s="140" t="s">
        <v>22</v>
      </c>
      <c r="AR2" s="140" t="s">
        <v>23</v>
      </c>
      <c r="AS2" s="140" t="s">
        <v>24</v>
      </c>
      <c r="AT2" s="140" t="s">
        <v>25</v>
      </c>
      <c r="AU2" s="140" t="s">
        <v>26</v>
      </c>
      <c r="AV2" s="140" t="s">
        <v>27</v>
      </c>
      <c r="AW2" s="140" t="s">
        <v>28</v>
      </c>
      <c r="AX2" s="140" t="s">
        <v>29</v>
      </c>
      <c r="AY2" s="140" t="s">
        <v>30</v>
      </c>
      <c r="AZ2" s="140" t="s">
        <v>31</v>
      </c>
      <c r="BA2" s="140" t="s">
        <v>32</v>
      </c>
      <c r="BB2" s="140" t="s">
        <v>33</v>
      </c>
      <c r="BC2" s="140" t="s">
        <v>34</v>
      </c>
      <c r="BD2" s="140" t="s">
        <v>35</v>
      </c>
      <c r="BE2" s="141" t="s">
        <v>459</v>
      </c>
      <c r="BF2" s="142"/>
      <c r="BG2" s="143" t="s">
        <v>79</v>
      </c>
    </row>
    <row r="3" spans="1:59" s="326" customFormat="1" ht="13.95" customHeight="1" x14ac:dyDescent="0.25">
      <c r="A3" s="603" t="s">
        <v>683</v>
      </c>
      <c r="B3" s="16" t="s">
        <v>524</v>
      </c>
      <c r="C3" s="606" t="s">
        <v>38</v>
      </c>
      <c r="D3" s="606">
        <v>2020</v>
      </c>
      <c r="E3" s="603" t="s">
        <v>656</v>
      </c>
      <c r="F3" s="327"/>
      <c r="G3" s="48"/>
      <c r="H3" s="48"/>
      <c r="I3" s="48"/>
      <c r="J3" s="48"/>
      <c r="K3" s="48"/>
      <c r="L3" s="48"/>
      <c r="M3" s="89"/>
      <c r="N3" s="88">
        <f>'2.8.'!W56+'2.8.'!BP56+'2.8.'!BQ56+'2.8.'!BR56+'2.8.'!BS56</f>
        <v>1179815.24331315</v>
      </c>
      <c r="O3" s="48"/>
      <c r="P3" s="48"/>
      <c r="Q3" s="48"/>
      <c r="R3" s="48"/>
      <c r="S3" s="48"/>
      <c r="T3" s="89">
        <f>'2.8.'!BU56+'2.8.'!BT56+'2.8.'!BV56</f>
        <v>53524.436714013602</v>
      </c>
      <c r="U3" s="86"/>
      <c r="V3" s="47"/>
      <c r="W3" s="47"/>
      <c r="X3" s="86"/>
      <c r="Y3" s="47"/>
      <c r="Z3" s="47"/>
      <c r="AA3" s="47">
        <f>'2.8.'!CQ56</f>
        <v>13438.0500686247</v>
      </c>
      <c r="AB3" s="47"/>
      <c r="AC3" s="87"/>
      <c r="AD3" s="88"/>
      <c r="AE3" s="48"/>
      <c r="AF3" s="48"/>
      <c r="AG3" s="48"/>
      <c r="AH3" s="48"/>
      <c r="AI3" s="48"/>
      <c r="AJ3" s="48"/>
      <c r="AK3" s="48"/>
      <c r="AL3" s="48"/>
      <c r="AM3" s="48"/>
      <c r="AN3" s="53"/>
      <c r="AO3" s="53"/>
      <c r="AP3" s="53"/>
      <c r="AQ3" s="53"/>
      <c r="AR3" s="53"/>
      <c r="AS3" s="53"/>
      <c r="AT3" s="53"/>
      <c r="AU3" s="53"/>
      <c r="AV3" s="53"/>
      <c r="AW3" s="53"/>
      <c r="AX3" s="53"/>
      <c r="AY3" s="53"/>
      <c r="AZ3" s="53"/>
      <c r="BA3" s="53"/>
      <c r="BB3" s="53"/>
      <c r="BC3" s="53"/>
      <c r="BD3" s="53"/>
      <c r="BE3" s="147"/>
      <c r="BF3" s="14"/>
      <c r="BG3" s="150">
        <f>SUM(F3:BD3)</f>
        <v>1246777.7300957884</v>
      </c>
    </row>
    <row r="4" spans="1:59" s="326" customFormat="1" x14ac:dyDescent="0.25">
      <c r="A4" s="604"/>
      <c r="B4" s="16" t="s">
        <v>525</v>
      </c>
      <c r="C4" s="607"/>
      <c r="D4" s="607"/>
      <c r="E4" s="604"/>
      <c r="F4" s="88"/>
      <c r="G4" s="48"/>
      <c r="H4" s="48"/>
      <c r="I4" s="48"/>
      <c r="J4" s="48"/>
      <c r="K4" s="48"/>
      <c r="L4" s="48"/>
      <c r="M4" s="89"/>
      <c r="N4" s="88">
        <f>'2.8.'!W69+'2.8.'!BP69+'2.8.'!BQ69+'2.8.'!BR69+'2.8.'!BS69</f>
        <v>359478.04879227001</v>
      </c>
      <c r="O4" s="48"/>
      <c r="P4" s="48">
        <f>'2.8.'!G69+'2.8.'!BO69</f>
        <v>119960.833267522</v>
      </c>
      <c r="Q4" s="48"/>
      <c r="R4" s="48"/>
      <c r="S4" s="48"/>
      <c r="T4" s="89">
        <f>'2.8.'!BU69+'2.8.'!BT69+'2.8.'!BV69</f>
        <v>31835.336936523701</v>
      </c>
      <c r="U4" s="88">
        <f>'2.8.'!DD69</f>
        <v>529924.11728696094</v>
      </c>
      <c r="V4" s="48">
        <f>'2.8.'!DE69+'2.8.'!DF69</f>
        <v>99843.194248807791</v>
      </c>
      <c r="W4" s="48"/>
      <c r="X4" s="88">
        <f>'2.8.'!CA69+'2.8.'!CB69+'2.8.'!CC69+'2.8.'!CD69+'2.8.'!CE69+'2.8.'!CF69+'2.8.'!CH69+'2.8.'!CG69</f>
        <v>343823.82051114598</v>
      </c>
      <c r="Y4" s="48"/>
      <c r="Z4" s="48">
        <f>'2.8.'!CI69+'2.8.'!DG69+'2.8.'!DH69+'2.8.'!DN69+'2.8.'!DJ69+'2.8.'!DK69+'2.8.'!DL69+'2.8.'!DM69+'2.8.'!DO69</f>
        <v>16949.441539731</v>
      </c>
      <c r="AA4" s="48">
        <f>'2.8.'!CQ69</f>
        <v>20861.982477281399</v>
      </c>
      <c r="AB4" s="48"/>
      <c r="AC4" s="89">
        <f>'2.8.'!DA69</f>
        <v>61412.014429486997</v>
      </c>
      <c r="AD4" s="88"/>
      <c r="AE4" s="48"/>
      <c r="AF4" s="48"/>
      <c r="AG4" s="48"/>
      <c r="AH4" s="48"/>
      <c r="AI4" s="48"/>
      <c r="AJ4" s="48"/>
      <c r="AK4" s="48"/>
      <c r="AL4" s="48"/>
      <c r="AM4" s="48"/>
      <c r="AN4" s="53"/>
      <c r="AO4" s="53"/>
      <c r="AP4" s="53"/>
      <c r="AQ4" s="53"/>
      <c r="AR4" s="53"/>
      <c r="AS4" s="53"/>
      <c r="AT4" s="53"/>
      <c r="AU4" s="53"/>
      <c r="AV4" s="53"/>
      <c r="AW4" s="53"/>
      <c r="AX4" s="53"/>
      <c r="AY4" s="53"/>
      <c r="AZ4" s="53"/>
      <c r="BA4" s="53"/>
      <c r="BB4" s="53"/>
      <c r="BC4" s="53"/>
      <c r="BD4" s="53"/>
      <c r="BE4" s="150"/>
      <c r="BF4" s="14"/>
      <c r="BG4" s="150">
        <f t="shared" ref="BG4:BG41" si="0">SUM(F4:BD4)</f>
        <v>1584088.78948973</v>
      </c>
    </row>
    <row r="5" spans="1:59" s="326" customFormat="1" x14ac:dyDescent="0.25">
      <c r="A5" s="604"/>
      <c r="B5" s="16" t="s">
        <v>526</v>
      </c>
      <c r="C5" s="607"/>
      <c r="D5" s="607"/>
      <c r="E5" s="604"/>
      <c r="F5" s="88">
        <f>'2.8.'!CO70</f>
        <v>153944.64480295699</v>
      </c>
      <c r="G5" s="48"/>
      <c r="H5" s="48"/>
      <c r="I5" s="48"/>
      <c r="J5" s="48"/>
      <c r="K5" s="48"/>
      <c r="L5" s="48"/>
      <c r="M5" s="89"/>
      <c r="N5" s="88">
        <f>'2.8.'!W70+'2.8.'!BP70+'2.8.'!BQ70+'2.8.'!BR70+'2.8.'!BS70</f>
        <v>731585.02998749504</v>
      </c>
      <c r="O5" s="48"/>
      <c r="P5" s="48">
        <f>'2.8.'!G70+'2.8.'!BO70</f>
        <v>5220.7037545012399</v>
      </c>
      <c r="Q5" s="48"/>
      <c r="R5" s="48"/>
      <c r="S5" s="48"/>
      <c r="T5" s="89">
        <f>'2.8.'!BU70+'2.8.'!BT70+'2.8.'!BV70</f>
        <v>1564.19288820877</v>
      </c>
      <c r="U5" s="88">
        <f>'2.8.'!DD70</f>
        <v>230255.68080638899</v>
      </c>
      <c r="V5" s="48">
        <f>'2.8.'!DE70+'2.8.'!DF70</f>
        <v>230465.0296411145</v>
      </c>
      <c r="W5" s="48"/>
      <c r="X5" s="88">
        <f>'2.8.'!CA70+'2.8.'!CB70+'2.8.'!CC70+'2.8.'!CD70+'2.8.'!CE70+'2.8.'!CF70+'2.8.'!CH70+'2.8.'!CG70</f>
        <v>32318.350764806801</v>
      </c>
      <c r="Y5" s="48"/>
      <c r="Z5" s="48">
        <f>32318.3507648068+20440.3767968371</f>
        <v>52758.7275616439</v>
      </c>
      <c r="AA5" s="48"/>
      <c r="AB5" s="48"/>
      <c r="AC5" s="89"/>
      <c r="AD5" s="88"/>
      <c r="AE5" s="48"/>
      <c r="AF5" s="48"/>
      <c r="AG5" s="48"/>
      <c r="AH5" s="48"/>
      <c r="AI5" s="48"/>
      <c r="AJ5" s="48"/>
      <c r="AK5" s="48"/>
      <c r="AL5" s="48"/>
      <c r="AM5" s="48"/>
      <c r="AN5" s="53"/>
      <c r="AO5" s="53"/>
      <c r="AP5" s="53"/>
      <c r="AQ5" s="53"/>
      <c r="AR5" s="53"/>
      <c r="AS5" s="53"/>
      <c r="AT5" s="53"/>
      <c r="AU5" s="53"/>
      <c r="AV5" s="53"/>
      <c r="AW5" s="53"/>
      <c r="AX5" s="53"/>
      <c r="AY5" s="53"/>
      <c r="AZ5" s="53"/>
      <c r="BA5" s="53"/>
      <c r="BB5" s="53"/>
      <c r="BC5" s="53"/>
      <c r="BD5" s="53"/>
      <c r="BE5" s="150"/>
      <c r="BF5" s="14"/>
      <c r="BG5" s="150">
        <f t="shared" si="0"/>
        <v>1438112.360207116</v>
      </c>
    </row>
    <row r="6" spans="1:59" s="326" customFormat="1" x14ac:dyDescent="0.25">
      <c r="A6" s="604"/>
      <c r="B6" s="16" t="s">
        <v>527</v>
      </c>
      <c r="C6" s="607"/>
      <c r="D6" s="607"/>
      <c r="E6" s="604"/>
      <c r="F6" s="88"/>
      <c r="G6" s="48"/>
      <c r="H6" s="48"/>
      <c r="I6" s="48"/>
      <c r="J6" s="48"/>
      <c r="K6" s="48"/>
      <c r="L6" s="48"/>
      <c r="M6" s="89"/>
      <c r="N6" s="88">
        <f>'2.8.'!W71+'2.8.'!BP71+'2.8.'!BQ71+'2.8.'!BR71+'2.8.'!BS71</f>
        <v>97607.783338606198</v>
      </c>
      <c r="O6" s="48"/>
      <c r="P6" s="48">
        <f>'2.8.'!G71+'2.8.'!BO71</f>
        <v>77122.118575500004</v>
      </c>
      <c r="Q6" s="48"/>
      <c r="R6" s="48"/>
      <c r="S6" s="48"/>
      <c r="T6" s="89">
        <f>'2.8.'!BU71+'2.8.'!BT71+'2.8.'!BV71</f>
        <v>15493.6796243151</v>
      </c>
      <c r="U6" s="88">
        <f>'2.8.'!DD71</f>
        <v>1082233.17854237</v>
      </c>
      <c r="V6" s="48">
        <f>'2.8.'!DE71+'2.8.'!DF71</f>
        <v>138288.29369742839</v>
      </c>
      <c r="W6" s="48"/>
      <c r="X6" s="88">
        <f>'2.8.'!CA71+'2.8.'!CB71+'2.8.'!CC71+'2.8.'!CD71+'2.8.'!CE71+'2.8.'!CF71+'2.8.'!CH71+'2.8.'!CG71</f>
        <v>3926.09923963344</v>
      </c>
      <c r="Y6" s="48"/>
      <c r="Z6" s="48">
        <f>3926.09923963344+26518.3414153761</f>
        <v>30444.440655009541</v>
      </c>
      <c r="AA6" s="48">
        <f>'2.8.'!CQ71</f>
        <v>255556.89487830299</v>
      </c>
      <c r="AB6" s="48"/>
      <c r="AC6" s="89">
        <f>'2.8.'!DA71</f>
        <v>640.627269383672</v>
      </c>
      <c r="AD6" s="88"/>
      <c r="AE6" s="48"/>
      <c r="AF6" s="48"/>
      <c r="AG6" s="48"/>
      <c r="AH6" s="48"/>
      <c r="AI6" s="48"/>
      <c r="AJ6" s="48"/>
      <c r="AK6" s="48"/>
      <c r="AL6" s="48"/>
      <c r="AM6" s="48"/>
      <c r="AN6" s="53"/>
      <c r="AO6" s="53"/>
      <c r="AP6" s="53"/>
      <c r="AQ6" s="53"/>
      <c r="AR6" s="53"/>
      <c r="AS6" s="53"/>
      <c r="AT6" s="53"/>
      <c r="AU6" s="53"/>
      <c r="AV6" s="53"/>
      <c r="AW6" s="53"/>
      <c r="AX6" s="53"/>
      <c r="AY6" s="53"/>
      <c r="AZ6" s="53"/>
      <c r="BA6" s="53"/>
      <c r="BB6" s="53"/>
      <c r="BC6" s="53"/>
      <c r="BD6" s="53"/>
      <c r="BE6" s="150"/>
      <c r="BF6" s="14"/>
      <c r="BG6" s="150">
        <f t="shared" si="0"/>
        <v>1701313.1158205494</v>
      </c>
    </row>
    <row r="7" spans="1:59" s="326" customFormat="1" x14ac:dyDescent="0.25">
      <c r="A7" s="604"/>
      <c r="B7" s="16" t="s">
        <v>528</v>
      </c>
      <c r="C7" s="607"/>
      <c r="D7" s="607"/>
      <c r="E7" s="604"/>
      <c r="F7" s="88"/>
      <c r="G7" s="48"/>
      <c r="H7" s="48"/>
      <c r="I7" s="48"/>
      <c r="J7" s="48"/>
      <c r="K7" s="48"/>
      <c r="L7" s="48"/>
      <c r="M7" s="89"/>
      <c r="N7" s="88">
        <f>'2.8.'!W72+'2.8.'!BP72+'2.8.'!BQ72+'2.8.'!BR72+'2.8.'!BS72</f>
        <v>154082.697862909</v>
      </c>
      <c r="O7" s="48"/>
      <c r="P7" s="48"/>
      <c r="Q7" s="48"/>
      <c r="R7" s="48"/>
      <c r="S7" s="48"/>
      <c r="T7" s="89">
        <f>'2.8.'!BU72+'2.8.'!BT72+'2.8.'!BV72</f>
        <v>149.059396210611</v>
      </c>
      <c r="U7" s="88">
        <f>'2.8.'!DD72</f>
        <v>34283.661128440603</v>
      </c>
      <c r="V7" s="48">
        <f>'2.8.'!DE72+'2.8.'!DF72</f>
        <v>7136.2185935830203</v>
      </c>
      <c r="W7" s="48"/>
      <c r="X7" s="88">
        <f>'2.8.'!CA72+'2.8.'!CB72+'2.8.'!CC72+'2.8.'!CD72+'2.8.'!CE72+'2.8.'!CF72+'2.8.'!CH72+'2.8.'!CG72</f>
        <v>170065.591621592</v>
      </c>
      <c r="Y7" s="48"/>
      <c r="Z7" s="48">
        <v>170065.591621592</v>
      </c>
      <c r="AA7" s="48"/>
      <c r="AB7" s="48"/>
      <c r="AC7" s="89">
        <f>'2.8.'!DA72</f>
        <v>78235.687343591897</v>
      </c>
      <c r="AD7" s="88"/>
      <c r="AE7" s="48"/>
      <c r="AF7" s="48"/>
      <c r="AG7" s="48"/>
      <c r="AH7" s="48"/>
      <c r="AI7" s="48"/>
      <c r="AJ7" s="48"/>
      <c r="AK7" s="48"/>
      <c r="AL7" s="48"/>
      <c r="AM7" s="48"/>
      <c r="AN7" s="53"/>
      <c r="AO7" s="53"/>
      <c r="AP7" s="53"/>
      <c r="AQ7" s="53"/>
      <c r="AR7" s="53"/>
      <c r="AS7" s="53"/>
      <c r="AT7" s="53"/>
      <c r="AU7" s="53"/>
      <c r="AV7" s="53"/>
      <c r="AW7" s="53"/>
      <c r="AX7" s="53"/>
      <c r="AY7" s="53"/>
      <c r="AZ7" s="53"/>
      <c r="BA7" s="53"/>
      <c r="BB7" s="53"/>
      <c r="BC7" s="53"/>
      <c r="BD7" s="53"/>
      <c r="BE7" s="150"/>
      <c r="BF7" s="14"/>
      <c r="BG7" s="150">
        <f t="shared" si="0"/>
        <v>614018.50756791921</v>
      </c>
    </row>
    <row r="8" spans="1:59" s="326" customFormat="1" x14ac:dyDescent="0.25">
      <c r="A8" s="604"/>
      <c r="B8" s="16" t="s">
        <v>529</v>
      </c>
      <c r="C8" s="607"/>
      <c r="D8" s="607"/>
      <c r="E8" s="604"/>
      <c r="F8" s="88"/>
      <c r="G8" s="48"/>
      <c r="H8" s="48"/>
      <c r="I8" s="48"/>
      <c r="J8" s="48"/>
      <c r="K8" s="48"/>
      <c r="L8" s="48"/>
      <c r="M8" s="89"/>
      <c r="N8" s="88"/>
      <c r="O8" s="48"/>
      <c r="P8" s="48">
        <f>'2.8.'!G73+'2.8.'!BO73</f>
        <v>23300.5696839706</v>
      </c>
      <c r="Q8" s="48"/>
      <c r="R8" s="48"/>
      <c r="S8" s="48"/>
      <c r="T8" s="89"/>
      <c r="U8" s="88"/>
      <c r="V8" s="48"/>
      <c r="W8" s="48"/>
      <c r="X8" s="88"/>
      <c r="Y8" s="48"/>
      <c r="Z8" s="48">
        <v>2385321.0499999998</v>
      </c>
      <c r="AA8" s="48"/>
      <c r="AB8" s="48"/>
      <c r="AC8" s="89"/>
      <c r="AD8" s="88"/>
      <c r="AE8" s="48"/>
      <c r="AF8" s="48"/>
      <c r="AG8" s="48"/>
      <c r="AH8" s="48"/>
      <c r="AI8" s="48"/>
      <c r="AJ8" s="48"/>
      <c r="AK8" s="48"/>
      <c r="AL8" s="48"/>
      <c r="AM8" s="48"/>
      <c r="AN8" s="53"/>
      <c r="AO8" s="53"/>
      <c r="AP8" s="53"/>
      <c r="AQ8" s="53"/>
      <c r="AR8" s="53"/>
      <c r="AS8" s="53"/>
      <c r="AT8" s="53"/>
      <c r="AU8" s="53"/>
      <c r="AV8" s="53"/>
      <c r="AW8" s="53"/>
      <c r="AX8" s="53"/>
      <c r="AY8" s="53"/>
      <c r="AZ8" s="53"/>
      <c r="BA8" s="53"/>
      <c r="BB8" s="53"/>
      <c r="BC8" s="53"/>
      <c r="BD8" s="53"/>
      <c r="BE8" s="150"/>
      <c r="BF8" s="14"/>
      <c r="BG8" s="150">
        <f t="shared" si="0"/>
        <v>2408621.6196839702</v>
      </c>
    </row>
    <row r="9" spans="1:59" s="326" customFormat="1" x14ac:dyDescent="0.25">
      <c r="A9" s="604"/>
      <c r="B9" s="16" t="s">
        <v>530</v>
      </c>
      <c r="C9" s="607"/>
      <c r="D9" s="607"/>
      <c r="E9" s="604"/>
      <c r="F9" s="88"/>
      <c r="G9" s="48"/>
      <c r="H9" s="48"/>
      <c r="I9" s="48"/>
      <c r="J9" s="48"/>
      <c r="K9" s="48"/>
      <c r="L9" s="48"/>
      <c r="M9" s="89"/>
      <c r="N9" s="88">
        <f>'2.8.'!W74+'2.8.'!BP74+'2.8.'!BQ74+'2.8.'!BR74+'2.8.'!BS74</f>
        <v>303409.19001975103</v>
      </c>
      <c r="O9" s="48"/>
      <c r="P9" s="48"/>
      <c r="Q9" s="48"/>
      <c r="R9" s="48"/>
      <c r="S9" s="48"/>
      <c r="T9" s="89"/>
      <c r="U9" s="88"/>
      <c r="V9" s="48">
        <f>'2.8.'!DE74+'2.8.'!DF74</f>
        <v>2898828.1571738184</v>
      </c>
      <c r="W9" s="48"/>
      <c r="X9" s="88">
        <f>'2.8.'!CA74+'2.8.'!CB74+'2.8.'!CC74+'2.8.'!CD74+'2.8.'!CE74+'2.8.'!CF74+'2.8.'!CH74+'2.8.'!CG74</f>
        <v>87137.329228937597</v>
      </c>
      <c r="Y9" s="48"/>
      <c r="Z9" s="48">
        <v>87137.329228937597</v>
      </c>
      <c r="AA9" s="48"/>
      <c r="AB9" s="48"/>
      <c r="AC9" s="89">
        <f>'2.8.'!DA74</f>
        <v>20444.266575249701</v>
      </c>
      <c r="AD9" s="88"/>
      <c r="AE9" s="48"/>
      <c r="AF9" s="48"/>
      <c r="AG9" s="48"/>
      <c r="AH9" s="48"/>
      <c r="AI9" s="48"/>
      <c r="AJ9" s="48"/>
      <c r="AK9" s="48"/>
      <c r="AL9" s="48"/>
      <c r="AM9" s="48"/>
      <c r="AN9" s="53"/>
      <c r="AO9" s="53"/>
      <c r="AP9" s="53"/>
      <c r="AQ9" s="53"/>
      <c r="AR9" s="53"/>
      <c r="AS9" s="53"/>
      <c r="AT9" s="53"/>
      <c r="AU9" s="53"/>
      <c r="AV9" s="53"/>
      <c r="AW9" s="53"/>
      <c r="AX9" s="53"/>
      <c r="AY9" s="53"/>
      <c r="AZ9" s="53"/>
      <c r="BA9" s="53"/>
      <c r="BB9" s="53"/>
      <c r="BC9" s="53"/>
      <c r="BD9" s="53"/>
      <c r="BE9" s="150"/>
      <c r="BF9" s="14"/>
      <c r="BG9" s="150">
        <f t="shared" si="0"/>
        <v>3396956.2722266945</v>
      </c>
    </row>
    <row r="10" spans="1:59" s="326" customFormat="1" x14ac:dyDescent="0.25">
      <c r="A10" s="604"/>
      <c r="B10" s="16" t="s">
        <v>531</v>
      </c>
      <c r="C10" s="607"/>
      <c r="D10" s="607"/>
      <c r="E10" s="604"/>
      <c r="F10" s="88"/>
      <c r="G10" s="48"/>
      <c r="H10" s="48"/>
      <c r="I10" s="48"/>
      <c r="J10" s="48"/>
      <c r="K10" s="48"/>
      <c r="L10" s="48"/>
      <c r="M10" s="89"/>
      <c r="N10" s="88"/>
      <c r="O10" s="48"/>
      <c r="P10" s="48"/>
      <c r="Q10" s="48"/>
      <c r="R10" s="48"/>
      <c r="S10" s="48"/>
      <c r="T10" s="89"/>
      <c r="U10" s="88"/>
      <c r="V10" s="48"/>
      <c r="W10" s="48"/>
      <c r="X10" s="88">
        <f>'2.8.'!CA75+'2.8.'!CB75+'2.8.'!CC75+'2.8.'!CD75+'2.8.'!CE75+'2.8.'!CF75+'2.8.'!CH75+'2.8.'!CG75</f>
        <v>46.924823665139598</v>
      </c>
      <c r="Y10" s="48"/>
      <c r="Z10" s="48">
        <v>46.924823665139598</v>
      </c>
      <c r="AA10" s="48"/>
      <c r="AB10" s="48"/>
      <c r="AC10" s="89"/>
      <c r="AD10" s="88"/>
      <c r="AE10" s="48"/>
      <c r="AF10" s="48"/>
      <c r="AG10" s="48"/>
      <c r="AH10" s="48"/>
      <c r="AI10" s="48"/>
      <c r="AJ10" s="48"/>
      <c r="AK10" s="48"/>
      <c r="AL10" s="48"/>
      <c r="AM10" s="48"/>
      <c r="AN10" s="53"/>
      <c r="AO10" s="53"/>
      <c r="AP10" s="53"/>
      <c r="AQ10" s="53"/>
      <c r="AR10" s="53"/>
      <c r="AS10" s="53"/>
      <c r="AT10" s="53"/>
      <c r="AU10" s="53"/>
      <c r="AV10" s="53"/>
      <c r="AW10" s="53"/>
      <c r="AX10" s="53"/>
      <c r="AY10" s="53"/>
      <c r="AZ10" s="53"/>
      <c r="BA10" s="53"/>
      <c r="BB10" s="53"/>
      <c r="BC10" s="53"/>
      <c r="BD10" s="53">
        <f>'2.8.'!BM75</f>
        <v>18486.425323078998</v>
      </c>
      <c r="BE10" s="150">
        <f t="shared" ref="BE10:BE15" si="1">SUM(AD10:BD10)</f>
        <v>18486.425323078998</v>
      </c>
      <c r="BF10" s="14"/>
      <c r="BG10" s="150">
        <f t="shared" si="0"/>
        <v>18580.274970409278</v>
      </c>
    </row>
    <row r="11" spans="1:59" s="326" customFormat="1" x14ac:dyDescent="0.25">
      <c r="A11" s="604"/>
      <c r="B11" s="16" t="s">
        <v>532</v>
      </c>
      <c r="C11" s="607"/>
      <c r="D11" s="607"/>
      <c r="E11" s="604"/>
      <c r="F11" s="88"/>
      <c r="G11" s="48"/>
      <c r="H11" s="48"/>
      <c r="I11" s="48"/>
      <c r="J11" s="48"/>
      <c r="K11" s="48"/>
      <c r="L11" s="48"/>
      <c r="M11" s="89"/>
      <c r="N11" s="88">
        <f>'2.8.'!W76+'2.8.'!BP76+'2.8.'!BQ76+'2.8.'!BR76+'2.8.'!BS76</f>
        <v>38857.415338369901</v>
      </c>
      <c r="O11" s="48"/>
      <c r="P11" s="48"/>
      <c r="Q11" s="48"/>
      <c r="R11" s="48"/>
      <c r="S11" s="48"/>
      <c r="T11" s="89">
        <f>'2.8.'!BU76+'2.8.'!BT76+'2.8.'!BV76</f>
        <v>4931.4869953077196</v>
      </c>
      <c r="U11" s="88"/>
      <c r="V11" s="48"/>
      <c r="W11" s="48"/>
      <c r="X11" s="88">
        <f>'2.8.'!CA76+'2.8.'!CB76+'2.8.'!CC76+'2.8.'!CD76+'2.8.'!CE76+'2.8.'!CF76+'2.8.'!CH76+'2.8.'!CG76</f>
        <v>59785.835491059399</v>
      </c>
      <c r="Y11" s="48"/>
      <c r="Z11" s="48">
        <v>59785.835491059399</v>
      </c>
      <c r="AA11" s="48"/>
      <c r="AB11" s="48"/>
      <c r="AC11" s="89"/>
      <c r="AD11" s="88"/>
      <c r="AE11" s="48"/>
      <c r="AF11" s="48"/>
      <c r="AG11" s="48"/>
      <c r="AH11" s="48"/>
      <c r="AI11" s="48"/>
      <c r="AJ11" s="48"/>
      <c r="AK11" s="48"/>
      <c r="AL11" s="48"/>
      <c r="AM11" s="48"/>
      <c r="AN11" s="53"/>
      <c r="AO11" s="53"/>
      <c r="AP11" s="53"/>
      <c r="AQ11" s="53"/>
      <c r="AR11" s="53"/>
      <c r="AS11" s="53"/>
      <c r="AT11" s="53"/>
      <c r="AU11" s="53"/>
      <c r="AV11" s="53"/>
      <c r="AW11" s="53"/>
      <c r="AX11" s="53"/>
      <c r="AY11" s="53"/>
      <c r="AZ11" s="53"/>
      <c r="BA11" s="53"/>
      <c r="BB11" s="53"/>
      <c r="BC11" s="53"/>
      <c r="BD11" s="53"/>
      <c r="BE11" s="150"/>
      <c r="BF11" s="14"/>
      <c r="BG11" s="150">
        <f t="shared" si="0"/>
        <v>163360.57331579641</v>
      </c>
    </row>
    <row r="12" spans="1:59" s="326" customFormat="1" x14ac:dyDescent="0.25">
      <c r="A12" s="604"/>
      <c r="B12" s="16" t="s">
        <v>533</v>
      </c>
      <c r="C12" s="607"/>
      <c r="D12" s="607"/>
      <c r="E12" s="604"/>
      <c r="F12" s="88"/>
      <c r="G12" s="48"/>
      <c r="H12" s="48"/>
      <c r="I12" s="48"/>
      <c r="J12" s="48"/>
      <c r="K12" s="48"/>
      <c r="L12" s="48"/>
      <c r="M12" s="89"/>
      <c r="N12" s="88">
        <f>'2.8.'!W77+'2.8.'!BP77+'2.8.'!BQ77+'2.8.'!BR77+'2.8.'!BS77</f>
        <v>1.3159202900673699E-4</v>
      </c>
      <c r="O12" s="48"/>
      <c r="P12" s="48"/>
      <c r="Q12" s="48"/>
      <c r="R12" s="48"/>
      <c r="S12" s="48"/>
      <c r="T12" s="89">
        <f>'2.8.'!BU77+'2.8.'!BT77+'2.8.'!BV77</f>
        <v>118431.609822817</v>
      </c>
      <c r="U12" s="88">
        <f>'2.8.'!DD77</f>
        <v>4.38436834364431E-5</v>
      </c>
      <c r="V12" s="48">
        <f>'2.8.'!DE77+'2.8.'!DF77+'2.8.'!DB77</f>
        <v>177647.414602604</v>
      </c>
      <c r="W12" s="48"/>
      <c r="X12" s="88">
        <f>'2.8.'!CA77+'2.8.'!CB77+'2.8.'!CC77+'2.8.'!CD77+'2.8.'!CE77+'2.8.'!CF77+'2.8.'!CH77+'2.8.'!CG77</f>
        <v>296090.69079206901</v>
      </c>
      <c r="Y12" s="48"/>
      <c r="Z12" s="48">
        <f>296090.690792069+177647.414602604+4.92</f>
        <v>473743.02539467299</v>
      </c>
      <c r="AA12" s="48"/>
      <c r="AB12" s="48"/>
      <c r="AC12" s="89"/>
      <c r="AD12" s="88"/>
      <c r="AE12" s="48"/>
      <c r="AF12" s="48"/>
      <c r="AG12" s="48"/>
      <c r="AH12" s="48"/>
      <c r="AI12" s="48"/>
      <c r="AJ12" s="48"/>
      <c r="AK12" s="48"/>
      <c r="AL12" s="48"/>
      <c r="AM12" s="48"/>
      <c r="AN12" s="53"/>
      <c r="AO12" s="53"/>
      <c r="AP12" s="53"/>
      <c r="AQ12" s="53"/>
      <c r="AR12" s="53"/>
      <c r="AS12" s="53"/>
      <c r="AT12" s="53"/>
      <c r="AU12" s="53"/>
      <c r="AV12" s="53"/>
      <c r="AW12" s="53"/>
      <c r="AX12" s="53"/>
      <c r="AY12" s="53"/>
      <c r="AZ12" s="53"/>
      <c r="BA12" s="53"/>
      <c r="BB12" s="53"/>
      <c r="BC12" s="53"/>
      <c r="BD12" s="53"/>
      <c r="BE12" s="150"/>
      <c r="BF12" s="14"/>
      <c r="BG12" s="150">
        <f t="shared" si="0"/>
        <v>1065912.7407875988</v>
      </c>
    </row>
    <row r="13" spans="1:59" s="326" customFormat="1" x14ac:dyDescent="0.25">
      <c r="A13" s="604"/>
      <c r="B13" s="16" t="s">
        <v>534</v>
      </c>
      <c r="C13" s="607"/>
      <c r="D13" s="607"/>
      <c r="E13" s="604"/>
      <c r="F13" s="88"/>
      <c r="G13" s="48"/>
      <c r="H13" s="48"/>
      <c r="I13" s="48"/>
      <c r="J13" s="48"/>
      <c r="K13" s="48"/>
      <c r="L13" s="48"/>
      <c r="M13" s="89"/>
      <c r="N13" s="88"/>
      <c r="O13" s="48"/>
      <c r="P13" s="48"/>
      <c r="Q13" s="48"/>
      <c r="R13" s="48"/>
      <c r="S13" s="48"/>
      <c r="T13" s="89">
        <f>'2.8.'!BU78+'2.8.'!BT78+'2.8.'!BV78</f>
        <v>318.384201988543</v>
      </c>
      <c r="U13" s="88">
        <f>'2.8.'!DD78</f>
        <v>18177.277767981101</v>
      </c>
      <c r="V13" s="48"/>
      <c r="W13" s="48"/>
      <c r="X13" s="88">
        <f>'2.8.'!CA78+'2.8.'!CB78+'2.8.'!CC78+'2.8.'!CD78+'2.8.'!CE78+'2.8.'!CF78+'2.8.'!CH78+'2.8.'!CG78</f>
        <v>52192.426719801202</v>
      </c>
      <c r="Y13" s="48"/>
      <c r="Z13" s="48">
        <f>52192.4267198012+291050.28</f>
        <v>343242.70671980124</v>
      </c>
      <c r="AA13" s="48"/>
      <c r="AB13" s="48"/>
      <c r="AC13" s="89"/>
      <c r="AD13" s="88"/>
      <c r="AE13" s="48"/>
      <c r="AF13" s="48"/>
      <c r="AG13" s="48"/>
      <c r="AH13" s="48"/>
      <c r="AI13" s="48"/>
      <c r="AJ13" s="48"/>
      <c r="AK13" s="48"/>
      <c r="AL13" s="48"/>
      <c r="AM13" s="48"/>
      <c r="AN13" s="53"/>
      <c r="AO13" s="53"/>
      <c r="AP13" s="53"/>
      <c r="AQ13" s="53"/>
      <c r="AR13" s="53"/>
      <c r="AS13" s="53"/>
      <c r="AT13" s="53"/>
      <c r="AU13" s="53"/>
      <c r="AV13" s="53"/>
      <c r="AW13" s="53"/>
      <c r="AX13" s="53"/>
      <c r="AY13" s="53"/>
      <c r="AZ13" s="53"/>
      <c r="BA13" s="53"/>
      <c r="BB13" s="53"/>
      <c r="BC13" s="53"/>
      <c r="BD13" s="53"/>
      <c r="BE13" s="150"/>
      <c r="BF13" s="14"/>
      <c r="BG13" s="150">
        <f t="shared" si="0"/>
        <v>413930.79540957208</v>
      </c>
    </row>
    <row r="14" spans="1:59" s="326" customFormat="1" x14ac:dyDescent="0.25">
      <c r="A14" s="604"/>
      <c r="B14" s="16" t="s">
        <v>535</v>
      </c>
      <c r="C14" s="607"/>
      <c r="D14" s="607"/>
      <c r="E14" s="604"/>
      <c r="F14" s="88"/>
      <c r="G14" s="48"/>
      <c r="H14" s="48"/>
      <c r="I14" s="48"/>
      <c r="J14" s="48"/>
      <c r="K14" s="48"/>
      <c r="L14" s="48"/>
      <c r="M14" s="89"/>
      <c r="N14" s="88">
        <f>'2.8.'!W79+'2.8.'!BP79+'2.8.'!BQ79+'2.8.'!BR79+'2.8.'!BS79</f>
        <v>1098.5819258179199</v>
      </c>
      <c r="O14" s="48"/>
      <c r="P14" s="48">
        <f>'2.8.'!G79+'2.8.'!BO79</f>
        <v>47.022435409919098</v>
      </c>
      <c r="Q14" s="48"/>
      <c r="R14" s="48"/>
      <c r="S14" s="48"/>
      <c r="T14" s="89"/>
      <c r="U14" s="88"/>
      <c r="V14" s="48"/>
      <c r="W14" s="48"/>
      <c r="X14" s="88"/>
      <c r="Y14" s="48"/>
      <c r="Z14" s="48">
        <v>800.66</v>
      </c>
      <c r="AA14" s="48"/>
      <c r="AB14" s="48"/>
      <c r="AC14" s="89"/>
      <c r="AD14" s="88"/>
      <c r="AE14" s="48"/>
      <c r="AF14" s="48"/>
      <c r="AG14" s="48"/>
      <c r="AH14" s="48"/>
      <c r="AI14" s="48"/>
      <c r="AJ14" s="48"/>
      <c r="AK14" s="48"/>
      <c r="AL14" s="48"/>
      <c r="AM14" s="48"/>
      <c r="AN14" s="53"/>
      <c r="AO14" s="53"/>
      <c r="AP14" s="53"/>
      <c r="AQ14" s="53"/>
      <c r="AR14" s="53">
        <f>'2.8.'!BB79</f>
        <v>1.55036141089344</v>
      </c>
      <c r="AS14" s="53"/>
      <c r="AT14" s="53"/>
      <c r="AU14" s="53"/>
      <c r="AV14" s="53"/>
      <c r="AW14" s="53"/>
      <c r="AX14" s="53"/>
      <c r="AY14" s="53"/>
      <c r="AZ14" s="53"/>
      <c r="BA14" s="53"/>
      <c r="BB14" s="53"/>
      <c r="BC14" s="53"/>
      <c r="BD14" s="53"/>
      <c r="BE14" s="150">
        <f t="shared" si="1"/>
        <v>1.55036141089344</v>
      </c>
      <c r="BF14" s="14"/>
      <c r="BG14" s="150">
        <f t="shared" si="0"/>
        <v>1947.8147226387323</v>
      </c>
    </row>
    <row r="15" spans="1:59" s="326" customFormat="1" x14ac:dyDescent="0.25">
      <c r="A15" s="604"/>
      <c r="B15" s="16" t="s">
        <v>536</v>
      </c>
      <c r="C15" s="607"/>
      <c r="D15" s="607"/>
      <c r="E15" s="604"/>
      <c r="F15" s="88"/>
      <c r="G15" s="48"/>
      <c r="H15" s="48"/>
      <c r="I15" s="48"/>
      <c r="J15" s="48"/>
      <c r="K15" s="48"/>
      <c r="L15" s="48"/>
      <c r="M15" s="89"/>
      <c r="N15" s="88">
        <f>'2.8.'!W80+'2.8.'!BP80+'2.8.'!BQ80+'2.8.'!BR80+'2.8.'!BS80</f>
        <v>56070.297361928198</v>
      </c>
      <c r="O15" s="48"/>
      <c r="P15" s="48">
        <f>'2.8.'!G80+'2.8.'!BO80</f>
        <v>2686.1997234404098</v>
      </c>
      <c r="Q15" s="48"/>
      <c r="R15" s="48"/>
      <c r="S15" s="48"/>
      <c r="T15" s="89"/>
      <c r="U15" s="88"/>
      <c r="V15" s="48"/>
      <c r="W15" s="48"/>
      <c r="X15" s="88"/>
      <c r="Y15" s="48"/>
      <c r="Z15" s="48">
        <v>46841.84</v>
      </c>
      <c r="AA15" s="48"/>
      <c r="AB15" s="48"/>
      <c r="AC15" s="89"/>
      <c r="AD15" s="88">
        <f>'2.8.'!AJ80</f>
        <v>8.8032534336909697E-6</v>
      </c>
      <c r="AE15" s="48"/>
      <c r="AF15" s="48"/>
      <c r="AG15" s="48">
        <f>'2.8.'!AB80</f>
        <v>153.610960017385</v>
      </c>
      <c r="AH15" s="48"/>
      <c r="AI15" s="48"/>
      <c r="AJ15" s="48"/>
      <c r="AK15" s="48"/>
      <c r="AL15" s="48"/>
      <c r="AM15" s="48"/>
      <c r="AN15" s="53">
        <f>'2.8.'!AO80</f>
        <v>1.4663684198865899E-3</v>
      </c>
      <c r="AO15" s="53">
        <f>'2.8.'!R80</f>
        <v>2646.2805091661899</v>
      </c>
      <c r="AP15" s="53"/>
      <c r="AQ15" s="53"/>
      <c r="AR15" s="53">
        <f>'2.8.'!BB80</f>
        <v>388.76359686148299</v>
      </c>
      <c r="AS15" s="53"/>
      <c r="AT15" s="53"/>
      <c r="AU15" s="53"/>
      <c r="AV15" s="53"/>
      <c r="AW15" s="53">
        <f>'2.8.'!BH80</f>
        <v>9.22714728044118</v>
      </c>
      <c r="AX15" s="53"/>
      <c r="AY15" s="53"/>
      <c r="AZ15" s="53"/>
      <c r="BA15" s="53"/>
      <c r="BB15" s="53">
        <f>'2.8.'!Q80</f>
        <v>5.8341505079755702E-4</v>
      </c>
      <c r="BC15" s="53"/>
      <c r="BD15" s="53"/>
      <c r="BE15" s="150">
        <f t="shared" si="1"/>
        <v>3197.8842719122235</v>
      </c>
      <c r="BF15" s="14"/>
      <c r="BG15" s="150">
        <f t="shared" si="0"/>
        <v>108796.22135728083</v>
      </c>
    </row>
    <row r="16" spans="1:59" s="326" customFormat="1" x14ac:dyDescent="0.25">
      <c r="A16" s="604"/>
      <c r="B16" s="16" t="s">
        <v>537</v>
      </c>
      <c r="C16" s="607"/>
      <c r="D16" s="607"/>
      <c r="E16" s="604"/>
      <c r="F16" s="88"/>
      <c r="G16" s="48"/>
      <c r="H16" s="48"/>
      <c r="I16" s="48"/>
      <c r="J16" s="48"/>
      <c r="K16" s="48"/>
      <c r="L16" s="48"/>
      <c r="M16" s="89"/>
      <c r="N16" s="88">
        <f>'2.8.'!W81+'2.8.'!BP81+'2.8.'!BQ81+'2.8.'!BR81+'2.8.'!BS81</f>
        <v>2935.9684327004002</v>
      </c>
      <c r="O16" s="48"/>
      <c r="P16" s="48"/>
      <c r="Q16" s="48"/>
      <c r="R16" s="48"/>
      <c r="S16" s="48"/>
      <c r="T16" s="89"/>
      <c r="U16" s="88"/>
      <c r="V16" s="48">
        <f>'2.8.'!DE81+'2.8.'!DF81</f>
        <v>5137.9447572257004</v>
      </c>
      <c r="W16" s="48"/>
      <c r="X16" s="88">
        <f>'2.8.'!CA81+'2.8.'!CB81+'2.8.'!CC81+'2.8.'!CD81+'2.8.'!CE81+'2.8.'!CF81+'2.8.'!CH81+'2.8.'!CG81</f>
        <v>2935.9684327004002</v>
      </c>
      <c r="Y16" s="48"/>
      <c r="Z16" s="48">
        <f>2935.9684327004+3671.14</f>
        <v>6607.1084327004</v>
      </c>
      <c r="AA16" s="48"/>
      <c r="AB16" s="48"/>
      <c r="AC16" s="89"/>
      <c r="AD16" s="88"/>
      <c r="AE16" s="48"/>
      <c r="AF16" s="48"/>
      <c r="AG16" s="48"/>
      <c r="AH16" s="48"/>
      <c r="AI16" s="48"/>
      <c r="AJ16" s="48"/>
      <c r="AK16" s="48"/>
      <c r="AL16" s="48"/>
      <c r="AM16" s="48"/>
      <c r="AN16" s="53"/>
      <c r="AO16" s="53"/>
      <c r="AP16" s="53"/>
      <c r="AQ16" s="53"/>
      <c r="AR16" s="53"/>
      <c r="AS16" s="53"/>
      <c r="AT16" s="53"/>
      <c r="AU16" s="53"/>
      <c r="AV16" s="53"/>
      <c r="AW16" s="53"/>
      <c r="AX16" s="53"/>
      <c r="AY16" s="53"/>
      <c r="AZ16" s="53"/>
      <c r="BA16" s="53"/>
      <c r="BB16" s="53"/>
      <c r="BC16" s="53"/>
      <c r="BD16" s="53"/>
      <c r="BE16" s="150"/>
      <c r="BF16" s="14"/>
      <c r="BG16" s="150">
        <f t="shared" si="0"/>
        <v>17616.9900553269</v>
      </c>
    </row>
    <row r="17" spans="1:59" s="326" customFormat="1" ht="15" thickBot="1" x14ac:dyDescent="0.3">
      <c r="A17" s="605"/>
      <c r="B17" s="80" t="s">
        <v>85</v>
      </c>
      <c r="C17" s="608"/>
      <c r="D17" s="608"/>
      <c r="E17" s="605"/>
      <c r="F17" s="90"/>
      <c r="G17" s="51"/>
      <c r="H17" s="51"/>
      <c r="I17" s="51"/>
      <c r="J17" s="51"/>
      <c r="K17" s="51"/>
      <c r="L17" s="51"/>
      <c r="M17" s="91"/>
      <c r="N17" s="90">
        <f>'2.8.'!W82+'2.8.'!BP82+'2.8.'!BQ82+'2.8.'!BR82+'2.8.'!BS82</f>
        <v>46533.8536932887</v>
      </c>
      <c r="O17" s="51"/>
      <c r="P17" s="51"/>
      <c r="Q17" s="51"/>
      <c r="R17" s="51"/>
      <c r="S17" s="51"/>
      <c r="T17" s="91"/>
      <c r="U17" s="90"/>
      <c r="V17" s="51"/>
      <c r="W17" s="51"/>
      <c r="X17" s="90">
        <f>'2.8.'!CA82+'2.8.'!CB82+'2.8.'!CC82+'2.8.'!CD82+'2.8.'!CE82+'2.8.'!CF82+'2.8.'!CH82+'2.8.'!CG82</f>
        <v>7084.7389706045096</v>
      </c>
      <c r="Y17" s="51"/>
      <c r="Z17" s="51">
        <f>7084.73897060451+5796.60461231278</f>
        <v>12881.343582917289</v>
      </c>
      <c r="AA17" s="51"/>
      <c r="AB17" s="51"/>
      <c r="AC17" s="91"/>
      <c r="AD17" s="90"/>
      <c r="AE17" s="51"/>
      <c r="AF17" s="51"/>
      <c r="AG17" s="51"/>
      <c r="AH17" s="51"/>
      <c r="AI17" s="51"/>
      <c r="AJ17" s="51"/>
      <c r="AK17" s="51"/>
      <c r="AL17" s="51"/>
      <c r="AM17" s="51"/>
      <c r="AN17" s="151"/>
      <c r="AO17" s="151"/>
      <c r="AP17" s="151"/>
      <c r="AQ17" s="151"/>
      <c r="AR17" s="151"/>
      <c r="AS17" s="151"/>
      <c r="AT17" s="151"/>
      <c r="AU17" s="151"/>
      <c r="AV17" s="151"/>
      <c r="AW17" s="151"/>
      <c r="AX17" s="151"/>
      <c r="AY17" s="151"/>
      <c r="AZ17" s="151"/>
      <c r="BA17" s="151"/>
      <c r="BB17" s="151"/>
      <c r="BC17" s="151"/>
      <c r="BD17" s="151"/>
      <c r="BE17" s="154"/>
      <c r="BF17" s="50"/>
      <c r="BG17" s="150">
        <f t="shared" si="0"/>
        <v>66499.936246810496</v>
      </c>
    </row>
    <row r="18" spans="1:59" s="326" customFormat="1" ht="15" thickBot="1" x14ac:dyDescent="0.3">
      <c r="A18" s="334"/>
      <c r="B18" s="14"/>
      <c r="C18" s="335"/>
      <c r="D18" s="335"/>
      <c r="E18" s="334"/>
      <c r="F18" s="48"/>
      <c r="G18" s="48"/>
      <c r="H18" s="48"/>
      <c r="I18" s="48"/>
      <c r="J18" s="48"/>
      <c r="K18" s="48"/>
      <c r="L18" s="48"/>
      <c r="M18" s="48"/>
      <c r="N18" s="48"/>
      <c r="O18" s="48"/>
      <c r="P18" s="48"/>
      <c r="Q18" s="48"/>
      <c r="R18" s="48"/>
      <c r="S18" s="48"/>
      <c r="T18" s="48"/>
      <c r="U18" s="48"/>
      <c r="V18" s="48"/>
      <c r="W18" s="48"/>
      <c r="X18" s="48"/>
      <c r="Y18" s="48"/>
      <c r="Z18" s="48"/>
      <c r="AA18" s="48"/>
      <c r="AB18" s="48"/>
      <c r="AC18" s="48"/>
      <c r="AD18" s="48"/>
      <c r="AE18" s="48"/>
      <c r="AF18" s="48"/>
      <c r="AG18" s="48"/>
      <c r="AH18" s="48"/>
      <c r="AI18" s="48"/>
      <c r="AJ18" s="48"/>
      <c r="AK18" s="48"/>
      <c r="AL18" s="48"/>
      <c r="AM18" s="48"/>
      <c r="AN18" s="53"/>
      <c r="AO18" s="53"/>
      <c r="AP18" s="53"/>
      <c r="AQ18" s="53"/>
      <c r="AR18" s="53"/>
      <c r="AS18" s="53"/>
      <c r="AT18" s="53"/>
      <c r="AU18" s="53"/>
      <c r="AV18" s="53"/>
      <c r="AW18" s="53"/>
      <c r="AX18" s="53"/>
      <c r="AY18" s="53"/>
      <c r="AZ18" s="53"/>
      <c r="BA18" s="53"/>
      <c r="BB18" s="53"/>
      <c r="BC18" s="53"/>
      <c r="BD18" s="53"/>
      <c r="BE18" s="48"/>
      <c r="BF18" s="14"/>
      <c r="BG18" s="343"/>
    </row>
    <row r="19" spans="1:59" s="341" customFormat="1" ht="13.95" customHeight="1" x14ac:dyDescent="0.25">
      <c r="A19" s="598" t="s">
        <v>623</v>
      </c>
      <c r="B19" s="338" t="s">
        <v>508</v>
      </c>
      <c r="C19" s="570" t="s">
        <v>38</v>
      </c>
      <c r="D19" s="570">
        <v>2020</v>
      </c>
      <c r="E19" s="573" t="s">
        <v>669</v>
      </c>
      <c r="F19" s="340"/>
      <c r="G19" s="47"/>
      <c r="H19" s="47"/>
      <c r="I19" s="47"/>
      <c r="J19" s="47"/>
      <c r="K19" s="47"/>
      <c r="L19" s="47"/>
      <c r="M19" s="47"/>
      <c r="N19" s="86"/>
      <c r="O19" s="47"/>
      <c r="P19" s="47"/>
      <c r="Q19" s="47"/>
      <c r="R19" s="47"/>
      <c r="S19" s="47"/>
      <c r="T19" s="87"/>
      <c r="U19" s="86"/>
      <c r="V19" s="47"/>
      <c r="W19" s="47">
        <f>DB46</f>
        <v>253070.64362900201</v>
      </c>
      <c r="X19" s="86">
        <f>CG46</f>
        <v>281198.35225044203</v>
      </c>
      <c r="Y19" s="47"/>
      <c r="Z19" s="47"/>
      <c r="AA19" s="47"/>
      <c r="AB19" s="47"/>
      <c r="AC19" s="87"/>
      <c r="AD19" s="47"/>
      <c r="AE19" s="47"/>
      <c r="AF19" s="47"/>
      <c r="AG19" s="47"/>
      <c r="AH19" s="47"/>
      <c r="AI19" s="47"/>
      <c r="AJ19" s="47"/>
      <c r="AK19" s="47"/>
      <c r="AL19" s="47"/>
      <c r="AM19" s="47"/>
      <c r="AN19" s="145"/>
      <c r="AO19" s="47"/>
      <c r="AP19" s="47"/>
      <c r="AQ19" s="145"/>
      <c r="AR19" s="47"/>
      <c r="AS19" s="145"/>
      <c r="AT19" s="145"/>
      <c r="AU19" s="145"/>
      <c r="AV19" s="145"/>
      <c r="AW19" s="145"/>
      <c r="AX19" s="145"/>
      <c r="AY19" s="145"/>
      <c r="AZ19" s="145"/>
      <c r="BA19" s="145"/>
      <c r="BB19" s="145"/>
      <c r="BC19" s="145"/>
      <c r="BD19" s="145"/>
      <c r="BE19" s="147"/>
      <c r="BF19" s="46"/>
      <c r="BG19" s="150">
        <f t="shared" si="0"/>
        <v>534268.99587944406</v>
      </c>
    </row>
    <row r="20" spans="1:59" s="326" customFormat="1" x14ac:dyDescent="0.25">
      <c r="A20" s="599"/>
      <c r="B20" s="313" t="s">
        <v>509</v>
      </c>
      <c r="C20" s="571"/>
      <c r="D20" s="571"/>
      <c r="E20" s="574"/>
      <c r="F20" s="88"/>
      <c r="G20" s="48"/>
      <c r="H20" s="48"/>
      <c r="I20" s="48"/>
      <c r="J20" s="48"/>
      <c r="K20" s="48"/>
      <c r="L20" s="48"/>
      <c r="M20" s="48"/>
      <c r="N20" s="88"/>
      <c r="O20" s="48"/>
      <c r="P20" s="48"/>
      <c r="Q20" s="48"/>
      <c r="R20" s="48"/>
      <c r="S20" s="48"/>
      <c r="T20" s="89"/>
      <c r="U20" s="88"/>
      <c r="V20" s="48"/>
      <c r="W20" s="48">
        <f>DB47</f>
        <v>231241.316636217</v>
      </c>
      <c r="X20" s="88">
        <f t="shared" ref="X20:X28" si="2">CG47</f>
        <v>25052.516128799001</v>
      </c>
      <c r="Y20" s="48"/>
      <c r="Z20" s="48"/>
      <c r="AA20" s="48"/>
      <c r="AB20" s="48"/>
      <c r="AC20" s="89"/>
      <c r="AD20" s="48"/>
      <c r="AE20" s="48"/>
      <c r="AF20" s="48"/>
      <c r="AG20" s="48"/>
      <c r="AH20" s="48"/>
      <c r="AI20" s="48"/>
      <c r="AJ20" s="48"/>
      <c r="AK20" s="48"/>
      <c r="AL20" s="48"/>
      <c r="AM20" s="48"/>
      <c r="AN20" s="148"/>
      <c r="AO20" s="48"/>
      <c r="AP20" s="48"/>
      <c r="AQ20" s="148"/>
      <c r="AR20" s="48"/>
      <c r="AS20" s="148"/>
      <c r="AT20" s="148"/>
      <c r="AU20" s="148"/>
      <c r="AV20" s="148"/>
      <c r="AW20" s="148"/>
      <c r="AX20" s="148"/>
      <c r="AY20" s="148"/>
      <c r="AZ20" s="148"/>
      <c r="BA20" s="148"/>
      <c r="BB20" s="148"/>
      <c r="BC20" s="148"/>
      <c r="BD20" s="148"/>
      <c r="BE20" s="150"/>
      <c r="BF20" s="14"/>
      <c r="BG20" s="150">
        <f t="shared" si="0"/>
        <v>256293.83276501601</v>
      </c>
    </row>
    <row r="21" spans="1:59" s="326" customFormat="1" x14ac:dyDescent="0.25">
      <c r="A21" s="599"/>
      <c r="B21" s="313" t="s">
        <v>517</v>
      </c>
      <c r="C21" s="571"/>
      <c r="D21" s="571"/>
      <c r="E21" s="574"/>
      <c r="F21" s="88"/>
      <c r="G21" s="48"/>
      <c r="H21" s="48"/>
      <c r="I21" s="48"/>
      <c r="J21" s="48"/>
      <c r="K21" s="48"/>
      <c r="L21" s="48"/>
      <c r="M21" s="48"/>
      <c r="N21" s="88"/>
      <c r="O21" s="48"/>
      <c r="P21" s="48"/>
      <c r="Q21" s="48"/>
      <c r="R21" s="48"/>
      <c r="S21" s="48"/>
      <c r="T21" s="89">
        <f>BT48</f>
        <v>5989.5768907909996</v>
      </c>
      <c r="U21" s="88"/>
      <c r="V21" s="48"/>
      <c r="W21" s="48">
        <f t="shared" ref="W21:W28" si="3">DB48</f>
        <v>75425.790421169004</v>
      </c>
      <c r="X21" s="88">
        <f t="shared" si="2"/>
        <v>50033.73626446</v>
      </c>
      <c r="Y21" s="48"/>
      <c r="Z21" s="48"/>
      <c r="AA21" s="48"/>
      <c r="AB21" s="48"/>
      <c r="AC21" s="89"/>
      <c r="AD21" s="48"/>
      <c r="AE21" s="48"/>
      <c r="AF21" s="48"/>
      <c r="AG21" s="48"/>
      <c r="AH21" s="48"/>
      <c r="AI21" s="48"/>
      <c r="AJ21" s="48"/>
      <c r="AK21" s="48"/>
      <c r="AL21" s="48"/>
      <c r="AM21" s="48"/>
      <c r="AN21" s="148"/>
      <c r="AO21" s="48"/>
      <c r="AP21" s="48"/>
      <c r="AQ21" s="148"/>
      <c r="AR21" s="48"/>
      <c r="AS21" s="148"/>
      <c r="AT21" s="148"/>
      <c r="AU21" s="148"/>
      <c r="AV21" s="148"/>
      <c r="AW21" s="148"/>
      <c r="AX21" s="148"/>
      <c r="AY21" s="148"/>
      <c r="AZ21" s="148"/>
      <c r="BA21" s="148"/>
      <c r="BB21" s="148"/>
      <c r="BC21" s="148"/>
      <c r="BD21" s="148"/>
      <c r="BE21" s="150"/>
      <c r="BF21" s="14"/>
      <c r="BG21" s="150">
        <f t="shared" si="0"/>
        <v>131449.10357641999</v>
      </c>
    </row>
    <row r="22" spans="1:59" s="326" customFormat="1" x14ac:dyDescent="0.25">
      <c r="A22" s="599"/>
      <c r="B22" s="313" t="s">
        <v>510</v>
      </c>
      <c r="C22" s="571"/>
      <c r="D22" s="571"/>
      <c r="E22" s="574"/>
      <c r="F22" s="88"/>
      <c r="G22" s="48"/>
      <c r="H22" s="48"/>
      <c r="I22" s="48"/>
      <c r="J22" s="48"/>
      <c r="K22" s="48"/>
      <c r="L22" s="48"/>
      <c r="M22" s="48"/>
      <c r="N22" s="88"/>
      <c r="O22" s="48"/>
      <c r="P22" s="48"/>
      <c r="Q22" s="48"/>
      <c r="R22" s="48"/>
      <c r="S22" s="48"/>
      <c r="T22" s="89"/>
      <c r="U22" s="88"/>
      <c r="V22" s="48"/>
      <c r="W22" s="48">
        <f t="shared" si="3"/>
        <v>354143.80144022597</v>
      </c>
      <c r="X22" s="88">
        <f t="shared" si="2"/>
        <v>1094337.8845118601</v>
      </c>
      <c r="Y22" s="48"/>
      <c r="Z22" s="48"/>
      <c r="AA22" s="48"/>
      <c r="AB22" s="48"/>
      <c r="AC22" s="89"/>
      <c r="AD22" s="48"/>
      <c r="AE22" s="48"/>
      <c r="AF22" s="48"/>
      <c r="AG22" s="48"/>
      <c r="AH22" s="48"/>
      <c r="AI22" s="48"/>
      <c r="AJ22" s="48"/>
      <c r="AK22" s="48"/>
      <c r="AL22" s="48"/>
      <c r="AM22" s="48"/>
      <c r="AN22" s="148"/>
      <c r="AO22" s="48"/>
      <c r="AP22" s="48"/>
      <c r="AQ22" s="148"/>
      <c r="AR22" s="48"/>
      <c r="AS22" s="148"/>
      <c r="AT22" s="148"/>
      <c r="AU22" s="148"/>
      <c r="AV22" s="148"/>
      <c r="AW22" s="148"/>
      <c r="AX22" s="148"/>
      <c r="AY22" s="148"/>
      <c r="AZ22" s="148"/>
      <c r="BA22" s="148"/>
      <c r="BB22" s="148"/>
      <c r="BC22" s="148"/>
      <c r="BD22" s="148"/>
      <c r="BE22" s="150"/>
      <c r="BF22" s="14"/>
      <c r="BG22" s="150">
        <f t="shared" si="0"/>
        <v>1448481.685952086</v>
      </c>
    </row>
    <row r="23" spans="1:59" s="326" customFormat="1" x14ac:dyDescent="0.25">
      <c r="A23" s="599"/>
      <c r="B23" s="313" t="s">
        <v>511</v>
      </c>
      <c r="C23" s="571"/>
      <c r="D23" s="571"/>
      <c r="E23" s="574"/>
      <c r="F23" s="88"/>
      <c r="G23" s="48"/>
      <c r="H23" s="48"/>
      <c r="I23" s="48"/>
      <c r="J23" s="48"/>
      <c r="K23" s="48"/>
      <c r="L23" s="48"/>
      <c r="M23" s="48"/>
      <c r="N23" s="88"/>
      <c r="O23" s="48"/>
      <c r="P23" s="48"/>
      <c r="Q23" s="48"/>
      <c r="R23" s="48"/>
      <c r="S23" s="48"/>
      <c r="T23" s="89"/>
      <c r="U23" s="88"/>
      <c r="V23" s="48"/>
      <c r="W23" s="48"/>
      <c r="X23" s="88"/>
      <c r="Y23" s="48"/>
      <c r="Z23" s="48"/>
      <c r="AA23" s="48"/>
      <c r="AB23" s="48"/>
      <c r="AC23" s="89">
        <f t="shared" ref="AC23:AC27" si="4">DO50</f>
        <v>1071180.1134353499</v>
      </c>
      <c r="AD23" s="48"/>
      <c r="AE23" s="48"/>
      <c r="AF23" s="48"/>
      <c r="AG23" s="48"/>
      <c r="AH23" s="48"/>
      <c r="AI23" s="48"/>
      <c r="AJ23" s="48"/>
      <c r="AK23" s="48"/>
      <c r="AL23" s="48"/>
      <c r="AM23" s="48"/>
      <c r="AN23" s="148"/>
      <c r="AO23" s="48"/>
      <c r="AP23" s="48"/>
      <c r="AQ23" s="148"/>
      <c r="AR23" s="48"/>
      <c r="AS23" s="148"/>
      <c r="AT23" s="148"/>
      <c r="AU23" s="148"/>
      <c r="AV23" s="148"/>
      <c r="AW23" s="148"/>
      <c r="AX23" s="148"/>
      <c r="AY23" s="148"/>
      <c r="AZ23" s="148"/>
      <c r="BA23" s="148"/>
      <c r="BB23" s="148"/>
      <c r="BC23" s="148"/>
      <c r="BD23" s="148"/>
      <c r="BE23" s="150"/>
      <c r="BF23" s="14"/>
      <c r="BG23" s="150">
        <f t="shared" si="0"/>
        <v>1071180.1134353499</v>
      </c>
    </row>
    <row r="24" spans="1:59" s="326" customFormat="1" x14ac:dyDescent="0.25">
      <c r="A24" s="599"/>
      <c r="B24" s="313" t="s">
        <v>512</v>
      </c>
      <c r="C24" s="571"/>
      <c r="D24" s="571"/>
      <c r="E24" s="574"/>
      <c r="F24" s="88"/>
      <c r="G24" s="48"/>
      <c r="H24" s="48"/>
      <c r="I24" s="48"/>
      <c r="J24" s="48"/>
      <c r="K24" s="48"/>
      <c r="L24" s="48"/>
      <c r="M24" s="48"/>
      <c r="N24" s="88">
        <f>W51</f>
        <v>317316.12164756301</v>
      </c>
      <c r="O24" s="48"/>
      <c r="P24" s="48">
        <v>0</v>
      </c>
      <c r="Q24" s="48"/>
      <c r="R24" s="48"/>
      <c r="S24" s="48"/>
      <c r="T24" s="89"/>
      <c r="U24" s="88"/>
      <c r="V24" s="48"/>
      <c r="W24" s="48"/>
      <c r="X24" s="88"/>
      <c r="Y24" s="48"/>
      <c r="Z24" s="48"/>
      <c r="AA24" s="48"/>
      <c r="AB24" s="48"/>
      <c r="AC24" s="89">
        <f t="shared" si="4"/>
        <v>403006.16</v>
      </c>
      <c r="AD24" s="48"/>
      <c r="AE24" s="48"/>
      <c r="AF24" s="48"/>
      <c r="AG24" s="48"/>
      <c r="AH24" s="48"/>
      <c r="AI24" s="48"/>
      <c r="AJ24" s="48"/>
      <c r="AK24" s="48"/>
      <c r="AL24" s="48"/>
      <c r="AM24" s="48"/>
      <c r="AN24" s="148"/>
      <c r="AO24" s="48"/>
      <c r="AP24" s="48"/>
      <c r="AQ24" s="148"/>
      <c r="AR24" s="48"/>
      <c r="AS24" s="148"/>
      <c r="AT24" s="148"/>
      <c r="AU24" s="148"/>
      <c r="AV24" s="148"/>
      <c r="AW24" s="148"/>
      <c r="AX24" s="148"/>
      <c r="AY24" s="148"/>
      <c r="AZ24" s="148"/>
      <c r="BA24" s="148"/>
      <c r="BB24" s="148"/>
      <c r="BC24" s="148"/>
      <c r="BD24" s="148"/>
      <c r="BE24" s="150"/>
      <c r="BF24" s="14"/>
      <c r="BG24" s="150">
        <f t="shared" si="0"/>
        <v>720322.28164756298</v>
      </c>
    </row>
    <row r="25" spans="1:59" s="326" customFormat="1" x14ac:dyDescent="0.25">
      <c r="A25" s="599"/>
      <c r="B25" s="313" t="s">
        <v>513</v>
      </c>
      <c r="C25" s="571"/>
      <c r="D25" s="571"/>
      <c r="E25" s="574"/>
      <c r="F25" s="88"/>
      <c r="G25" s="48"/>
      <c r="H25" s="48"/>
      <c r="I25" s="48"/>
      <c r="J25" s="48"/>
      <c r="K25" s="48"/>
      <c r="L25" s="48"/>
      <c r="M25" s="48"/>
      <c r="N25" s="88"/>
      <c r="O25" s="48"/>
      <c r="P25" s="48"/>
      <c r="Q25" s="48"/>
      <c r="R25" s="48"/>
      <c r="S25" s="48"/>
      <c r="T25" s="89"/>
      <c r="U25" s="88"/>
      <c r="V25" s="48"/>
      <c r="W25" s="48"/>
      <c r="X25" s="88"/>
      <c r="Y25" s="48"/>
      <c r="Z25" s="48"/>
      <c r="AA25" s="48"/>
      <c r="AB25" s="48"/>
      <c r="AC25" s="89">
        <f t="shared" si="4"/>
        <v>13642.0788955755</v>
      </c>
      <c r="AD25" s="48"/>
      <c r="AE25" s="48"/>
      <c r="AF25" s="48"/>
      <c r="AG25" s="48"/>
      <c r="AH25" s="48"/>
      <c r="AI25" s="48"/>
      <c r="AJ25" s="48"/>
      <c r="AK25" s="48"/>
      <c r="AL25" s="48"/>
      <c r="AM25" s="48"/>
      <c r="AN25" s="148"/>
      <c r="AO25" s="48"/>
      <c r="AP25" s="48"/>
      <c r="AQ25" s="148"/>
      <c r="AR25" s="48"/>
      <c r="AS25" s="148"/>
      <c r="AT25" s="148"/>
      <c r="AU25" s="148"/>
      <c r="AV25" s="148"/>
      <c r="AW25" s="148"/>
      <c r="AX25" s="148"/>
      <c r="AY25" s="148"/>
      <c r="AZ25" s="148"/>
      <c r="BA25" s="148"/>
      <c r="BB25" s="148"/>
      <c r="BC25" s="148"/>
      <c r="BD25" s="148"/>
      <c r="BE25" s="150"/>
      <c r="BF25" s="14"/>
      <c r="BG25" s="150">
        <f t="shared" si="0"/>
        <v>13642.0788955755</v>
      </c>
    </row>
    <row r="26" spans="1:59" s="326" customFormat="1" x14ac:dyDescent="0.25">
      <c r="A26" s="599"/>
      <c r="B26" s="313" t="s">
        <v>514</v>
      </c>
      <c r="C26" s="571"/>
      <c r="D26" s="571"/>
      <c r="E26" s="574"/>
      <c r="F26" s="88"/>
      <c r="G26" s="48"/>
      <c r="H26" s="48"/>
      <c r="I26" s="48"/>
      <c r="J26" s="48"/>
      <c r="K26" s="48"/>
      <c r="L26" s="48"/>
      <c r="M26" s="48"/>
      <c r="N26" s="88"/>
      <c r="O26" s="48"/>
      <c r="P26" s="48"/>
      <c r="Q26" s="48"/>
      <c r="R26" s="48"/>
      <c r="S26" s="48"/>
      <c r="T26" s="89"/>
      <c r="U26" s="88"/>
      <c r="V26" s="48"/>
      <c r="W26" s="48">
        <f t="shared" si="3"/>
        <v>104749.976981063</v>
      </c>
      <c r="X26" s="88">
        <f t="shared" si="2"/>
        <v>125553.259077501</v>
      </c>
      <c r="Y26" s="48"/>
      <c r="Z26" s="48"/>
      <c r="AA26" s="48"/>
      <c r="AB26" s="48"/>
      <c r="AC26" s="89"/>
      <c r="AD26" s="48"/>
      <c r="AE26" s="48"/>
      <c r="AF26" s="48"/>
      <c r="AG26" s="48"/>
      <c r="AH26" s="48"/>
      <c r="AI26" s="48"/>
      <c r="AJ26" s="48"/>
      <c r="AK26" s="48"/>
      <c r="AL26" s="48"/>
      <c r="AM26" s="48"/>
      <c r="AN26" s="148"/>
      <c r="AO26" s="48"/>
      <c r="AP26" s="48"/>
      <c r="AQ26" s="148"/>
      <c r="AR26" s="48"/>
      <c r="AS26" s="148"/>
      <c r="AT26" s="148"/>
      <c r="AU26" s="148"/>
      <c r="AV26" s="148"/>
      <c r="AW26" s="148"/>
      <c r="AX26" s="148"/>
      <c r="AY26" s="148"/>
      <c r="AZ26" s="148"/>
      <c r="BA26" s="148"/>
      <c r="BB26" s="148"/>
      <c r="BC26" s="148"/>
      <c r="BD26" s="148"/>
      <c r="BE26" s="150"/>
      <c r="BF26" s="14"/>
      <c r="BG26" s="150">
        <f t="shared" si="0"/>
        <v>230303.23605856398</v>
      </c>
    </row>
    <row r="27" spans="1:59" s="326" customFormat="1" x14ac:dyDescent="0.25">
      <c r="A27" s="599"/>
      <c r="B27" s="313" t="s">
        <v>515</v>
      </c>
      <c r="C27" s="571"/>
      <c r="D27" s="571"/>
      <c r="E27" s="574"/>
      <c r="F27" s="88"/>
      <c r="G27" s="48"/>
      <c r="H27" s="48"/>
      <c r="I27" s="48"/>
      <c r="J27" s="48"/>
      <c r="K27" s="48"/>
      <c r="L27" s="48"/>
      <c r="M27" s="48"/>
      <c r="N27" s="88"/>
      <c r="O27" s="48"/>
      <c r="P27" s="48"/>
      <c r="Q27" s="48"/>
      <c r="R27" s="48"/>
      <c r="S27" s="48"/>
      <c r="T27" s="89"/>
      <c r="U27" s="88"/>
      <c r="V27" s="48"/>
      <c r="W27" s="48"/>
      <c r="X27" s="88"/>
      <c r="Y27" s="48"/>
      <c r="Z27" s="48"/>
      <c r="AA27" s="48"/>
      <c r="AB27" s="48"/>
      <c r="AC27" s="89">
        <f t="shared" si="4"/>
        <v>72227.077317511896</v>
      </c>
      <c r="AD27" s="48"/>
      <c r="AE27" s="48"/>
      <c r="AF27" s="48"/>
      <c r="AG27" s="48"/>
      <c r="AH27" s="48"/>
      <c r="AI27" s="48"/>
      <c r="AJ27" s="48"/>
      <c r="AK27" s="48"/>
      <c r="AL27" s="48"/>
      <c r="AM27" s="48"/>
      <c r="AN27" s="148"/>
      <c r="AO27" s="48"/>
      <c r="AP27" s="48"/>
      <c r="AQ27" s="148"/>
      <c r="AR27" s="48"/>
      <c r="AS27" s="148"/>
      <c r="AT27" s="148"/>
      <c r="AU27" s="148"/>
      <c r="AV27" s="148"/>
      <c r="AW27" s="148"/>
      <c r="AX27" s="148"/>
      <c r="AY27" s="148"/>
      <c r="AZ27" s="148"/>
      <c r="BA27" s="148"/>
      <c r="BB27" s="148"/>
      <c r="BC27" s="148"/>
      <c r="BD27" s="148"/>
      <c r="BE27" s="150"/>
      <c r="BF27" s="14"/>
      <c r="BG27" s="150">
        <f t="shared" si="0"/>
        <v>72227.077317511896</v>
      </c>
    </row>
    <row r="28" spans="1:59" s="342" customFormat="1" ht="15" thickBot="1" x14ac:dyDescent="0.3">
      <c r="A28" s="600"/>
      <c r="B28" s="339" t="s">
        <v>516</v>
      </c>
      <c r="C28" s="572"/>
      <c r="D28" s="572"/>
      <c r="E28" s="575"/>
      <c r="F28" s="90"/>
      <c r="G28" s="51"/>
      <c r="H28" s="51"/>
      <c r="I28" s="51"/>
      <c r="J28" s="51"/>
      <c r="K28" s="51"/>
      <c r="L28" s="51"/>
      <c r="M28" s="51"/>
      <c r="N28" s="90"/>
      <c r="O28" s="51"/>
      <c r="P28" s="51"/>
      <c r="Q28" s="51"/>
      <c r="R28" s="51"/>
      <c r="S28" s="51"/>
      <c r="T28" s="91"/>
      <c r="U28" s="90"/>
      <c r="V28" s="51"/>
      <c r="W28" s="51">
        <f t="shared" si="3"/>
        <v>43108.0351843237</v>
      </c>
      <c r="X28" s="90">
        <f t="shared" si="2"/>
        <v>32427.857917308898</v>
      </c>
      <c r="Y28" s="51"/>
      <c r="Z28" s="51"/>
      <c r="AA28" s="51"/>
      <c r="AB28" s="51"/>
      <c r="AC28" s="91"/>
      <c r="AD28" s="51"/>
      <c r="AE28" s="51"/>
      <c r="AF28" s="51"/>
      <c r="AG28" s="51"/>
      <c r="AH28" s="51"/>
      <c r="AI28" s="51"/>
      <c r="AJ28" s="51"/>
      <c r="AK28" s="51"/>
      <c r="AL28" s="51"/>
      <c r="AM28" s="51"/>
      <c r="AN28" s="152"/>
      <c r="AO28" s="51"/>
      <c r="AP28" s="51"/>
      <c r="AQ28" s="152"/>
      <c r="AR28" s="51"/>
      <c r="AS28" s="152"/>
      <c r="AT28" s="152"/>
      <c r="AU28" s="152"/>
      <c r="AV28" s="152"/>
      <c r="AW28" s="152"/>
      <c r="AX28" s="152"/>
      <c r="AY28" s="152"/>
      <c r="AZ28" s="152"/>
      <c r="BA28" s="152"/>
      <c r="BB28" s="152"/>
      <c r="BC28" s="152"/>
      <c r="BD28" s="152"/>
      <c r="BE28" s="154"/>
      <c r="BF28" s="50"/>
      <c r="BG28" s="150">
        <f t="shared" si="0"/>
        <v>75535.893101632595</v>
      </c>
    </row>
    <row r="29" spans="1:59" s="326" customFormat="1" ht="15" thickBot="1" x14ac:dyDescent="0.3">
      <c r="A29" s="336"/>
      <c r="B29" s="14"/>
      <c r="C29" s="337"/>
      <c r="D29" s="337"/>
      <c r="E29" s="228"/>
      <c r="F29" s="48"/>
      <c r="G29" s="48"/>
      <c r="H29" s="48"/>
      <c r="I29" s="48"/>
      <c r="J29" s="48"/>
      <c r="K29" s="48"/>
      <c r="L29" s="48"/>
      <c r="M29" s="48"/>
      <c r="N29" s="48"/>
      <c r="O29" s="48"/>
      <c r="P29" s="48"/>
      <c r="Q29" s="48"/>
      <c r="R29" s="48"/>
      <c r="S29" s="48"/>
      <c r="T29" s="48"/>
      <c r="U29" s="48"/>
      <c r="V29" s="48"/>
      <c r="W29" s="48"/>
      <c r="X29" s="48"/>
      <c r="Y29" s="48"/>
      <c r="Z29" s="48"/>
      <c r="AA29" s="48"/>
      <c r="AB29" s="48"/>
      <c r="AC29" s="48"/>
      <c r="AD29" s="48"/>
      <c r="AE29" s="48"/>
      <c r="AF29" s="48"/>
      <c r="AG29" s="48"/>
      <c r="AH29" s="48"/>
      <c r="AI29" s="48"/>
      <c r="AJ29" s="48"/>
      <c r="AK29" s="48"/>
      <c r="AL29" s="48"/>
      <c r="AM29" s="48"/>
      <c r="AN29" s="148"/>
      <c r="AO29" s="48"/>
      <c r="AP29" s="48"/>
      <c r="AQ29" s="148"/>
      <c r="AR29" s="48"/>
      <c r="AS29" s="148"/>
      <c r="AT29" s="148"/>
      <c r="AU29" s="148"/>
      <c r="AV29" s="148"/>
      <c r="AW29" s="148"/>
      <c r="AX29" s="148"/>
      <c r="AY29" s="148"/>
      <c r="AZ29" s="148"/>
      <c r="BA29" s="148"/>
      <c r="BB29" s="148"/>
      <c r="BC29" s="148"/>
      <c r="BD29" s="148"/>
      <c r="BE29" s="44"/>
      <c r="BF29" s="14"/>
      <c r="BG29" s="343"/>
    </row>
    <row r="30" spans="1:59" s="326" customFormat="1" x14ac:dyDescent="0.25">
      <c r="A30" s="598" t="s">
        <v>435</v>
      </c>
      <c r="B30" s="16" t="s">
        <v>496</v>
      </c>
      <c r="C30" s="570" t="s">
        <v>38</v>
      </c>
      <c r="D30" s="570">
        <v>2019</v>
      </c>
      <c r="E30" s="609" t="s">
        <v>673</v>
      </c>
      <c r="F30" s="174">
        <f>'2.8.'!CO57</f>
        <v>1947091.54635304</v>
      </c>
      <c r="G30" s="47"/>
      <c r="H30" s="47"/>
      <c r="I30" s="47"/>
      <c r="J30" s="47"/>
      <c r="K30" s="47"/>
      <c r="L30" s="47"/>
      <c r="M30" s="87"/>
      <c r="N30" s="86">
        <f>'2.8.'!W57+'2.8.'!BP57+'2.8.'!BQ57+'2.8.'!BR57+'2.8.'!BS57</f>
        <v>374598.41860267532</v>
      </c>
      <c r="O30" s="47">
        <f>'2.8.'!T57</f>
        <v>14068.6764356163</v>
      </c>
      <c r="P30" s="47">
        <f>'2.8.'!G57+'2.8.'!BO57</f>
        <v>1724.0764801760099</v>
      </c>
      <c r="Q30" s="47"/>
      <c r="R30" s="47"/>
      <c r="S30" s="47"/>
      <c r="T30" s="87"/>
      <c r="U30" s="86"/>
      <c r="V30" s="47"/>
      <c r="W30" s="87"/>
      <c r="X30" s="47">
        <f>'2.8.'!CA57+'2.8.'!CB57+'2.8.'!CC57+'2.8.'!CD57+'2.8.'!CE57+'2.8.'!CF57+'2.8.'!CH57+'2.8.'!CG57</f>
        <v>22947.869393566671</v>
      </c>
      <c r="Y30" s="47"/>
      <c r="Z30" s="47">
        <f>'2.8.'!CI57+'2.8.'!DG57+'2.8.'!DH57+'2.8.'!DN57+'2.8.'!DJ57+'2.8.'!DK57+'2.8.'!DL57+'2.8.'!DM57+'2.8.'!DO57</f>
        <v>17439.849845660279</v>
      </c>
      <c r="AA30" s="47"/>
      <c r="AB30" s="47"/>
      <c r="AC30" s="47"/>
      <c r="AD30" s="86"/>
      <c r="AE30" s="47"/>
      <c r="AF30" s="47"/>
      <c r="AG30" s="47"/>
      <c r="AH30" s="47"/>
      <c r="AI30" s="47"/>
      <c r="AJ30" s="47"/>
      <c r="AK30" s="47"/>
      <c r="AL30" s="47"/>
      <c r="AM30" s="47"/>
      <c r="AN30" s="144"/>
      <c r="AO30" s="144"/>
      <c r="AP30" s="144"/>
      <c r="AQ30" s="144"/>
      <c r="AR30" s="144"/>
      <c r="AS30" s="144"/>
      <c r="AT30" s="144"/>
      <c r="AU30" s="144"/>
      <c r="AV30" s="144"/>
      <c r="AW30" s="144"/>
      <c r="AX30" s="144"/>
      <c r="AY30" s="144"/>
      <c r="AZ30" s="144"/>
      <c r="BA30" s="144"/>
      <c r="BB30" s="144"/>
      <c r="BC30" s="144"/>
      <c r="BD30" s="144"/>
      <c r="BE30" s="146"/>
      <c r="BF30" s="46"/>
      <c r="BG30" s="147">
        <f t="shared" si="0"/>
        <v>2377870.4371107346</v>
      </c>
    </row>
    <row r="31" spans="1:59" s="326" customFormat="1" x14ac:dyDescent="0.25">
      <c r="A31" s="599"/>
      <c r="B31" s="16" t="s">
        <v>497</v>
      </c>
      <c r="C31" s="571"/>
      <c r="D31" s="571"/>
      <c r="E31" s="610"/>
      <c r="F31" s="176"/>
      <c r="G31" s="48"/>
      <c r="H31" s="48"/>
      <c r="I31" s="48"/>
      <c r="J31" s="48"/>
      <c r="K31" s="48"/>
      <c r="L31" s="48"/>
      <c r="M31" s="89"/>
      <c r="N31" s="88">
        <f>'2.8.'!W58+'2.8.'!BP58+'2.8.'!BQ58+'2.8.'!BR58+'2.8.'!BS58</f>
        <v>434964.02834512794</v>
      </c>
      <c r="O31" s="48">
        <f>'2.8.'!T58</f>
        <v>52580.220502908604</v>
      </c>
      <c r="P31" s="48">
        <f>'2.8.'!G58+'2.8.'!BO58</f>
        <v>11198.888283583499</v>
      </c>
      <c r="Q31" s="48"/>
      <c r="R31" s="48"/>
      <c r="S31" s="48"/>
      <c r="T31" s="89"/>
      <c r="U31" s="88"/>
      <c r="V31" s="48"/>
      <c r="W31" s="89"/>
      <c r="X31" s="48">
        <f>'2.8.'!CA58+'2.8.'!CB58+'2.8.'!CC58+'2.8.'!CD58+'2.8.'!CE58+'2.8.'!CF58+'2.8.'!CH58+'2.8.'!CG58</f>
        <v>8358.64093013622</v>
      </c>
      <c r="Y31" s="48"/>
      <c r="Z31" s="48">
        <f>'2.8.'!CI58+'2.8.'!DG58+'2.8.'!DH58+'2.8.'!DN58+'2.8.'!DJ58+'2.8.'!DK58+'2.8.'!DL58+'2.8.'!DM58+'2.8.'!DO58</f>
        <v>2252.2437793828203</v>
      </c>
      <c r="AA31" s="48"/>
      <c r="AB31" s="48"/>
      <c r="AC31" s="48"/>
      <c r="AD31" s="88"/>
      <c r="AE31" s="48"/>
      <c r="AF31" s="48"/>
      <c r="AG31" s="48"/>
      <c r="AH31" s="48"/>
      <c r="AI31" s="48"/>
      <c r="AJ31" s="48"/>
      <c r="AK31" s="48"/>
      <c r="AL31" s="48"/>
      <c r="AM31" s="48"/>
      <c r="AN31" s="53"/>
      <c r="AO31" s="53"/>
      <c r="AP31" s="53"/>
      <c r="AQ31" s="53"/>
      <c r="AR31" s="53"/>
      <c r="AS31" s="53"/>
      <c r="AT31" s="53"/>
      <c r="AU31" s="53"/>
      <c r="AV31" s="53"/>
      <c r="AW31" s="53"/>
      <c r="AX31" s="53"/>
      <c r="AY31" s="53"/>
      <c r="AZ31" s="53"/>
      <c r="BA31" s="53"/>
      <c r="BB31" s="53"/>
      <c r="BC31" s="53"/>
      <c r="BD31" s="53"/>
      <c r="BE31" s="149"/>
      <c r="BF31" s="14"/>
      <c r="BG31" s="150">
        <f t="shared" si="0"/>
        <v>509354.02184113907</v>
      </c>
    </row>
    <row r="32" spans="1:59" s="326" customFormat="1" x14ac:dyDescent="0.25">
      <c r="A32" s="599"/>
      <c r="B32" s="16" t="s">
        <v>498</v>
      </c>
      <c r="C32" s="571"/>
      <c r="D32" s="571"/>
      <c r="E32" s="610"/>
      <c r="F32" s="176"/>
      <c r="G32" s="48"/>
      <c r="H32" s="48"/>
      <c r="I32" s="48"/>
      <c r="J32" s="48"/>
      <c r="K32" s="48"/>
      <c r="L32" s="48"/>
      <c r="M32" s="89"/>
      <c r="N32" s="88">
        <f>'2.8.'!W59+'2.8.'!BP59+'2.8.'!BQ59+'2.8.'!BR59+'2.8.'!BS59</f>
        <v>965741.08649706899</v>
      </c>
      <c r="O32" s="48"/>
      <c r="P32" s="48">
        <f>'2.8.'!G59+'2.8.'!BO59</f>
        <v>18142.9782328336</v>
      </c>
      <c r="Q32" s="48"/>
      <c r="R32" s="48"/>
      <c r="S32" s="48"/>
      <c r="T32" s="89"/>
      <c r="U32" s="88"/>
      <c r="V32" s="48"/>
      <c r="W32" s="89"/>
      <c r="X32" s="48"/>
      <c r="Y32" s="48"/>
      <c r="Z32" s="48">
        <f>'2.8.'!CI59+'2.8.'!DG59+'2.8.'!DH59+'2.8.'!DN59+'2.8.'!DJ59+'2.8.'!DK59+'2.8.'!DL59+'2.8.'!DM59+'2.8.'!DO59</f>
        <v>329494.95</v>
      </c>
      <c r="AA32" s="48"/>
      <c r="AB32" s="48"/>
      <c r="AC32" s="48"/>
      <c r="AD32" s="88"/>
      <c r="AE32" s="48"/>
      <c r="AF32" s="48"/>
      <c r="AG32" s="48"/>
      <c r="AH32" s="48"/>
      <c r="AI32" s="48"/>
      <c r="AJ32" s="48"/>
      <c r="AK32" s="48"/>
      <c r="AL32" s="48"/>
      <c r="AM32" s="48"/>
      <c r="AN32" s="53"/>
      <c r="AO32" s="53"/>
      <c r="AP32" s="53"/>
      <c r="AQ32" s="53"/>
      <c r="AR32" s="53"/>
      <c r="AS32" s="53"/>
      <c r="AT32" s="53"/>
      <c r="AU32" s="53"/>
      <c r="AV32" s="53"/>
      <c r="AW32" s="53"/>
      <c r="AX32" s="53"/>
      <c r="AY32" s="53"/>
      <c r="AZ32" s="53"/>
      <c r="BA32" s="53"/>
      <c r="BB32" s="53"/>
      <c r="BC32" s="53"/>
      <c r="BD32" s="53"/>
      <c r="BE32" s="149"/>
      <c r="BF32" s="14"/>
      <c r="BG32" s="150">
        <f t="shared" si="0"/>
        <v>1313379.0147299026</v>
      </c>
    </row>
    <row r="33" spans="1:119" s="326" customFormat="1" x14ac:dyDescent="0.25">
      <c r="A33" s="599"/>
      <c r="B33" s="16" t="s">
        <v>499</v>
      </c>
      <c r="C33" s="571"/>
      <c r="D33" s="571"/>
      <c r="E33" s="610"/>
      <c r="F33" s="176"/>
      <c r="G33" s="48"/>
      <c r="H33" s="48"/>
      <c r="I33" s="48"/>
      <c r="J33" s="48"/>
      <c r="K33" s="48"/>
      <c r="L33" s="48"/>
      <c r="M33" s="89"/>
      <c r="N33" s="88">
        <f>'2.8.'!W60+'2.8.'!BP60+'2.8.'!BQ60+'2.8.'!BR60+'2.8.'!BS60</f>
        <v>481919.99582871899</v>
      </c>
      <c r="O33" s="48">
        <f>'2.8.'!T60</f>
        <v>28741.9326131163</v>
      </c>
      <c r="P33" s="48">
        <f>'2.8.'!G60+'2.8.'!BO60</f>
        <v>16526.4266873128</v>
      </c>
      <c r="Q33" s="48"/>
      <c r="R33" s="48"/>
      <c r="S33" s="48"/>
      <c r="T33" s="89"/>
      <c r="U33" s="88"/>
      <c r="V33" s="48"/>
      <c r="W33" s="89"/>
      <c r="X33" s="48"/>
      <c r="Y33" s="48"/>
      <c r="Z33" s="48">
        <f>'2.8.'!CI60+'2.8.'!DG60+'2.8.'!DH60+'2.8.'!DN60+'2.8.'!DJ60+'2.8.'!DK60+'2.8.'!DL60+'2.8.'!DM60+'2.8.'!DO60</f>
        <v>202089.05</v>
      </c>
      <c r="AA33" s="48"/>
      <c r="AB33" s="48"/>
      <c r="AC33" s="48"/>
      <c r="AD33" s="88">
        <f>'2.8.'!AJ60</f>
        <v>7.8624216693688898E-3</v>
      </c>
      <c r="AE33" s="48">
        <f>'2.8.'!U60</f>
        <v>10.911048786576201</v>
      </c>
      <c r="AF33" s="48"/>
      <c r="AG33" s="48">
        <f>'2.8.'!AB60</f>
        <v>0.33330902397456802</v>
      </c>
      <c r="AH33" s="48"/>
      <c r="AI33" s="48"/>
      <c r="AJ33" s="48"/>
      <c r="AK33" s="48"/>
      <c r="AL33" s="48"/>
      <c r="AM33" s="48"/>
      <c r="AN33" s="53">
        <f>'2.8.'!AO60</f>
        <v>4.6280851595363699E-3</v>
      </c>
      <c r="AO33" s="53">
        <f>'2.8.'!R60</f>
        <v>0.11276992436156701</v>
      </c>
      <c r="AP33" s="53"/>
      <c r="AQ33" s="53">
        <f>'2.8.'!AP60</f>
        <v>1.4623793906974399E-4</v>
      </c>
      <c r="AR33" s="53">
        <f>'2.8.'!BB60</f>
        <v>1.8817721504490501</v>
      </c>
      <c r="AS33" s="53"/>
      <c r="AT33" s="53"/>
      <c r="AU33" s="53"/>
      <c r="AV33" s="53"/>
      <c r="AW33" s="53">
        <f>'2.8.'!BH60</f>
        <v>23.947221627498699</v>
      </c>
      <c r="AX33" s="53"/>
      <c r="AY33" s="53">
        <f>'2.8.'!AD60</f>
        <v>2.9353807049943598E-3</v>
      </c>
      <c r="AZ33" s="53"/>
      <c r="BA33" s="53"/>
      <c r="BB33" s="53">
        <f>'2.8.'!Q60</f>
        <v>8.3307303088365602E-3</v>
      </c>
      <c r="BC33" s="53"/>
      <c r="BD33" s="53"/>
      <c r="BE33" s="149">
        <f>SUM(AD33:BD33)</f>
        <v>37.210024368641889</v>
      </c>
      <c r="BF33" s="14"/>
      <c r="BG33" s="150">
        <f t="shared" si="0"/>
        <v>729314.61515351664</v>
      </c>
      <c r="BH33" s="228"/>
      <c r="BI33" s="228"/>
      <c r="BJ33" s="228"/>
      <c r="BK33" s="228"/>
      <c r="BL33" s="228"/>
      <c r="BM33" s="228"/>
      <c r="BN33" s="228"/>
      <c r="BO33" s="228"/>
      <c r="BP33" s="228"/>
      <c r="BQ33" s="228"/>
      <c r="BR33" s="228"/>
      <c r="BS33" s="228"/>
      <c r="BT33" s="228"/>
      <c r="BU33" s="228"/>
      <c r="BV33" s="228"/>
      <c r="BW33" s="228"/>
      <c r="BX33" s="228"/>
      <c r="BY33" s="228"/>
      <c r="BZ33" s="228"/>
      <c r="CA33" s="228"/>
      <c r="CB33" s="228"/>
    </row>
    <row r="34" spans="1:119" s="326" customFormat="1" x14ac:dyDescent="0.25">
      <c r="A34" s="599"/>
      <c r="B34" s="16" t="s">
        <v>507</v>
      </c>
      <c r="C34" s="571"/>
      <c r="D34" s="571"/>
      <c r="E34" s="610"/>
      <c r="F34" s="176"/>
      <c r="G34" s="48"/>
      <c r="H34" s="48"/>
      <c r="I34" s="48"/>
      <c r="J34" s="48"/>
      <c r="K34" s="48"/>
      <c r="L34" s="48"/>
      <c r="M34" s="89"/>
      <c r="N34" s="88">
        <f>'2.8.'!W61+'2.8.'!BP61+'2.8.'!BQ61+'2.8.'!BR61+'2.8.'!BS61</f>
        <v>599062.370874441</v>
      </c>
      <c r="O34" s="48"/>
      <c r="P34" s="48"/>
      <c r="Q34" s="48"/>
      <c r="R34" s="48"/>
      <c r="S34" s="48"/>
      <c r="T34" s="89"/>
      <c r="U34" s="88"/>
      <c r="V34" s="48"/>
      <c r="W34" s="89"/>
      <c r="X34" s="48"/>
      <c r="Y34" s="48"/>
      <c r="Z34" s="48"/>
      <c r="AA34" s="48"/>
      <c r="AB34" s="48"/>
      <c r="AC34" s="48"/>
      <c r="AD34" s="88"/>
      <c r="AE34" s="48"/>
      <c r="AF34" s="48"/>
      <c r="AG34" s="48"/>
      <c r="AH34" s="48"/>
      <c r="AI34" s="48"/>
      <c r="AJ34" s="48"/>
      <c r="AK34" s="48"/>
      <c r="AL34" s="48"/>
      <c r="AM34" s="48"/>
      <c r="AN34" s="53"/>
      <c r="AO34" s="53"/>
      <c r="AP34" s="53"/>
      <c r="AQ34" s="53"/>
      <c r="AR34" s="53"/>
      <c r="AS34" s="53"/>
      <c r="AT34" s="53"/>
      <c r="AU34" s="53"/>
      <c r="AV34" s="53"/>
      <c r="AW34" s="53"/>
      <c r="AX34" s="53"/>
      <c r="AY34" s="53"/>
      <c r="AZ34" s="53"/>
      <c r="BA34" s="53"/>
      <c r="BB34" s="53"/>
      <c r="BC34" s="53"/>
      <c r="BD34" s="53"/>
      <c r="BE34" s="149"/>
      <c r="BF34" s="14"/>
      <c r="BG34" s="150">
        <f t="shared" si="0"/>
        <v>599062.370874441</v>
      </c>
      <c r="BH34" s="228"/>
      <c r="BI34" s="228"/>
      <c r="BJ34" s="228"/>
      <c r="BK34" s="228"/>
      <c r="BL34" s="228"/>
      <c r="BM34" s="228"/>
      <c r="BN34" s="228"/>
      <c r="BO34" s="228"/>
      <c r="BP34" s="228"/>
      <c r="BQ34" s="228"/>
      <c r="BR34" s="228"/>
      <c r="BS34" s="228"/>
      <c r="BT34" s="228"/>
      <c r="BU34" s="228"/>
      <c r="BV34" s="228"/>
      <c r="BW34" s="228"/>
      <c r="BX34" s="228"/>
      <c r="BY34" s="228"/>
      <c r="BZ34" s="228"/>
      <c r="CA34" s="228"/>
      <c r="CB34" s="228"/>
    </row>
    <row r="35" spans="1:119" s="326" customFormat="1" x14ac:dyDescent="0.25">
      <c r="A35" s="599"/>
      <c r="B35" s="16" t="s">
        <v>500</v>
      </c>
      <c r="C35" s="571"/>
      <c r="D35" s="571"/>
      <c r="E35" s="610"/>
      <c r="F35" s="176"/>
      <c r="G35" s="48"/>
      <c r="H35" s="48"/>
      <c r="I35" s="48"/>
      <c r="J35" s="48"/>
      <c r="K35" s="48"/>
      <c r="L35" s="48"/>
      <c r="M35" s="89"/>
      <c r="N35" s="88">
        <f>'2.8.'!W62+'2.8.'!BP62+'2.8.'!BQ62+'2.8.'!BR62+'2.8.'!BS62</f>
        <v>48792.304690106503</v>
      </c>
      <c r="O35" s="48"/>
      <c r="P35" s="48">
        <f>'2.8.'!G62+'2.8.'!BO62</f>
        <v>4697.3057633769304</v>
      </c>
      <c r="Q35" s="48"/>
      <c r="R35" s="48"/>
      <c r="S35" s="48"/>
      <c r="T35" s="89"/>
      <c r="U35" s="88"/>
      <c r="V35" s="48"/>
      <c r="W35" s="89"/>
      <c r="X35" s="48"/>
      <c r="Y35" s="48"/>
      <c r="Z35" s="48">
        <f>'2.8.'!CI62+'2.8.'!DG62+'2.8.'!DH62+'2.8.'!DN62+'2.8.'!DJ62+'2.8.'!DK62+'2.8.'!DL62+'2.8.'!DM62+'2.8.'!DO62</f>
        <v>60339.839999999997</v>
      </c>
      <c r="AA35" s="48"/>
      <c r="AB35" s="48"/>
      <c r="AC35" s="48"/>
      <c r="AD35" s="88">
        <f>'2.8.'!AJ62</f>
        <v>0.191663181499549</v>
      </c>
      <c r="AE35" s="48">
        <f>'2.8.'!U62</f>
        <v>0.31257689179319498</v>
      </c>
      <c r="AF35" s="48"/>
      <c r="AG35" s="48">
        <f>'2.8.'!AB62</f>
        <v>0.49981493983099401</v>
      </c>
      <c r="AH35" s="48"/>
      <c r="AI35" s="48">
        <f>'2.8.'!Z62</f>
        <v>0.15657168372778599</v>
      </c>
      <c r="AJ35" s="48"/>
      <c r="AK35" s="48"/>
      <c r="AL35" s="48"/>
      <c r="AM35" s="48"/>
      <c r="AN35" s="53">
        <f>'2.8.'!AO62</f>
        <v>3.2359561502116998</v>
      </c>
      <c r="AO35" s="53">
        <f>'2.8.'!R62</f>
        <v>0.27478135866373998</v>
      </c>
      <c r="AP35" s="53"/>
      <c r="AQ35" s="53">
        <f>'2.8.'!AP62</f>
        <v>8.05072911947744E-2</v>
      </c>
      <c r="AR35" s="53">
        <f>'2.8.'!BB62</f>
        <v>0.267813078348766</v>
      </c>
      <c r="AS35" s="53"/>
      <c r="AT35" s="53"/>
      <c r="AU35" s="53"/>
      <c r="AV35" s="53"/>
      <c r="AW35" s="53">
        <f>'2.8.'!BH62</f>
        <v>57.749696813197502</v>
      </c>
      <c r="AX35" s="53"/>
      <c r="AY35" s="53">
        <f>'2.8.'!AD62</f>
        <v>5.5945537492787599E-2</v>
      </c>
      <c r="AZ35" s="53">
        <f>'2.8.'!AI62</f>
        <v>0.49494809553083402</v>
      </c>
      <c r="BA35" s="53"/>
      <c r="BB35" s="53">
        <f>'2.8.'!Q62</f>
        <v>5.6668222485457401E-2</v>
      </c>
      <c r="BC35" s="53"/>
      <c r="BD35" s="53"/>
      <c r="BE35" s="149">
        <f t="shared" ref="BE35:BE39" si="5">SUM(AD35:BD35)</f>
        <v>63.376943243977088</v>
      </c>
      <c r="BF35" s="14"/>
      <c r="BG35" s="150">
        <f t="shared" si="0"/>
        <v>113892.82739672739</v>
      </c>
      <c r="BH35" s="228"/>
      <c r="BI35" s="228"/>
      <c r="BJ35" s="228"/>
      <c r="BK35" s="228"/>
      <c r="BL35" s="228"/>
      <c r="BM35" s="228"/>
      <c r="BN35" s="228"/>
      <c r="BO35" s="228"/>
      <c r="BP35" s="228"/>
      <c r="BQ35" s="228"/>
      <c r="BR35" s="228"/>
      <c r="BS35" s="228"/>
      <c r="BT35" s="228"/>
      <c r="BU35" s="228"/>
      <c r="BV35" s="228"/>
      <c r="BW35" s="228"/>
      <c r="BX35" s="228"/>
      <c r="BY35" s="228"/>
      <c r="BZ35" s="228"/>
      <c r="CA35" s="228"/>
      <c r="CB35" s="228"/>
    </row>
    <row r="36" spans="1:119" s="326" customFormat="1" x14ac:dyDescent="0.25">
      <c r="A36" s="599"/>
      <c r="B36" s="16" t="s">
        <v>501</v>
      </c>
      <c r="C36" s="571"/>
      <c r="D36" s="571"/>
      <c r="E36" s="610"/>
      <c r="F36" s="176"/>
      <c r="G36" s="48"/>
      <c r="H36" s="48"/>
      <c r="I36" s="48"/>
      <c r="J36" s="48"/>
      <c r="K36" s="48"/>
      <c r="L36" s="48"/>
      <c r="M36" s="89"/>
      <c r="N36" s="88">
        <f>'2.8.'!W63+'2.8.'!BP63+'2.8.'!BQ63+'2.8.'!BR63+'2.8.'!BS63</f>
        <v>69669.766896294197</v>
      </c>
      <c r="O36" s="48"/>
      <c r="P36" s="48"/>
      <c r="Q36" s="48"/>
      <c r="R36" s="48"/>
      <c r="S36" s="48"/>
      <c r="T36" s="89">
        <f>'2.8.'!BU63+'2.8.'!BT63+'2.8.'!BV63</f>
        <v>13936.774588689699</v>
      </c>
      <c r="U36" s="88"/>
      <c r="V36" s="48"/>
      <c r="W36" s="89"/>
      <c r="X36" s="48">
        <f>'2.8.'!CA63+'2.8.'!CB63+'2.8.'!CC63+'2.8.'!CD63+'2.8.'!CE63+'2.8.'!CF63+'2.8.'!CH63+'2.8.'!CG63</f>
        <v>34834.883448147099</v>
      </c>
      <c r="Y36" s="48"/>
      <c r="Z36" s="48"/>
      <c r="AA36" s="48"/>
      <c r="AB36" s="48"/>
      <c r="AC36" s="48"/>
      <c r="AD36" s="88"/>
      <c r="AE36" s="48"/>
      <c r="AF36" s="48"/>
      <c r="AG36" s="48"/>
      <c r="AH36" s="48"/>
      <c r="AI36" s="48"/>
      <c r="AJ36" s="48"/>
      <c r="AK36" s="48"/>
      <c r="AL36" s="48"/>
      <c r="AM36" s="48"/>
      <c r="AN36" s="53"/>
      <c r="AO36" s="53"/>
      <c r="AP36" s="53"/>
      <c r="AQ36" s="53"/>
      <c r="AR36" s="53"/>
      <c r="AS36" s="53"/>
      <c r="AT36" s="53"/>
      <c r="AU36" s="53"/>
      <c r="AV36" s="53"/>
      <c r="AW36" s="53"/>
      <c r="AX36" s="53"/>
      <c r="AY36" s="53"/>
      <c r="AZ36" s="53"/>
      <c r="BA36" s="53"/>
      <c r="BB36" s="53"/>
      <c r="BC36" s="53"/>
      <c r="BD36" s="53"/>
      <c r="BE36" s="149"/>
      <c r="BF36" s="14"/>
      <c r="BG36" s="150">
        <f t="shared" si="0"/>
        <v>118441.424933131</v>
      </c>
      <c r="BH36" s="228"/>
      <c r="BI36" s="228"/>
      <c r="BJ36" s="228"/>
      <c r="BK36" s="228"/>
      <c r="BL36" s="228"/>
      <c r="BM36" s="228"/>
      <c r="BN36" s="228"/>
      <c r="BO36" s="228"/>
      <c r="BP36" s="228"/>
      <c r="BQ36" s="228"/>
      <c r="BR36" s="228"/>
      <c r="BS36" s="228"/>
      <c r="BT36" s="228"/>
      <c r="BU36" s="228"/>
      <c r="BV36" s="228"/>
      <c r="BW36" s="228"/>
      <c r="BX36" s="228"/>
      <c r="BY36" s="228"/>
      <c r="BZ36" s="228"/>
      <c r="CA36" s="228"/>
      <c r="CB36" s="228"/>
    </row>
    <row r="37" spans="1:119" s="326" customFormat="1" x14ac:dyDescent="0.25">
      <c r="A37" s="599"/>
      <c r="B37" s="16" t="s">
        <v>502</v>
      </c>
      <c r="C37" s="571"/>
      <c r="D37" s="571"/>
      <c r="E37" s="610"/>
      <c r="F37" s="176"/>
      <c r="G37" s="48"/>
      <c r="H37" s="48"/>
      <c r="I37" s="48"/>
      <c r="J37" s="48"/>
      <c r="K37" s="48"/>
      <c r="L37" s="48"/>
      <c r="M37" s="89"/>
      <c r="N37" s="88">
        <f>'2.8.'!W64+'2.8.'!BP64+'2.8.'!BQ64+'2.8.'!BR64+'2.8.'!BS64</f>
        <v>245563.759340855</v>
      </c>
      <c r="O37" s="48">
        <f>'2.8.'!T64</f>
        <v>16190.011362966699</v>
      </c>
      <c r="P37" s="48">
        <f>'2.8.'!G64+'2.8.'!BO64</f>
        <v>15475.8387195944</v>
      </c>
      <c r="Q37" s="48"/>
      <c r="R37" s="48"/>
      <c r="S37" s="48"/>
      <c r="T37" s="89"/>
      <c r="U37" s="88"/>
      <c r="V37" s="48"/>
      <c r="W37" s="89"/>
      <c r="X37" s="48"/>
      <c r="Y37" s="48"/>
      <c r="Z37" s="48">
        <f>'2.8.'!CI64+'2.8.'!DG64+'2.8.'!DH64+'2.8.'!DN64+'2.8.'!DJ64+'2.8.'!DK64+'2.8.'!DL64+'2.8.'!DM64+'2.8.'!DO64</f>
        <v>92022.25</v>
      </c>
      <c r="AA37" s="48"/>
      <c r="AB37" s="48"/>
      <c r="AC37" s="48"/>
      <c r="AD37" s="88">
        <f>'2.8.'!AJ64</f>
        <v>4.8335524094139704</v>
      </c>
      <c r="AE37" s="48">
        <f>'2.8.'!U64</f>
        <v>14.9311697461664</v>
      </c>
      <c r="AF37" s="48"/>
      <c r="AG37" s="48">
        <f>'2.8.'!AB64</f>
        <v>5.2961630430806497E-3</v>
      </c>
      <c r="AH37" s="48"/>
      <c r="AI37" s="48"/>
      <c r="AJ37" s="48"/>
      <c r="AK37" s="48"/>
      <c r="AL37" s="48"/>
      <c r="AM37" s="48"/>
      <c r="AN37" s="53">
        <f>'2.8.'!AO64</f>
        <v>7.1294381298146205E-4</v>
      </c>
      <c r="AO37" s="53">
        <f>'2.8.'!R64</f>
        <v>183.163073316386</v>
      </c>
      <c r="AP37" s="53"/>
      <c r="AQ37" s="53">
        <f>'2.8.'!AP64</f>
        <v>1.10736984180909E-2</v>
      </c>
      <c r="AR37" s="53"/>
      <c r="AS37" s="53"/>
      <c r="AT37" s="53"/>
      <c r="AU37" s="53"/>
      <c r="AV37" s="53"/>
      <c r="AW37" s="53">
        <f>'2.8.'!BH64</f>
        <v>28.855226503552402</v>
      </c>
      <c r="AX37" s="53"/>
      <c r="AY37" s="53"/>
      <c r="AZ37" s="53"/>
      <c r="BA37" s="53"/>
      <c r="BB37" s="53"/>
      <c r="BC37" s="53"/>
      <c r="BD37" s="53"/>
      <c r="BE37" s="149">
        <f t="shared" si="5"/>
        <v>231.80010478079294</v>
      </c>
      <c r="BF37" s="14"/>
      <c r="BG37" s="150">
        <f t="shared" si="0"/>
        <v>369483.65952819685</v>
      </c>
      <c r="BH37" s="228"/>
      <c r="BI37" s="228"/>
      <c r="BJ37" s="228"/>
      <c r="BK37" s="228"/>
      <c r="BL37" s="228"/>
      <c r="BM37" s="228"/>
      <c r="BN37" s="228"/>
      <c r="BO37" s="228"/>
      <c r="BP37" s="228"/>
      <c r="BQ37" s="228"/>
      <c r="BR37" s="228"/>
      <c r="BS37" s="228"/>
      <c r="BT37" s="228"/>
      <c r="BU37" s="228"/>
      <c r="BV37" s="228"/>
      <c r="BW37" s="228"/>
      <c r="BX37" s="228"/>
      <c r="BY37" s="228"/>
      <c r="BZ37" s="228"/>
      <c r="CA37" s="228"/>
      <c r="CB37" s="228"/>
    </row>
    <row r="38" spans="1:119" s="326" customFormat="1" x14ac:dyDescent="0.25">
      <c r="A38" s="599"/>
      <c r="B38" s="16" t="s">
        <v>506</v>
      </c>
      <c r="C38" s="571"/>
      <c r="D38" s="571"/>
      <c r="E38" s="610"/>
      <c r="F38" s="176"/>
      <c r="G38" s="48"/>
      <c r="H38" s="48"/>
      <c r="I38" s="48"/>
      <c r="J38" s="48"/>
      <c r="K38" s="48"/>
      <c r="L38" s="48"/>
      <c r="M38" s="89"/>
      <c r="N38" s="88">
        <f>'2.8.'!W65+'2.8.'!BP65+'2.8.'!BQ65+'2.8.'!BR65+'2.8.'!BS65</f>
        <v>29145.888262050001</v>
      </c>
      <c r="O38" s="48">
        <f>'2.8.'!T65</f>
        <v>378.96493917876001</v>
      </c>
      <c r="P38" s="48">
        <f>'2.8.'!G65+'2.8.'!BO65</f>
        <v>636.20720927281297</v>
      </c>
      <c r="Q38" s="48"/>
      <c r="R38" s="48"/>
      <c r="S38" s="48"/>
      <c r="T38" s="89"/>
      <c r="U38" s="88"/>
      <c r="V38" s="48"/>
      <c r="W38" s="89"/>
      <c r="X38" s="48"/>
      <c r="Y38" s="48"/>
      <c r="Z38" s="48">
        <f>'2.8.'!CI65+'2.8.'!DG65+'2.8.'!DH65+'2.8.'!DN65+'2.8.'!DJ65+'2.8.'!DK65+'2.8.'!DL65+'2.8.'!DM65+'2.8.'!DO65</f>
        <v>7466.72</v>
      </c>
      <c r="AA38" s="48"/>
      <c r="AB38" s="48"/>
      <c r="AC38" s="48"/>
      <c r="AD38" s="88"/>
      <c r="AE38" s="48"/>
      <c r="AF38" s="48"/>
      <c r="AG38" s="48"/>
      <c r="AH38" s="48"/>
      <c r="AI38" s="48"/>
      <c r="AJ38" s="48"/>
      <c r="AK38" s="48"/>
      <c r="AL38" s="48"/>
      <c r="AM38" s="48"/>
      <c r="AN38" s="53"/>
      <c r="AO38" s="53"/>
      <c r="AP38" s="53"/>
      <c r="AQ38" s="53"/>
      <c r="AR38" s="53"/>
      <c r="AS38" s="53"/>
      <c r="AT38" s="53"/>
      <c r="AU38" s="53"/>
      <c r="AV38" s="53"/>
      <c r="AW38" s="53"/>
      <c r="AX38" s="53"/>
      <c r="AY38" s="53"/>
      <c r="AZ38" s="53"/>
      <c r="BA38" s="53"/>
      <c r="BB38" s="53"/>
      <c r="BC38" s="53"/>
      <c r="BD38" s="53"/>
      <c r="BE38" s="149"/>
      <c r="BF38" s="14"/>
      <c r="BG38" s="150">
        <f t="shared" si="0"/>
        <v>37627.780410501575</v>
      </c>
      <c r="BH38" s="228"/>
      <c r="BI38" s="228"/>
      <c r="BJ38" s="228"/>
      <c r="BK38" s="228"/>
      <c r="BL38" s="228"/>
      <c r="BM38" s="228"/>
      <c r="BN38" s="228"/>
      <c r="BO38" s="228"/>
      <c r="BP38" s="228"/>
      <c r="BQ38" s="228"/>
      <c r="BR38" s="228"/>
      <c r="BS38" s="228"/>
      <c r="BT38" s="228"/>
      <c r="BU38" s="228"/>
      <c r="BV38" s="228"/>
      <c r="BW38" s="228"/>
      <c r="BX38" s="228"/>
      <c r="BY38" s="228"/>
      <c r="BZ38" s="228"/>
      <c r="CA38" s="228"/>
      <c r="CB38" s="228"/>
    </row>
    <row r="39" spans="1:119" s="326" customFormat="1" x14ac:dyDescent="0.25">
      <c r="A39" s="599"/>
      <c r="B39" s="16" t="s">
        <v>503</v>
      </c>
      <c r="C39" s="571"/>
      <c r="D39" s="571"/>
      <c r="E39" s="610"/>
      <c r="F39" s="176"/>
      <c r="G39" s="48"/>
      <c r="H39" s="48"/>
      <c r="I39" s="48"/>
      <c r="J39" s="48"/>
      <c r="K39" s="48"/>
      <c r="L39" s="48"/>
      <c r="M39" s="89"/>
      <c r="N39" s="88">
        <f>'2.8.'!W66+'2.8.'!BP66+'2.8.'!BQ66+'2.8.'!BR66+'2.8.'!BS66</f>
        <v>9692.5973963001907</v>
      </c>
      <c r="O39" s="48"/>
      <c r="P39" s="48">
        <f>'2.8.'!G66+'2.8.'!BO66</f>
        <v>211.440253169176</v>
      </c>
      <c r="Q39" s="48"/>
      <c r="R39" s="48"/>
      <c r="S39" s="48"/>
      <c r="T39" s="89"/>
      <c r="U39" s="88"/>
      <c r="V39" s="48"/>
      <c r="W39" s="89"/>
      <c r="X39" s="48"/>
      <c r="Y39" s="48"/>
      <c r="Z39" s="48">
        <f>'2.8.'!CI66+'2.8.'!DG66+'2.8.'!DH66+'2.8.'!DN66+'2.8.'!DJ66+'2.8.'!DK66+'2.8.'!DL66+'2.8.'!DM66+'2.8.'!DO66</f>
        <v>4481.62</v>
      </c>
      <c r="AA39" s="48"/>
      <c r="AB39" s="48"/>
      <c r="AC39" s="48"/>
      <c r="AD39" s="88"/>
      <c r="AE39" s="48"/>
      <c r="AF39" s="48"/>
      <c r="AG39" s="48"/>
      <c r="AH39" s="48"/>
      <c r="AI39" s="48"/>
      <c r="AJ39" s="48"/>
      <c r="AK39" s="48"/>
      <c r="AL39" s="48"/>
      <c r="AM39" s="48"/>
      <c r="AN39" s="53">
        <f>'2.8.'!AO66</f>
        <v>8.8042762736497196E-4</v>
      </c>
      <c r="AO39" s="53"/>
      <c r="AP39" s="53"/>
      <c r="AQ39" s="53">
        <f>'2.8.'!AP66</f>
        <v>4.1601922522527902E-5</v>
      </c>
      <c r="AR39" s="53"/>
      <c r="AS39" s="53"/>
      <c r="AT39" s="53"/>
      <c r="AU39" s="53"/>
      <c r="AV39" s="53"/>
      <c r="AW39" s="53"/>
      <c r="AX39" s="53"/>
      <c r="AY39" s="53"/>
      <c r="AZ39" s="53"/>
      <c r="BA39" s="53"/>
      <c r="BB39" s="53"/>
      <c r="BC39" s="53"/>
      <c r="BD39" s="53"/>
      <c r="BE39" s="149">
        <f t="shared" si="5"/>
        <v>9.2202954988749989E-4</v>
      </c>
      <c r="BF39" s="14"/>
      <c r="BG39" s="150">
        <f t="shared" si="0"/>
        <v>14385.658571498916</v>
      </c>
      <c r="BH39" s="228"/>
      <c r="BI39" s="228"/>
      <c r="BJ39" s="228"/>
      <c r="BK39" s="228"/>
      <c r="BL39" s="228"/>
      <c r="BM39" s="228"/>
      <c r="BN39" s="228"/>
      <c r="BO39" s="228"/>
      <c r="BP39" s="228"/>
      <c r="BQ39" s="228"/>
      <c r="BR39" s="228"/>
      <c r="BS39" s="228"/>
      <c r="BT39" s="228"/>
      <c r="BU39" s="228"/>
      <c r="BV39" s="228"/>
      <c r="BW39" s="228"/>
      <c r="BX39" s="228"/>
      <c r="BY39" s="228"/>
      <c r="BZ39" s="228"/>
      <c r="CA39" s="228"/>
      <c r="CB39" s="228"/>
    </row>
    <row r="40" spans="1:119" s="326" customFormat="1" x14ac:dyDescent="0.25">
      <c r="A40" s="599"/>
      <c r="B40" s="16" t="s">
        <v>504</v>
      </c>
      <c r="C40" s="571"/>
      <c r="D40" s="571"/>
      <c r="E40" s="610"/>
      <c r="F40" s="176"/>
      <c r="G40" s="48"/>
      <c r="H40" s="48"/>
      <c r="I40" s="48"/>
      <c r="J40" s="48"/>
      <c r="K40" s="48"/>
      <c r="L40" s="48"/>
      <c r="M40" s="89"/>
      <c r="N40" s="88">
        <f>'2.8.'!W67+'2.8.'!BP67+'2.8.'!BQ67+'2.8.'!BR67+'2.8.'!BS67</f>
        <v>1450479.6030621107</v>
      </c>
      <c r="O40" s="48">
        <f>'2.8.'!T67</f>
        <v>9758.7199339929703</v>
      </c>
      <c r="P40" s="48">
        <f>'2.8.'!G67+'2.8.'!BO67</f>
        <v>50912.336369295903</v>
      </c>
      <c r="Q40" s="48">
        <f>'2.8.'!BK67</f>
        <v>4835.9567270371099</v>
      </c>
      <c r="R40" s="48">
        <f>'2.8.'!AN67</f>
        <v>15619.4023439555</v>
      </c>
      <c r="S40" s="48"/>
      <c r="T40" s="89">
        <f>'2.8.'!BU67+'2.8.'!BT67+'2.8.'!BV67</f>
        <v>1109.2076916446099</v>
      </c>
      <c r="U40" s="88"/>
      <c r="V40" s="48"/>
      <c r="W40" s="89"/>
      <c r="X40" s="48">
        <f>'2.8.'!CA67+'2.8.'!CB67+'2.8.'!CC67+'2.8.'!CD67+'2.8.'!CE67+'2.8.'!CF67+'2.8.'!CH67+'2.8.'!CG67</f>
        <v>35996.667933357698</v>
      </c>
      <c r="Y40" s="48"/>
      <c r="Z40" s="48">
        <f>'2.8.'!CI67+'2.8.'!DG67+'2.8.'!DH67+'2.8.'!DN67+'2.8.'!DJ67+'2.8.'!DK67+'2.8.'!DL67+'2.8.'!DM67+'2.8.'!DO67</f>
        <v>113929.83104257933</v>
      </c>
      <c r="AA40" s="48">
        <f>'2.8.'!CQ67</f>
        <v>10527.5136651054</v>
      </c>
      <c r="AB40" s="48"/>
      <c r="AC40" s="48"/>
      <c r="AD40" s="88"/>
      <c r="AE40" s="48"/>
      <c r="AF40" s="48"/>
      <c r="AG40" s="48"/>
      <c r="AH40" s="48"/>
      <c r="AI40" s="48"/>
      <c r="AJ40" s="48"/>
      <c r="AK40" s="48"/>
      <c r="AL40" s="48"/>
      <c r="AM40" s="48"/>
      <c r="AN40" s="53"/>
      <c r="AO40" s="53"/>
      <c r="AP40" s="53"/>
      <c r="AQ40" s="53"/>
      <c r="AR40" s="53"/>
      <c r="AS40" s="53"/>
      <c r="AT40" s="53"/>
      <c r="AU40" s="53"/>
      <c r="AV40" s="53"/>
      <c r="AW40" s="53"/>
      <c r="AX40" s="53"/>
      <c r="AY40" s="53"/>
      <c r="AZ40" s="53"/>
      <c r="BA40" s="53"/>
      <c r="BB40" s="53"/>
      <c r="BC40" s="53"/>
      <c r="BD40" s="53"/>
      <c r="BE40" s="149"/>
      <c r="BF40" s="14"/>
      <c r="BG40" s="150">
        <f t="shared" si="0"/>
        <v>1693169.2387690793</v>
      </c>
      <c r="BH40" s="228"/>
      <c r="BI40" s="228"/>
      <c r="BJ40" s="228"/>
      <c r="BK40" s="228"/>
      <c r="BL40" s="228"/>
      <c r="BM40" s="228"/>
      <c r="BN40" s="228"/>
      <c r="BO40" s="228"/>
      <c r="BP40" s="228"/>
      <c r="BQ40" s="228"/>
      <c r="BR40" s="228"/>
      <c r="BS40" s="228"/>
      <c r="BT40" s="228"/>
      <c r="BU40" s="228"/>
      <c r="BV40" s="228"/>
      <c r="BW40" s="228"/>
      <c r="BX40" s="228"/>
      <c r="BY40" s="228"/>
      <c r="BZ40" s="228"/>
      <c r="CA40" s="228"/>
      <c r="CB40" s="228"/>
    </row>
    <row r="41" spans="1:119" s="326" customFormat="1" ht="15" thickBot="1" x14ac:dyDescent="0.3">
      <c r="A41" s="600"/>
      <c r="B41" s="80" t="s">
        <v>505</v>
      </c>
      <c r="C41" s="572"/>
      <c r="D41" s="572"/>
      <c r="E41" s="611"/>
      <c r="F41" s="178"/>
      <c r="G41" s="51"/>
      <c r="H41" s="51"/>
      <c r="I41" s="51"/>
      <c r="J41" s="51"/>
      <c r="K41" s="51"/>
      <c r="L41" s="51"/>
      <c r="M41" s="91"/>
      <c r="N41" s="90">
        <f>'2.8.'!W68+'2.8.'!BP68+'2.8.'!BQ68+'2.8.'!BR68+'2.8.'!BS68</f>
        <v>2098918.9946099548</v>
      </c>
      <c r="O41" s="51">
        <f>'2.8.'!T68</f>
        <v>133458.30325833999</v>
      </c>
      <c r="P41" s="51">
        <f>'2.8.'!G68+'2.8.'!BO68</f>
        <v>33194.418137467801</v>
      </c>
      <c r="Q41" s="51"/>
      <c r="R41" s="51"/>
      <c r="S41" s="51"/>
      <c r="T41" s="91">
        <f>'2.8.'!BU68+'2.8.'!BT68+'2.8.'!BV68</f>
        <v>6621.9163848952712</v>
      </c>
      <c r="U41" s="90"/>
      <c r="V41" s="51"/>
      <c r="W41" s="91"/>
      <c r="X41" s="51">
        <f>'2.8.'!CA68+'2.8.'!CB68+'2.8.'!CC68+'2.8.'!CD68+'2.8.'!CE68+'2.8.'!CF68+'2.8.'!CH68+'2.8.'!CG68</f>
        <v>133460.57669386378</v>
      </c>
      <c r="Y41" s="51"/>
      <c r="Z41" s="51">
        <f>'2.8.'!CI68+'2.8.'!DG68+'2.8.'!DH68+'2.8.'!DN68+'2.8.'!DJ68+'2.8.'!DK68+'2.8.'!DL68+'2.8.'!DM68+'2.8.'!DO68</f>
        <v>45800.203592550155</v>
      </c>
      <c r="AA41" s="51">
        <f>'2.8.'!CQ68</f>
        <v>5420.4167707258002</v>
      </c>
      <c r="AB41" s="51"/>
      <c r="AC41" s="51"/>
      <c r="AD41" s="90"/>
      <c r="AE41" s="51"/>
      <c r="AF41" s="51"/>
      <c r="AG41" s="51"/>
      <c r="AH41" s="51"/>
      <c r="AI41" s="51"/>
      <c r="AJ41" s="51"/>
      <c r="AK41" s="51"/>
      <c r="AL41" s="51"/>
      <c r="AM41" s="51"/>
      <c r="AN41" s="151"/>
      <c r="AO41" s="151"/>
      <c r="AP41" s="151"/>
      <c r="AQ41" s="151"/>
      <c r="AR41" s="151"/>
      <c r="AS41" s="151"/>
      <c r="AT41" s="151"/>
      <c r="AU41" s="151"/>
      <c r="AV41" s="151"/>
      <c r="AW41" s="151"/>
      <c r="AX41" s="151"/>
      <c r="AY41" s="151"/>
      <c r="AZ41" s="151"/>
      <c r="BA41" s="151"/>
      <c r="BB41" s="151"/>
      <c r="BC41" s="151"/>
      <c r="BD41" s="151"/>
      <c r="BE41" s="153"/>
      <c r="BF41" s="50"/>
      <c r="BG41" s="154">
        <f t="shared" si="0"/>
        <v>2456874.8294477975</v>
      </c>
      <c r="BH41" s="228"/>
      <c r="BI41" s="228"/>
      <c r="BJ41" s="228"/>
      <c r="BK41" s="228"/>
      <c r="BL41" s="228"/>
      <c r="BM41" s="228"/>
      <c r="BN41" s="228"/>
      <c r="BO41" s="228"/>
      <c r="BP41" s="228"/>
      <c r="BQ41" s="228"/>
      <c r="BR41" s="228"/>
      <c r="BS41" s="228"/>
      <c r="BT41" s="228"/>
      <c r="BU41" s="228"/>
      <c r="BV41" s="228"/>
      <c r="BW41" s="228"/>
      <c r="BX41" s="228"/>
      <c r="BY41" s="228"/>
      <c r="BZ41" s="228"/>
      <c r="CA41" s="228"/>
      <c r="CB41" s="228"/>
    </row>
    <row r="42" spans="1:119" s="326" customFormat="1" x14ac:dyDescent="0.25">
      <c r="A42" s="336"/>
      <c r="B42" s="14"/>
      <c r="C42" s="337"/>
      <c r="D42" s="337"/>
      <c r="E42" s="228"/>
      <c r="F42" s="48"/>
      <c r="G42" s="48"/>
      <c r="H42" s="48"/>
      <c r="I42" s="48"/>
      <c r="J42" s="48"/>
      <c r="K42" s="48"/>
      <c r="L42" s="48"/>
      <c r="M42" s="48"/>
      <c r="N42" s="48"/>
      <c r="O42" s="48"/>
      <c r="P42" s="48"/>
      <c r="Q42" s="48"/>
      <c r="R42" s="48"/>
      <c r="S42" s="48"/>
      <c r="T42" s="48"/>
      <c r="U42" s="48"/>
      <c r="V42" s="48"/>
      <c r="W42" s="48"/>
      <c r="X42" s="48"/>
      <c r="Y42" s="48"/>
      <c r="Z42" s="48"/>
      <c r="AA42" s="48"/>
      <c r="AB42" s="48"/>
      <c r="AC42" s="48"/>
      <c r="AD42" s="48"/>
      <c r="AE42" s="48"/>
      <c r="AF42" s="48"/>
      <c r="AG42" s="48"/>
      <c r="AH42" s="48"/>
      <c r="AI42" s="48"/>
      <c r="AJ42" s="48"/>
      <c r="AK42" s="48"/>
      <c r="AL42" s="48"/>
      <c r="AM42" s="48"/>
      <c r="AN42" s="148"/>
      <c r="AO42" s="48"/>
      <c r="AP42" s="48"/>
      <c r="AQ42" s="148"/>
      <c r="AR42" s="48"/>
      <c r="AS42" s="148"/>
      <c r="AT42" s="148"/>
      <c r="AU42" s="148"/>
      <c r="AV42" s="148"/>
      <c r="AW42" s="148"/>
      <c r="AX42" s="148"/>
      <c r="AY42" s="148"/>
      <c r="AZ42" s="148"/>
      <c r="BA42" s="148"/>
      <c r="BB42" s="148"/>
      <c r="BC42" s="148"/>
      <c r="BD42" s="148"/>
      <c r="BE42" s="44"/>
      <c r="BF42" s="14"/>
      <c r="BG42" s="48"/>
      <c r="BH42" s="228"/>
      <c r="BI42" s="228"/>
      <c r="BJ42" s="228"/>
      <c r="BK42" s="228"/>
      <c r="BL42" s="228"/>
      <c r="BM42" s="228"/>
      <c r="BN42" s="228"/>
      <c r="BO42" s="228"/>
      <c r="BP42" s="228"/>
      <c r="BQ42" s="228"/>
      <c r="BR42" s="228"/>
      <c r="BS42" s="228"/>
      <c r="BT42" s="228"/>
      <c r="BU42" s="228"/>
      <c r="BV42" s="228"/>
      <c r="BW42" s="228"/>
      <c r="BX42" s="228"/>
      <c r="BY42" s="228"/>
      <c r="BZ42" s="228"/>
      <c r="CA42" s="228"/>
      <c r="CB42" s="228"/>
    </row>
    <row r="43" spans="1:119" ht="15" thickBot="1" x14ac:dyDescent="0.35">
      <c r="A43" s="474" t="s">
        <v>624</v>
      </c>
      <c r="B43" s="474"/>
    </row>
    <row r="44" spans="1:119" s="290" customFormat="1" ht="42.6" thickBot="1" x14ac:dyDescent="0.35">
      <c r="A44" s="329" t="s">
        <v>266</v>
      </c>
      <c r="B44" s="330" t="s">
        <v>625</v>
      </c>
      <c r="C44" s="330" t="s">
        <v>437</v>
      </c>
      <c r="D44" s="513" t="s">
        <v>626</v>
      </c>
      <c r="E44" s="513" t="s">
        <v>627</v>
      </c>
      <c r="F44" s="330" t="s">
        <v>15</v>
      </c>
      <c r="G44" s="330" t="s">
        <v>252</v>
      </c>
      <c r="H44" s="330" t="s">
        <v>253</v>
      </c>
      <c r="I44" s="330" t="s">
        <v>21</v>
      </c>
      <c r="J44" s="330" t="s">
        <v>267</v>
      </c>
      <c r="K44" s="330" t="s">
        <v>268</v>
      </c>
      <c r="L44" s="330" t="s">
        <v>269</v>
      </c>
      <c r="M44" s="330" t="s">
        <v>254</v>
      </c>
      <c r="N44" s="330" t="s">
        <v>270</v>
      </c>
      <c r="O44" s="330" t="s">
        <v>271</v>
      </c>
      <c r="P44" s="330" t="s">
        <v>255</v>
      </c>
      <c r="Q44" s="330" t="s">
        <v>33</v>
      </c>
      <c r="R44" s="330" t="s">
        <v>20</v>
      </c>
      <c r="S44" s="330" t="s">
        <v>256</v>
      </c>
      <c r="T44" s="330" t="s">
        <v>257</v>
      </c>
      <c r="U44" s="330" t="s">
        <v>10</v>
      </c>
      <c r="V44" s="330" t="s">
        <v>272</v>
      </c>
      <c r="W44" s="330" t="s">
        <v>258</v>
      </c>
      <c r="X44" s="330" t="s">
        <v>13</v>
      </c>
      <c r="Y44" s="330" t="s">
        <v>273</v>
      </c>
      <c r="Z44" s="330" t="s">
        <v>14</v>
      </c>
      <c r="AA44" s="330" t="s">
        <v>34</v>
      </c>
      <c r="AB44" s="330" t="s">
        <v>12</v>
      </c>
      <c r="AC44" s="330" t="s">
        <v>274</v>
      </c>
      <c r="AD44" s="330" t="s">
        <v>30</v>
      </c>
      <c r="AE44" s="330" t="s">
        <v>16</v>
      </c>
      <c r="AF44" s="330" t="s">
        <v>24</v>
      </c>
      <c r="AG44" s="330" t="s">
        <v>259</v>
      </c>
      <c r="AH44" s="330" t="s">
        <v>260</v>
      </c>
      <c r="AI44" s="330" t="s">
        <v>31</v>
      </c>
      <c r="AJ44" s="330" t="s">
        <v>9</v>
      </c>
      <c r="AK44" s="330" t="s">
        <v>261</v>
      </c>
      <c r="AL44" s="330" t="s">
        <v>275</v>
      </c>
      <c r="AM44" s="330" t="s">
        <v>276</v>
      </c>
      <c r="AN44" s="330" t="s">
        <v>262</v>
      </c>
      <c r="AO44" s="330" t="s">
        <v>19</v>
      </c>
      <c r="AP44" s="330" t="s">
        <v>22</v>
      </c>
      <c r="AQ44" s="330" t="s">
        <v>11</v>
      </c>
      <c r="AR44" s="330" t="s">
        <v>277</v>
      </c>
      <c r="AS44" s="330" t="s">
        <v>278</v>
      </c>
      <c r="AT44" s="330" t="s">
        <v>279</v>
      </c>
      <c r="AU44" s="330" t="s">
        <v>280</v>
      </c>
      <c r="AV44" s="330" t="s">
        <v>281</v>
      </c>
      <c r="AW44" s="330" t="s">
        <v>18</v>
      </c>
      <c r="AX44" s="330" t="s">
        <v>282</v>
      </c>
      <c r="AY44" s="330" t="s">
        <v>283</v>
      </c>
      <c r="AZ44" s="330" t="s">
        <v>263</v>
      </c>
      <c r="BA44" s="330" t="s">
        <v>27</v>
      </c>
      <c r="BB44" s="330" t="s">
        <v>23</v>
      </c>
      <c r="BC44" s="330" t="s">
        <v>17</v>
      </c>
      <c r="BD44" s="330" t="s">
        <v>284</v>
      </c>
      <c r="BE44" s="330" t="s">
        <v>25</v>
      </c>
      <c r="BF44" s="330" t="s">
        <v>285</v>
      </c>
      <c r="BG44" s="330" t="s">
        <v>32</v>
      </c>
      <c r="BH44" s="330" t="s">
        <v>28</v>
      </c>
      <c r="BI44" s="330" t="s">
        <v>29</v>
      </c>
      <c r="BJ44" s="330" t="s">
        <v>286</v>
      </c>
      <c r="BK44" s="330" t="s">
        <v>264</v>
      </c>
      <c r="BL44" s="330" t="s">
        <v>265</v>
      </c>
      <c r="BM44" s="330" t="s">
        <v>287</v>
      </c>
      <c r="BN44" s="330" t="s">
        <v>288</v>
      </c>
      <c r="BO44" s="330" t="s">
        <v>289</v>
      </c>
      <c r="BP44" s="330" t="s">
        <v>290</v>
      </c>
      <c r="BQ44" s="330" t="s">
        <v>291</v>
      </c>
      <c r="BR44" s="330" t="s">
        <v>292</v>
      </c>
      <c r="BS44" s="330" t="s">
        <v>293</v>
      </c>
      <c r="BT44" s="331" t="s">
        <v>294</v>
      </c>
      <c r="BU44" s="330" t="s">
        <v>628</v>
      </c>
      <c r="BV44" s="330" t="s">
        <v>629</v>
      </c>
      <c r="BW44" s="330" t="s">
        <v>295</v>
      </c>
      <c r="BX44" s="330" t="s">
        <v>296</v>
      </c>
      <c r="BY44" s="330" t="s">
        <v>297</v>
      </c>
      <c r="BZ44" s="330" t="s">
        <v>298</v>
      </c>
      <c r="CA44" s="330" t="s">
        <v>299</v>
      </c>
      <c r="CB44" s="330" t="s">
        <v>300</v>
      </c>
      <c r="CC44" s="330" t="s">
        <v>301</v>
      </c>
      <c r="CD44" s="330" t="s">
        <v>302</v>
      </c>
      <c r="CE44" s="330" t="s">
        <v>130</v>
      </c>
      <c r="CF44" s="330" t="s">
        <v>123</v>
      </c>
      <c r="CG44" s="330" t="s">
        <v>303</v>
      </c>
      <c r="CH44" s="330" t="s">
        <v>304</v>
      </c>
      <c r="CI44" s="330" t="s">
        <v>305</v>
      </c>
      <c r="CJ44" s="330" t="s">
        <v>306</v>
      </c>
      <c r="CK44" s="330" t="s">
        <v>307</v>
      </c>
      <c r="CL44" s="330" t="s">
        <v>308</v>
      </c>
      <c r="CM44" s="330" t="s">
        <v>309</v>
      </c>
      <c r="CN44" s="330" t="s">
        <v>310</v>
      </c>
      <c r="CO44" s="330" t="s">
        <v>311</v>
      </c>
      <c r="CP44" s="330" t="s">
        <v>312</v>
      </c>
      <c r="CQ44" s="330" t="s">
        <v>313</v>
      </c>
      <c r="CR44" s="330" t="s">
        <v>314</v>
      </c>
      <c r="CS44" s="330" t="s">
        <v>315</v>
      </c>
      <c r="CT44" s="330" t="s">
        <v>316</v>
      </c>
      <c r="CU44" s="330" t="s">
        <v>317</v>
      </c>
      <c r="CV44" s="330" t="s">
        <v>318</v>
      </c>
      <c r="CW44" s="330" t="s">
        <v>319</v>
      </c>
      <c r="CX44" s="330" t="s">
        <v>320</v>
      </c>
      <c r="CY44" s="330" t="s">
        <v>321</v>
      </c>
      <c r="CZ44" s="330" t="s">
        <v>630</v>
      </c>
      <c r="DA44" s="330" t="s">
        <v>322</v>
      </c>
      <c r="DB44" s="330" t="s">
        <v>323</v>
      </c>
      <c r="DC44" s="330" t="s">
        <v>324</v>
      </c>
      <c r="DD44" s="330" t="s">
        <v>325</v>
      </c>
      <c r="DE44" s="330" t="s">
        <v>326</v>
      </c>
      <c r="DF44" s="330" t="s">
        <v>327</v>
      </c>
      <c r="DG44" s="330" t="s">
        <v>328</v>
      </c>
      <c r="DH44" s="330" t="s">
        <v>329</v>
      </c>
      <c r="DI44" s="330" t="s">
        <v>330</v>
      </c>
      <c r="DJ44" s="330" t="s">
        <v>331</v>
      </c>
      <c r="DK44" s="330" t="s">
        <v>332</v>
      </c>
      <c r="DL44" s="330" t="s">
        <v>333</v>
      </c>
      <c r="DM44" s="330" t="s">
        <v>334</v>
      </c>
      <c r="DN44" s="330" t="s">
        <v>335</v>
      </c>
      <c r="DO44" s="330" t="s">
        <v>336</v>
      </c>
    </row>
    <row r="45" spans="1:119" s="40" customFormat="1" ht="15" thickBot="1" x14ac:dyDescent="0.35">
      <c r="A45" s="332"/>
      <c r="B45" s="333"/>
      <c r="C45" s="333"/>
      <c r="D45" s="333"/>
      <c r="E45" s="333"/>
      <c r="F45" s="333" t="s">
        <v>38</v>
      </c>
      <c r="G45" s="333" t="s">
        <v>38</v>
      </c>
      <c r="H45" s="333" t="s">
        <v>38</v>
      </c>
      <c r="I45" s="333" t="s">
        <v>38</v>
      </c>
      <c r="J45" s="333" t="s">
        <v>38</v>
      </c>
      <c r="K45" s="333" t="s">
        <v>38</v>
      </c>
      <c r="L45" s="333" t="s">
        <v>38</v>
      </c>
      <c r="M45" s="333" t="s">
        <v>38</v>
      </c>
      <c r="N45" s="333" t="s">
        <v>38</v>
      </c>
      <c r="O45" s="333" t="s">
        <v>38</v>
      </c>
      <c r="P45" s="333" t="s">
        <v>38</v>
      </c>
      <c r="Q45" s="333" t="s">
        <v>38</v>
      </c>
      <c r="R45" s="333" t="s">
        <v>38</v>
      </c>
      <c r="S45" s="333" t="s">
        <v>38</v>
      </c>
      <c r="T45" s="333" t="s">
        <v>38</v>
      </c>
      <c r="U45" s="333" t="s">
        <v>38</v>
      </c>
      <c r="V45" s="333" t="s">
        <v>38</v>
      </c>
      <c r="W45" s="333" t="s">
        <v>38</v>
      </c>
      <c r="X45" s="333" t="s">
        <v>38</v>
      </c>
      <c r="Y45" s="333" t="s">
        <v>38</v>
      </c>
      <c r="Z45" s="333" t="s">
        <v>38</v>
      </c>
      <c r="AA45" s="333" t="s">
        <v>38</v>
      </c>
      <c r="AB45" s="333" t="s">
        <v>38</v>
      </c>
      <c r="AC45" s="333" t="s">
        <v>38</v>
      </c>
      <c r="AD45" s="333" t="s">
        <v>38</v>
      </c>
      <c r="AE45" s="333" t="s">
        <v>38</v>
      </c>
      <c r="AF45" s="333" t="s">
        <v>38</v>
      </c>
      <c r="AG45" s="333" t="s">
        <v>38</v>
      </c>
      <c r="AH45" s="333" t="s">
        <v>38</v>
      </c>
      <c r="AI45" s="333" t="s">
        <v>38</v>
      </c>
      <c r="AJ45" s="333" t="s">
        <v>38</v>
      </c>
      <c r="AK45" s="333" t="s">
        <v>38</v>
      </c>
      <c r="AL45" s="333" t="s">
        <v>38</v>
      </c>
      <c r="AM45" s="333" t="s">
        <v>38</v>
      </c>
      <c r="AN45" s="333" t="s">
        <v>38</v>
      </c>
      <c r="AO45" s="333" t="s">
        <v>38</v>
      </c>
      <c r="AP45" s="333" t="s">
        <v>38</v>
      </c>
      <c r="AQ45" s="333" t="s">
        <v>38</v>
      </c>
      <c r="AR45" s="333" t="s">
        <v>38</v>
      </c>
      <c r="AS45" s="333" t="s">
        <v>38</v>
      </c>
      <c r="AT45" s="333" t="s">
        <v>38</v>
      </c>
      <c r="AU45" s="333" t="s">
        <v>38</v>
      </c>
      <c r="AV45" s="333" t="s">
        <v>38</v>
      </c>
      <c r="AW45" s="333" t="s">
        <v>38</v>
      </c>
      <c r="AX45" s="333" t="s">
        <v>38</v>
      </c>
      <c r="AY45" s="333" t="s">
        <v>38</v>
      </c>
      <c r="AZ45" s="333" t="s">
        <v>38</v>
      </c>
      <c r="BA45" s="333" t="s">
        <v>38</v>
      </c>
      <c r="BB45" s="333" t="s">
        <v>38</v>
      </c>
      <c r="BC45" s="333" t="s">
        <v>38</v>
      </c>
      <c r="BD45" s="333" t="s">
        <v>38</v>
      </c>
      <c r="BE45" s="333" t="s">
        <v>38</v>
      </c>
      <c r="BF45" s="333" t="s">
        <v>38</v>
      </c>
      <c r="BG45" s="333" t="s">
        <v>38</v>
      </c>
      <c r="BH45" s="333" t="s">
        <v>38</v>
      </c>
      <c r="BI45" s="333" t="s">
        <v>38</v>
      </c>
      <c r="BJ45" s="333" t="s">
        <v>38</v>
      </c>
      <c r="BK45" s="333" t="s">
        <v>38</v>
      </c>
      <c r="BL45" s="333" t="s">
        <v>38</v>
      </c>
      <c r="BM45" s="333" t="s">
        <v>38</v>
      </c>
      <c r="BN45" s="333" t="s">
        <v>38</v>
      </c>
      <c r="BO45" s="333" t="s">
        <v>38</v>
      </c>
      <c r="BP45" s="333" t="s">
        <v>38</v>
      </c>
      <c r="BQ45" s="333" t="s">
        <v>38</v>
      </c>
      <c r="BR45" s="333" t="s">
        <v>38</v>
      </c>
      <c r="BS45" s="333" t="s">
        <v>38</v>
      </c>
      <c r="BT45" s="333" t="s">
        <v>38</v>
      </c>
      <c r="BU45" s="333" t="s">
        <v>38</v>
      </c>
      <c r="BV45" s="333" t="s">
        <v>38</v>
      </c>
      <c r="BW45" s="333" t="s">
        <v>38</v>
      </c>
      <c r="BX45" s="333" t="s">
        <v>38</v>
      </c>
      <c r="BY45" s="333" t="s">
        <v>38</v>
      </c>
      <c r="BZ45" s="333" t="s">
        <v>38</v>
      </c>
      <c r="CA45" s="333" t="s">
        <v>38</v>
      </c>
      <c r="CB45" s="333" t="s">
        <v>38</v>
      </c>
      <c r="CC45" s="333" t="s">
        <v>38</v>
      </c>
      <c r="CD45" s="333" t="s">
        <v>38</v>
      </c>
      <c r="CE45" s="333" t="s">
        <v>38</v>
      </c>
      <c r="CF45" s="333" t="s">
        <v>38</v>
      </c>
      <c r="CG45" s="333" t="s">
        <v>38</v>
      </c>
      <c r="CH45" s="333" t="s">
        <v>38</v>
      </c>
      <c r="CI45" s="333" t="s">
        <v>38</v>
      </c>
      <c r="CJ45" s="333" t="s">
        <v>38</v>
      </c>
      <c r="CK45" s="333" t="s">
        <v>38</v>
      </c>
      <c r="CL45" s="333" t="s">
        <v>38</v>
      </c>
      <c r="CM45" s="333" t="s">
        <v>38</v>
      </c>
      <c r="CN45" s="333" t="s">
        <v>38</v>
      </c>
      <c r="CO45" s="333" t="s">
        <v>38</v>
      </c>
      <c r="CP45" s="333" t="s">
        <v>38</v>
      </c>
      <c r="CQ45" s="333" t="s">
        <v>38</v>
      </c>
      <c r="CR45" s="333" t="s">
        <v>38</v>
      </c>
      <c r="CS45" s="333" t="s">
        <v>38</v>
      </c>
      <c r="CT45" s="333" t="s">
        <v>38</v>
      </c>
      <c r="CU45" s="333" t="s">
        <v>38</v>
      </c>
      <c r="CV45" s="333" t="s">
        <v>38</v>
      </c>
      <c r="CW45" s="333" t="s">
        <v>38</v>
      </c>
      <c r="CX45" s="333" t="s">
        <v>38</v>
      </c>
      <c r="CY45" s="333" t="s">
        <v>38</v>
      </c>
      <c r="CZ45" s="333" t="s">
        <v>38</v>
      </c>
      <c r="DA45" s="333" t="s">
        <v>38</v>
      </c>
      <c r="DB45" s="333" t="s">
        <v>38</v>
      </c>
      <c r="DC45" s="333" t="s">
        <v>38</v>
      </c>
      <c r="DD45" s="333" t="s">
        <v>38</v>
      </c>
      <c r="DE45" s="333" t="s">
        <v>38</v>
      </c>
      <c r="DF45" s="333" t="s">
        <v>38</v>
      </c>
      <c r="DG45" s="333" t="s">
        <v>38</v>
      </c>
      <c r="DH45" s="333" t="s">
        <v>38</v>
      </c>
      <c r="DI45" s="333" t="s">
        <v>38</v>
      </c>
      <c r="DJ45" s="333" t="s">
        <v>38</v>
      </c>
      <c r="DK45" s="333" t="s">
        <v>38</v>
      </c>
      <c r="DL45" s="333" t="s">
        <v>38</v>
      </c>
      <c r="DM45" s="333" t="s">
        <v>38</v>
      </c>
      <c r="DN45" s="333" t="s">
        <v>38</v>
      </c>
      <c r="DO45" s="333" t="s">
        <v>38</v>
      </c>
    </row>
    <row r="46" spans="1:119" s="347" customFormat="1" x14ac:dyDescent="0.3">
      <c r="A46" s="344" t="s">
        <v>337</v>
      </c>
      <c r="B46" s="345" t="s">
        <v>56</v>
      </c>
      <c r="C46" s="345" t="s">
        <v>338</v>
      </c>
      <c r="D46" s="346">
        <v>534268.99587944394</v>
      </c>
      <c r="E46" s="345" t="s">
        <v>339</v>
      </c>
      <c r="F46" s="346"/>
      <c r="G46" s="346"/>
      <c r="H46" s="346"/>
      <c r="I46" s="346"/>
      <c r="J46" s="346"/>
      <c r="K46" s="346"/>
      <c r="L46" s="346"/>
      <c r="M46" s="346"/>
      <c r="N46" s="346"/>
      <c r="O46" s="346"/>
      <c r="P46" s="346"/>
      <c r="Q46" s="346"/>
      <c r="R46" s="346"/>
      <c r="S46" s="346"/>
      <c r="T46" s="346"/>
      <c r="U46" s="346"/>
      <c r="V46" s="346"/>
      <c r="W46" s="346"/>
      <c r="X46" s="346"/>
      <c r="Y46" s="346"/>
      <c r="Z46" s="346"/>
      <c r="AA46" s="346"/>
      <c r="AB46" s="346"/>
      <c r="AC46" s="346"/>
      <c r="AD46" s="346"/>
      <c r="AE46" s="346"/>
      <c r="AF46" s="346"/>
      <c r="AG46" s="346"/>
      <c r="AH46" s="346"/>
      <c r="AI46" s="346"/>
      <c r="AJ46" s="346"/>
      <c r="AK46" s="346"/>
      <c r="AL46" s="346"/>
      <c r="AM46" s="346"/>
      <c r="AN46" s="346"/>
      <c r="AO46" s="346"/>
      <c r="AP46" s="346"/>
      <c r="AQ46" s="346"/>
      <c r="AR46" s="346"/>
      <c r="AS46" s="346"/>
      <c r="AT46" s="346"/>
      <c r="AU46" s="346"/>
      <c r="AV46" s="346"/>
      <c r="AW46" s="346"/>
      <c r="AX46" s="346"/>
      <c r="AY46" s="346"/>
      <c r="AZ46" s="346"/>
      <c r="BA46" s="346"/>
      <c r="BB46" s="346"/>
      <c r="BC46" s="346"/>
      <c r="BD46" s="346"/>
      <c r="BE46" s="346"/>
      <c r="BF46" s="346"/>
      <c r="BG46" s="346"/>
      <c r="BH46" s="346"/>
      <c r="BI46" s="346"/>
      <c r="BJ46" s="346"/>
      <c r="BK46" s="346"/>
      <c r="BL46" s="346"/>
      <c r="BM46" s="346"/>
      <c r="BN46" s="346"/>
      <c r="BO46" s="346"/>
      <c r="BP46" s="346"/>
      <c r="BQ46" s="346"/>
      <c r="BR46" s="346"/>
      <c r="BS46" s="346"/>
      <c r="BT46" s="346"/>
      <c r="BU46" s="346"/>
      <c r="BV46" s="346"/>
      <c r="BW46" s="346"/>
      <c r="BX46" s="346"/>
      <c r="BY46" s="346"/>
      <c r="BZ46" s="346"/>
      <c r="CA46" s="346"/>
      <c r="CB46" s="346"/>
      <c r="CC46" s="346"/>
      <c r="CD46" s="346"/>
      <c r="CE46" s="346"/>
      <c r="CF46" s="346"/>
      <c r="CG46" s="346">
        <v>281198.35225044203</v>
      </c>
      <c r="CH46" s="346"/>
      <c r="CI46" s="346"/>
      <c r="CJ46" s="346"/>
      <c r="CK46" s="346"/>
      <c r="CL46" s="346"/>
      <c r="CM46" s="346"/>
      <c r="CN46" s="346"/>
      <c r="CO46" s="346"/>
      <c r="CP46" s="346"/>
      <c r="CQ46" s="346"/>
      <c r="CR46" s="346"/>
      <c r="CS46" s="346"/>
      <c r="CT46" s="346"/>
      <c r="CU46" s="346"/>
      <c r="CV46" s="346"/>
      <c r="CW46" s="346"/>
      <c r="CX46" s="346"/>
      <c r="CY46" s="346"/>
      <c r="CZ46" s="346"/>
      <c r="DA46" s="346"/>
      <c r="DB46" s="346">
        <v>253070.64362900201</v>
      </c>
      <c r="DC46" s="346"/>
      <c r="DD46" s="346"/>
      <c r="DE46" s="346"/>
      <c r="DF46" s="346"/>
      <c r="DG46" s="346"/>
      <c r="DH46" s="346"/>
      <c r="DI46" s="346"/>
      <c r="DJ46" s="346"/>
      <c r="DK46" s="346"/>
      <c r="DL46" s="346"/>
      <c r="DM46" s="346"/>
      <c r="DN46" s="346"/>
      <c r="DO46" s="346"/>
    </row>
    <row r="47" spans="1:119" x14ac:dyDescent="0.3">
      <c r="A47" s="348" t="s">
        <v>340</v>
      </c>
      <c r="B47" s="323" t="s">
        <v>57</v>
      </c>
      <c r="C47" s="323" t="s">
        <v>338</v>
      </c>
      <c r="D47" s="324">
        <v>256293.83276501601</v>
      </c>
      <c r="E47" s="323" t="s">
        <v>339</v>
      </c>
      <c r="F47" s="324"/>
      <c r="G47" s="324"/>
      <c r="H47" s="324"/>
      <c r="I47" s="324"/>
      <c r="J47" s="324"/>
      <c r="K47" s="324"/>
      <c r="L47" s="324"/>
      <c r="M47" s="324"/>
      <c r="N47" s="324"/>
      <c r="O47" s="324"/>
      <c r="P47" s="324"/>
      <c r="Q47" s="324"/>
      <c r="R47" s="324"/>
      <c r="S47" s="324"/>
      <c r="T47" s="324"/>
      <c r="U47" s="324"/>
      <c r="V47" s="324"/>
      <c r="W47" s="324"/>
      <c r="X47" s="324"/>
      <c r="Y47" s="324"/>
      <c r="Z47" s="324"/>
      <c r="AA47" s="324"/>
      <c r="AB47" s="324"/>
      <c r="AC47" s="324"/>
      <c r="AD47" s="324"/>
      <c r="AE47" s="324"/>
      <c r="AF47" s="324"/>
      <c r="AG47" s="324"/>
      <c r="AH47" s="324"/>
      <c r="AI47" s="324"/>
      <c r="AJ47" s="324"/>
      <c r="AK47" s="324"/>
      <c r="AL47" s="324"/>
      <c r="AM47" s="324"/>
      <c r="AN47" s="324"/>
      <c r="AO47" s="324"/>
      <c r="AP47" s="324"/>
      <c r="AQ47" s="324"/>
      <c r="AR47" s="324"/>
      <c r="AS47" s="324"/>
      <c r="AT47" s="324"/>
      <c r="AU47" s="324"/>
      <c r="AV47" s="324"/>
      <c r="AW47" s="324"/>
      <c r="AX47" s="324"/>
      <c r="AY47" s="324"/>
      <c r="AZ47" s="324"/>
      <c r="BA47" s="324"/>
      <c r="BB47" s="324"/>
      <c r="BC47" s="324"/>
      <c r="BD47" s="324"/>
      <c r="BE47" s="324"/>
      <c r="BF47" s="324"/>
      <c r="BG47" s="324"/>
      <c r="BH47" s="324"/>
      <c r="BI47" s="324"/>
      <c r="BJ47" s="324"/>
      <c r="BK47" s="324"/>
      <c r="BL47" s="324"/>
      <c r="BM47" s="324"/>
      <c r="BN47" s="324"/>
      <c r="BO47" s="324"/>
      <c r="BP47" s="324"/>
      <c r="BQ47" s="324"/>
      <c r="BR47" s="324"/>
      <c r="BS47" s="324"/>
      <c r="BT47" s="324"/>
      <c r="BU47" s="324"/>
      <c r="BV47" s="324"/>
      <c r="BW47" s="324"/>
      <c r="BX47" s="324"/>
      <c r="BY47" s="324"/>
      <c r="BZ47" s="324"/>
      <c r="CA47" s="324"/>
      <c r="CB47" s="324"/>
      <c r="CC47" s="324"/>
      <c r="CD47" s="324"/>
      <c r="CE47" s="324"/>
      <c r="CF47" s="324"/>
      <c r="CG47" s="324">
        <v>25052.516128799001</v>
      </c>
      <c r="CH47" s="324"/>
      <c r="CI47" s="324"/>
      <c r="CJ47" s="324"/>
      <c r="CK47" s="324"/>
      <c r="CL47" s="324"/>
      <c r="CM47" s="324"/>
      <c r="CN47" s="324"/>
      <c r="CO47" s="324"/>
      <c r="CP47" s="324"/>
      <c r="CQ47" s="324"/>
      <c r="CR47" s="324"/>
      <c r="CS47" s="324"/>
      <c r="CT47" s="324"/>
      <c r="CU47" s="324"/>
      <c r="CV47" s="324"/>
      <c r="CW47" s="324"/>
      <c r="CX47" s="324"/>
      <c r="CY47" s="324"/>
      <c r="CZ47" s="324"/>
      <c r="DA47" s="324"/>
      <c r="DB47" s="324">
        <v>231241.316636217</v>
      </c>
      <c r="DC47" s="324"/>
      <c r="DD47" s="324"/>
      <c r="DE47" s="324"/>
      <c r="DF47" s="324"/>
      <c r="DG47" s="324"/>
      <c r="DH47" s="324"/>
      <c r="DI47" s="324"/>
      <c r="DJ47" s="324"/>
      <c r="DK47" s="324"/>
      <c r="DL47" s="324"/>
      <c r="DM47" s="324"/>
      <c r="DN47" s="324"/>
      <c r="DO47" s="324"/>
    </row>
    <row r="48" spans="1:119" x14ac:dyDescent="0.3">
      <c r="A48" s="348" t="s">
        <v>341</v>
      </c>
      <c r="B48" s="323" t="s">
        <v>58</v>
      </c>
      <c r="C48" s="323" t="s">
        <v>338</v>
      </c>
      <c r="D48" s="324">
        <v>131449.103576419</v>
      </c>
      <c r="E48" s="323" t="s">
        <v>339</v>
      </c>
      <c r="F48" s="324"/>
      <c r="G48" s="324"/>
      <c r="H48" s="324"/>
      <c r="I48" s="324"/>
      <c r="J48" s="324"/>
      <c r="K48" s="324"/>
      <c r="L48" s="324"/>
      <c r="M48" s="324"/>
      <c r="N48" s="324"/>
      <c r="O48" s="324"/>
      <c r="P48" s="324"/>
      <c r="Q48" s="324"/>
      <c r="R48" s="324"/>
      <c r="S48" s="324"/>
      <c r="T48" s="324"/>
      <c r="U48" s="324"/>
      <c r="V48" s="324"/>
      <c r="W48" s="324"/>
      <c r="X48" s="324"/>
      <c r="Y48" s="324"/>
      <c r="Z48" s="324"/>
      <c r="AA48" s="324"/>
      <c r="AB48" s="324"/>
      <c r="AC48" s="324"/>
      <c r="AD48" s="324"/>
      <c r="AE48" s="324"/>
      <c r="AF48" s="324"/>
      <c r="AG48" s="324"/>
      <c r="AH48" s="324"/>
      <c r="AI48" s="324"/>
      <c r="AJ48" s="324"/>
      <c r="AK48" s="324"/>
      <c r="AL48" s="324"/>
      <c r="AM48" s="324"/>
      <c r="AN48" s="324"/>
      <c r="AO48" s="324"/>
      <c r="AP48" s="324"/>
      <c r="AQ48" s="324"/>
      <c r="AR48" s="324"/>
      <c r="AS48" s="324"/>
      <c r="AT48" s="324"/>
      <c r="AU48" s="324"/>
      <c r="AV48" s="324"/>
      <c r="AW48" s="324"/>
      <c r="AX48" s="324"/>
      <c r="AY48" s="324"/>
      <c r="AZ48" s="324"/>
      <c r="BA48" s="324"/>
      <c r="BB48" s="324"/>
      <c r="BC48" s="324"/>
      <c r="BD48" s="324"/>
      <c r="BE48" s="324"/>
      <c r="BF48" s="324"/>
      <c r="BG48" s="324"/>
      <c r="BH48" s="324"/>
      <c r="BI48" s="324"/>
      <c r="BJ48" s="324"/>
      <c r="BK48" s="324"/>
      <c r="BL48" s="324"/>
      <c r="BM48" s="324"/>
      <c r="BN48" s="324"/>
      <c r="BO48" s="324"/>
      <c r="BP48" s="324"/>
      <c r="BQ48" s="324"/>
      <c r="BR48" s="324"/>
      <c r="BS48" s="324"/>
      <c r="BT48" s="324">
        <v>5989.5768907909996</v>
      </c>
      <c r="BU48" s="324"/>
      <c r="BV48" s="324"/>
      <c r="BW48" s="324"/>
      <c r="BX48" s="324"/>
      <c r="BY48" s="324"/>
      <c r="BZ48" s="324"/>
      <c r="CA48" s="324"/>
      <c r="CB48" s="324"/>
      <c r="CC48" s="324"/>
      <c r="CD48" s="324"/>
      <c r="CE48" s="324"/>
      <c r="CF48" s="324"/>
      <c r="CG48" s="324">
        <v>50033.73626446</v>
      </c>
      <c r="CH48" s="324"/>
      <c r="CI48" s="324"/>
      <c r="CJ48" s="324"/>
      <c r="CK48" s="324"/>
      <c r="CL48" s="324"/>
      <c r="CM48" s="324"/>
      <c r="CN48" s="324"/>
      <c r="CO48" s="324"/>
      <c r="CP48" s="324"/>
      <c r="CQ48" s="324"/>
      <c r="CR48" s="324"/>
      <c r="CS48" s="324"/>
      <c r="CT48" s="324"/>
      <c r="CU48" s="324"/>
      <c r="CV48" s="324"/>
      <c r="CW48" s="324"/>
      <c r="CX48" s="324"/>
      <c r="CY48" s="324"/>
      <c r="CZ48" s="324"/>
      <c r="DA48" s="324"/>
      <c r="DB48" s="324">
        <v>75425.790421169004</v>
      </c>
      <c r="DC48" s="324"/>
      <c r="DD48" s="324"/>
      <c r="DE48" s="324"/>
      <c r="DF48" s="324"/>
      <c r="DG48" s="324"/>
      <c r="DH48" s="324"/>
      <c r="DI48" s="324"/>
      <c r="DJ48" s="324"/>
      <c r="DK48" s="324"/>
      <c r="DL48" s="324"/>
      <c r="DM48" s="324"/>
      <c r="DN48" s="324"/>
      <c r="DO48" s="324"/>
    </row>
    <row r="49" spans="1:119" x14ac:dyDescent="0.3">
      <c r="A49" s="348" t="s">
        <v>342</v>
      </c>
      <c r="B49" s="323" t="s">
        <v>59</v>
      </c>
      <c r="C49" s="323" t="s">
        <v>338</v>
      </c>
      <c r="D49" s="324">
        <v>1448481.6859520799</v>
      </c>
      <c r="E49" s="323" t="s">
        <v>339</v>
      </c>
      <c r="F49" s="324"/>
      <c r="G49" s="324"/>
      <c r="H49" s="324"/>
      <c r="I49" s="324"/>
      <c r="J49" s="324"/>
      <c r="K49" s="324"/>
      <c r="L49" s="324"/>
      <c r="M49" s="324"/>
      <c r="N49" s="324"/>
      <c r="O49" s="324"/>
      <c r="P49" s="324"/>
      <c r="Q49" s="324"/>
      <c r="R49" s="324"/>
      <c r="S49" s="324"/>
      <c r="T49" s="324"/>
      <c r="U49" s="324"/>
      <c r="V49" s="324"/>
      <c r="W49" s="324"/>
      <c r="X49" s="324"/>
      <c r="Y49" s="324"/>
      <c r="Z49" s="324"/>
      <c r="AA49" s="324"/>
      <c r="AB49" s="324"/>
      <c r="AC49" s="324"/>
      <c r="AD49" s="324"/>
      <c r="AE49" s="324"/>
      <c r="AF49" s="324"/>
      <c r="AG49" s="324"/>
      <c r="AH49" s="324"/>
      <c r="AI49" s="324"/>
      <c r="AJ49" s="324"/>
      <c r="AK49" s="324"/>
      <c r="AL49" s="324"/>
      <c r="AM49" s="324"/>
      <c r="AN49" s="324"/>
      <c r="AO49" s="324"/>
      <c r="AP49" s="324"/>
      <c r="AQ49" s="324"/>
      <c r="AR49" s="324"/>
      <c r="AS49" s="324"/>
      <c r="AT49" s="324"/>
      <c r="AU49" s="324"/>
      <c r="AV49" s="324"/>
      <c r="AW49" s="324"/>
      <c r="AX49" s="324"/>
      <c r="AY49" s="324"/>
      <c r="AZ49" s="324"/>
      <c r="BA49" s="324"/>
      <c r="BB49" s="324"/>
      <c r="BC49" s="324"/>
      <c r="BD49" s="324"/>
      <c r="BE49" s="324"/>
      <c r="BF49" s="324"/>
      <c r="BG49" s="324"/>
      <c r="BH49" s="324"/>
      <c r="BI49" s="324"/>
      <c r="BJ49" s="324"/>
      <c r="BK49" s="324"/>
      <c r="BL49" s="324"/>
      <c r="BM49" s="324"/>
      <c r="BN49" s="324"/>
      <c r="BO49" s="324"/>
      <c r="BP49" s="324"/>
      <c r="BQ49" s="324"/>
      <c r="BR49" s="324"/>
      <c r="BS49" s="324"/>
      <c r="BT49" s="324"/>
      <c r="BU49" s="324"/>
      <c r="BV49" s="324"/>
      <c r="BW49" s="324"/>
      <c r="BX49" s="324"/>
      <c r="BY49" s="324"/>
      <c r="BZ49" s="324"/>
      <c r="CA49" s="324"/>
      <c r="CB49" s="324"/>
      <c r="CC49" s="324"/>
      <c r="CD49" s="324"/>
      <c r="CE49" s="324"/>
      <c r="CF49" s="324"/>
      <c r="CG49" s="324">
        <v>1094337.8845118601</v>
      </c>
      <c r="CH49" s="324"/>
      <c r="CI49" s="324"/>
      <c r="CJ49" s="324"/>
      <c r="CK49" s="324"/>
      <c r="CL49" s="324"/>
      <c r="CM49" s="324"/>
      <c r="CN49" s="324"/>
      <c r="CO49" s="324"/>
      <c r="CP49" s="324"/>
      <c r="CQ49" s="324"/>
      <c r="CR49" s="324"/>
      <c r="CS49" s="324"/>
      <c r="CT49" s="324"/>
      <c r="CU49" s="324"/>
      <c r="CV49" s="324"/>
      <c r="CW49" s="324"/>
      <c r="CX49" s="324"/>
      <c r="CY49" s="324"/>
      <c r="CZ49" s="324"/>
      <c r="DA49" s="324"/>
      <c r="DB49" s="324">
        <v>354143.80144022597</v>
      </c>
      <c r="DC49" s="324"/>
      <c r="DD49" s="324"/>
      <c r="DE49" s="324"/>
      <c r="DF49" s="324"/>
      <c r="DG49" s="324"/>
      <c r="DH49" s="324"/>
      <c r="DI49" s="324"/>
      <c r="DJ49" s="324"/>
      <c r="DK49" s="324"/>
      <c r="DL49" s="324"/>
      <c r="DM49" s="324"/>
      <c r="DN49" s="324"/>
      <c r="DO49" s="324"/>
    </row>
    <row r="50" spans="1:119" x14ac:dyDescent="0.3">
      <c r="A50" s="348" t="s">
        <v>343</v>
      </c>
      <c r="B50" s="323" t="s">
        <v>344</v>
      </c>
      <c r="C50" s="323" t="s">
        <v>338</v>
      </c>
      <c r="D50" s="324">
        <v>1071180.1134353499</v>
      </c>
      <c r="E50" s="325" t="s">
        <v>345</v>
      </c>
      <c r="F50" s="324"/>
      <c r="G50" s="324"/>
      <c r="H50" s="324"/>
      <c r="I50" s="324"/>
      <c r="J50" s="324"/>
      <c r="K50" s="324"/>
      <c r="L50" s="324"/>
      <c r="M50" s="324"/>
      <c r="N50" s="324"/>
      <c r="O50" s="324"/>
      <c r="P50" s="324"/>
      <c r="Q50" s="324"/>
      <c r="R50" s="324"/>
      <c r="S50" s="324"/>
      <c r="T50" s="324"/>
      <c r="U50" s="324"/>
      <c r="V50" s="324"/>
      <c r="W50" s="324"/>
      <c r="X50" s="324"/>
      <c r="Y50" s="324"/>
      <c r="Z50" s="324"/>
      <c r="AA50" s="324"/>
      <c r="AB50" s="324"/>
      <c r="AC50" s="324"/>
      <c r="AD50" s="324"/>
      <c r="AE50" s="324"/>
      <c r="AF50" s="324"/>
      <c r="AG50" s="324"/>
      <c r="AH50" s="324"/>
      <c r="AI50" s="324"/>
      <c r="AJ50" s="324"/>
      <c r="AK50" s="324"/>
      <c r="AL50" s="324"/>
      <c r="AM50" s="324"/>
      <c r="AN50" s="324"/>
      <c r="AO50" s="324"/>
      <c r="AP50" s="324"/>
      <c r="AQ50" s="324"/>
      <c r="AR50" s="324"/>
      <c r="AS50" s="324"/>
      <c r="AT50" s="324"/>
      <c r="AU50" s="324"/>
      <c r="AV50" s="324"/>
      <c r="AW50" s="324"/>
      <c r="AX50" s="324"/>
      <c r="AY50" s="324"/>
      <c r="AZ50" s="324"/>
      <c r="BA50" s="324"/>
      <c r="BB50" s="324"/>
      <c r="BC50" s="324"/>
      <c r="BD50" s="324"/>
      <c r="BE50" s="324"/>
      <c r="BF50" s="324"/>
      <c r="BG50" s="324"/>
      <c r="BH50" s="324"/>
      <c r="BI50" s="324"/>
      <c r="BJ50" s="324"/>
      <c r="BK50" s="324"/>
      <c r="BL50" s="324"/>
      <c r="BM50" s="324"/>
      <c r="BN50" s="324"/>
      <c r="BO50" s="324"/>
      <c r="BP50" s="324"/>
      <c r="BQ50" s="324"/>
      <c r="BR50" s="324"/>
      <c r="BS50" s="324"/>
      <c r="BT50" s="324"/>
      <c r="BU50" s="324"/>
      <c r="BV50" s="324"/>
      <c r="BW50" s="324"/>
      <c r="BX50" s="324"/>
      <c r="BY50" s="324"/>
      <c r="BZ50" s="324"/>
      <c r="CA50" s="324"/>
      <c r="CB50" s="324"/>
      <c r="CC50" s="324"/>
      <c r="CD50" s="324"/>
      <c r="CE50" s="324"/>
      <c r="CF50" s="324"/>
      <c r="CG50" s="324"/>
      <c r="CH50" s="324"/>
      <c r="CI50" s="324"/>
      <c r="CJ50" s="324"/>
      <c r="CK50" s="324"/>
      <c r="CL50" s="324"/>
      <c r="CM50" s="324"/>
      <c r="CN50" s="324"/>
      <c r="CO50" s="324"/>
      <c r="CP50" s="324"/>
      <c r="CQ50" s="324"/>
      <c r="CR50" s="324"/>
      <c r="CS50" s="324"/>
      <c r="CT50" s="324"/>
      <c r="CU50" s="324"/>
      <c r="CV50" s="324"/>
      <c r="CW50" s="324"/>
      <c r="CX50" s="324"/>
      <c r="CY50" s="324"/>
      <c r="CZ50" s="324"/>
      <c r="DA50" s="324"/>
      <c r="DB50" s="324"/>
      <c r="DC50" s="324"/>
      <c r="DD50" s="324"/>
      <c r="DE50" s="324"/>
      <c r="DF50" s="324"/>
      <c r="DG50" s="324"/>
      <c r="DH50" s="324"/>
      <c r="DI50" s="324"/>
      <c r="DJ50" s="324"/>
      <c r="DK50" s="324"/>
      <c r="DL50" s="324"/>
      <c r="DM50" s="324"/>
      <c r="DN50" s="324"/>
      <c r="DO50" s="324">
        <v>1071180.1134353499</v>
      </c>
    </row>
    <row r="51" spans="1:119" x14ac:dyDescent="0.3">
      <c r="A51" s="348" t="s">
        <v>346</v>
      </c>
      <c r="B51" s="323" t="s">
        <v>347</v>
      </c>
      <c r="C51" s="323" t="s">
        <v>338</v>
      </c>
      <c r="D51" s="324">
        <v>2135370.5557630002</v>
      </c>
      <c r="E51" s="323" t="s">
        <v>348</v>
      </c>
      <c r="F51" s="324"/>
      <c r="G51" s="324">
        <v>1415048.27845213</v>
      </c>
      <c r="H51" s="324"/>
      <c r="I51" s="324"/>
      <c r="J51" s="324"/>
      <c r="K51" s="324"/>
      <c r="L51" s="324"/>
      <c r="M51" s="324"/>
      <c r="N51" s="324"/>
      <c r="O51" s="324"/>
      <c r="P51" s="324"/>
      <c r="Q51" s="324"/>
      <c r="R51" s="324"/>
      <c r="S51" s="324"/>
      <c r="T51" s="324"/>
      <c r="U51" s="324"/>
      <c r="V51" s="324"/>
      <c r="W51" s="324">
        <v>317316.12164756301</v>
      </c>
      <c r="X51" s="324"/>
      <c r="Y51" s="324"/>
      <c r="Z51" s="324"/>
      <c r="AA51" s="324"/>
      <c r="AB51" s="324"/>
      <c r="AC51" s="324"/>
      <c r="AD51" s="324"/>
      <c r="AE51" s="324"/>
      <c r="AF51" s="324"/>
      <c r="AG51" s="324"/>
      <c r="AH51" s="324"/>
      <c r="AI51" s="324"/>
      <c r="AJ51" s="324"/>
      <c r="AK51" s="324"/>
      <c r="AL51" s="324"/>
      <c r="AM51" s="324"/>
      <c r="AN51" s="324"/>
      <c r="AO51" s="324"/>
      <c r="AP51" s="324"/>
      <c r="AQ51" s="324"/>
      <c r="AR51" s="324"/>
      <c r="AS51" s="324"/>
      <c r="AT51" s="324"/>
      <c r="AU51" s="324"/>
      <c r="AV51" s="324"/>
      <c r="AW51" s="324"/>
      <c r="AX51" s="324"/>
      <c r="AY51" s="324"/>
      <c r="AZ51" s="324"/>
      <c r="BA51" s="324"/>
      <c r="BB51" s="324"/>
      <c r="BC51" s="324"/>
      <c r="BD51" s="324"/>
      <c r="BE51" s="324"/>
      <c r="BF51" s="324"/>
      <c r="BG51" s="324"/>
      <c r="BH51" s="324"/>
      <c r="BI51" s="324"/>
      <c r="BJ51" s="324"/>
      <c r="BK51" s="324"/>
      <c r="BL51" s="324"/>
      <c r="BM51" s="324"/>
      <c r="BN51" s="324"/>
      <c r="BO51" s="324"/>
      <c r="BP51" s="324"/>
      <c r="BQ51" s="324"/>
      <c r="BR51" s="324"/>
      <c r="BS51" s="324"/>
      <c r="BT51" s="324"/>
      <c r="BU51" s="324"/>
      <c r="BV51" s="324"/>
      <c r="BW51" s="324"/>
      <c r="BX51" s="324"/>
      <c r="BY51" s="324"/>
      <c r="BZ51" s="324"/>
      <c r="CA51" s="324"/>
      <c r="CB51" s="324"/>
      <c r="CC51" s="324"/>
      <c r="CD51" s="324"/>
      <c r="CE51" s="324"/>
      <c r="CF51" s="324"/>
      <c r="CG51" s="324"/>
      <c r="CH51" s="324"/>
      <c r="CI51" s="324"/>
      <c r="CJ51" s="324"/>
      <c r="CK51" s="324"/>
      <c r="CL51" s="324"/>
      <c r="CM51" s="324"/>
      <c r="CN51" s="324"/>
      <c r="CO51" s="324"/>
      <c r="CP51" s="324"/>
      <c r="CQ51" s="324"/>
      <c r="CR51" s="324"/>
      <c r="CS51" s="324"/>
      <c r="CT51" s="324"/>
      <c r="CU51" s="324"/>
      <c r="CV51" s="324"/>
      <c r="CW51" s="324"/>
      <c r="CX51" s="324"/>
      <c r="CY51" s="324"/>
      <c r="CZ51" s="324"/>
      <c r="DA51" s="324"/>
      <c r="DB51" s="324"/>
      <c r="DC51" s="324"/>
      <c r="DD51" s="324"/>
      <c r="DE51" s="324"/>
      <c r="DF51" s="324"/>
      <c r="DG51" s="324"/>
      <c r="DH51" s="324"/>
      <c r="DI51" s="324"/>
      <c r="DJ51" s="324"/>
      <c r="DK51" s="324"/>
      <c r="DL51" s="324"/>
      <c r="DM51" s="324"/>
      <c r="DN51" s="324"/>
      <c r="DO51" s="324">
        <v>403006.16</v>
      </c>
    </row>
    <row r="52" spans="1:119" x14ac:dyDescent="0.3">
      <c r="A52" s="348" t="s">
        <v>349</v>
      </c>
      <c r="B52" s="323" t="s">
        <v>60</v>
      </c>
      <c r="C52" s="323" t="s">
        <v>338</v>
      </c>
      <c r="D52" s="324">
        <v>13642.0788955755</v>
      </c>
      <c r="E52" s="325" t="s">
        <v>345</v>
      </c>
      <c r="F52" s="324"/>
      <c r="G52" s="324"/>
      <c r="H52" s="324"/>
      <c r="I52" s="324"/>
      <c r="J52" s="324"/>
      <c r="K52" s="324"/>
      <c r="L52" s="324"/>
      <c r="M52" s="324"/>
      <c r="N52" s="324"/>
      <c r="O52" s="324"/>
      <c r="P52" s="324"/>
      <c r="Q52" s="324"/>
      <c r="R52" s="324"/>
      <c r="S52" s="324"/>
      <c r="T52" s="324"/>
      <c r="U52" s="324"/>
      <c r="V52" s="324"/>
      <c r="W52" s="324"/>
      <c r="X52" s="324"/>
      <c r="Y52" s="324"/>
      <c r="Z52" s="324"/>
      <c r="AA52" s="324"/>
      <c r="AB52" s="324"/>
      <c r="AC52" s="324"/>
      <c r="AD52" s="324"/>
      <c r="AE52" s="324"/>
      <c r="AF52" s="324"/>
      <c r="AG52" s="324"/>
      <c r="AH52" s="324"/>
      <c r="AI52" s="324"/>
      <c r="AJ52" s="324"/>
      <c r="AK52" s="324"/>
      <c r="AL52" s="324"/>
      <c r="AM52" s="324"/>
      <c r="AN52" s="324"/>
      <c r="AO52" s="324"/>
      <c r="AP52" s="324"/>
      <c r="AQ52" s="324"/>
      <c r="AR52" s="324"/>
      <c r="AS52" s="324"/>
      <c r="AT52" s="324"/>
      <c r="AU52" s="324"/>
      <c r="AV52" s="324"/>
      <c r="AW52" s="324"/>
      <c r="AX52" s="324"/>
      <c r="AY52" s="324"/>
      <c r="AZ52" s="324"/>
      <c r="BA52" s="324"/>
      <c r="BB52" s="324"/>
      <c r="BC52" s="324"/>
      <c r="BD52" s="324"/>
      <c r="BE52" s="324"/>
      <c r="BF52" s="324"/>
      <c r="BG52" s="324"/>
      <c r="BH52" s="324"/>
      <c r="BI52" s="324"/>
      <c r="BJ52" s="324"/>
      <c r="BK52" s="324"/>
      <c r="BL52" s="324"/>
      <c r="BM52" s="324"/>
      <c r="BN52" s="324"/>
      <c r="BO52" s="324"/>
      <c r="BP52" s="324"/>
      <c r="BQ52" s="324"/>
      <c r="BR52" s="324"/>
      <c r="BS52" s="324"/>
      <c r="BT52" s="324"/>
      <c r="BU52" s="324"/>
      <c r="BV52" s="324"/>
      <c r="BW52" s="324"/>
      <c r="BX52" s="324"/>
      <c r="BY52" s="324"/>
      <c r="BZ52" s="324"/>
      <c r="CA52" s="324"/>
      <c r="CB52" s="324"/>
      <c r="CC52" s="324"/>
      <c r="CD52" s="324"/>
      <c r="CE52" s="324"/>
      <c r="CF52" s="324"/>
      <c r="CG52" s="324"/>
      <c r="CH52" s="324"/>
      <c r="CI52" s="324"/>
      <c r="CJ52" s="324"/>
      <c r="CK52" s="324"/>
      <c r="CL52" s="324"/>
      <c r="CM52" s="324"/>
      <c r="CN52" s="324"/>
      <c r="CO52" s="324"/>
      <c r="CP52" s="324"/>
      <c r="CQ52" s="324"/>
      <c r="CR52" s="324"/>
      <c r="CS52" s="324"/>
      <c r="CT52" s="324"/>
      <c r="CU52" s="324"/>
      <c r="CV52" s="324"/>
      <c r="CW52" s="324"/>
      <c r="CX52" s="324"/>
      <c r="CY52" s="324"/>
      <c r="CZ52" s="324"/>
      <c r="DA52" s="324"/>
      <c r="DB52" s="324"/>
      <c r="DC52" s="324"/>
      <c r="DD52" s="324"/>
      <c r="DE52" s="324"/>
      <c r="DF52" s="324"/>
      <c r="DG52" s="324"/>
      <c r="DH52" s="324"/>
      <c r="DI52" s="324"/>
      <c r="DJ52" s="324"/>
      <c r="DK52" s="324"/>
      <c r="DL52" s="324"/>
      <c r="DM52" s="324"/>
      <c r="DN52" s="324"/>
      <c r="DO52" s="324">
        <v>13642.0788955755</v>
      </c>
    </row>
    <row r="53" spans="1:119" x14ac:dyDescent="0.3">
      <c r="A53" s="348" t="s">
        <v>350</v>
      </c>
      <c r="B53" s="323" t="s">
        <v>351</v>
      </c>
      <c r="C53" s="323" t="s">
        <v>338</v>
      </c>
      <c r="D53" s="324">
        <v>230303.236058565</v>
      </c>
      <c r="E53" s="323" t="s">
        <v>339</v>
      </c>
      <c r="F53" s="324"/>
      <c r="G53" s="324"/>
      <c r="H53" s="324"/>
      <c r="I53" s="324"/>
      <c r="J53" s="324"/>
      <c r="K53" s="324"/>
      <c r="L53" s="324"/>
      <c r="M53" s="324"/>
      <c r="N53" s="324"/>
      <c r="O53" s="324"/>
      <c r="P53" s="324"/>
      <c r="Q53" s="324"/>
      <c r="R53" s="324"/>
      <c r="S53" s="324"/>
      <c r="T53" s="324"/>
      <c r="U53" s="324"/>
      <c r="V53" s="324"/>
      <c r="W53" s="324"/>
      <c r="X53" s="324"/>
      <c r="Y53" s="324"/>
      <c r="Z53" s="324"/>
      <c r="AA53" s="324"/>
      <c r="AB53" s="324"/>
      <c r="AC53" s="324"/>
      <c r="AD53" s="324"/>
      <c r="AE53" s="324"/>
      <c r="AF53" s="324"/>
      <c r="AG53" s="324"/>
      <c r="AH53" s="324"/>
      <c r="AI53" s="324"/>
      <c r="AJ53" s="324"/>
      <c r="AK53" s="324"/>
      <c r="AL53" s="324"/>
      <c r="AM53" s="324"/>
      <c r="AN53" s="324"/>
      <c r="AO53" s="324"/>
      <c r="AP53" s="324"/>
      <c r="AQ53" s="324"/>
      <c r="AR53" s="324"/>
      <c r="AS53" s="324"/>
      <c r="AT53" s="324"/>
      <c r="AU53" s="324"/>
      <c r="AV53" s="324"/>
      <c r="AW53" s="324"/>
      <c r="AX53" s="324"/>
      <c r="AY53" s="324"/>
      <c r="AZ53" s="324"/>
      <c r="BA53" s="324"/>
      <c r="BB53" s="324"/>
      <c r="BC53" s="324"/>
      <c r="BD53" s="324"/>
      <c r="BE53" s="324"/>
      <c r="BF53" s="324"/>
      <c r="BG53" s="324"/>
      <c r="BH53" s="324"/>
      <c r="BI53" s="324"/>
      <c r="BJ53" s="324"/>
      <c r="BK53" s="324"/>
      <c r="BL53" s="324"/>
      <c r="BM53" s="324"/>
      <c r="BN53" s="324"/>
      <c r="BO53" s="324"/>
      <c r="BP53" s="324"/>
      <c r="BQ53" s="324"/>
      <c r="BR53" s="324"/>
      <c r="BS53" s="324"/>
      <c r="BT53" s="324"/>
      <c r="BU53" s="324"/>
      <c r="BV53" s="324"/>
      <c r="BW53" s="324"/>
      <c r="BX53" s="324"/>
      <c r="BY53" s="324"/>
      <c r="BZ53" s="324"/>
      <c r="CA53" s="324"/>
      <c r="CB53" s="324"/>
      <c r="CC53" s="324"/>
      <c r="CD53" s="324"/>
      <c r="CE53" s="324"/>
      <c r="CF53" s="324"/>
      <c r="CG53" s="324">
        <v>125553.259077501</v>
      </c>
      <c r="CH53" s="324"/>
      <c r="CI53" s="324"/>
      <c r="CJ53" s="324"/>
      <c r="CK53" s="324"/>
      <c r="CL53" s="324"/>
      <c r="CM53" s="324"/>
      <c r="CN53" s="324"/>
      <c r="CO53" s="324"/>
      <c r="CP53" s="324"/>
      <c r="CQ53" s="324"/>
      <c r="CR53" s="324"/>
      <c r="CS53" s="324"/>
      <c r="CT53" s="324"/>
      <c r="CU53" s="324"/>
      <c r="CV53" s="324"/>
      <c r="CW53" s="324"/>
      <c r="CX53" s="324"/>
      <c r="CY53" s="324"/>
      <c r="CZ53" s="324"/>
      <c r="DA53" s="324"/>
      <c r="DB53" s="324">
        <v>104749.976981063</v>
      </c>
      <c r="DC53" s="324"/>
      <c r="DD53" s="324"/>
      <c r="DE53" s="324"/>
      <c r="DF53" s="324"/>
      <c r="DG53" s="324"/>
      <c r="DH53" s="324"/>
      <c r="DI53" s="324"/>
      <c r="DJ53" s="324"/>
      <c r="DK53" s="324"/>
      <c r="DL53" s="324"/>
      <c r="DM53" s="324"/>
      <c r="DN53" s="324"/>
      <c r="DO53" s="324"/>
    </row>
    <row r="54" spans="1:119" x14ac:dyDescent="0.3">
      <c r="A54" s="348" t="s">
        <v>352</v>
      </c>
      <c r="B54" s="323" t="s">
        <v>353</v>
      </c>
      <c r="C54" s="323" t="s">
        <v>338</v>
      </c>
      <c r="D54" s="324">
        <v>72227.077317511896</v>
      </c>
      <c r="E54" s="323" t="s">
        <v>345</v>
      </c>
      <c r="F54" s="324"/>
      <c r="G54" s="324"/>
      <c r="H54" s="324"/>
      <c r="I54" s="324"/>
      <c r="J54" s="324"/>
      <c r="K54" s="324"/>
      <c r="L54" s="324"/>
      <c r="M54" s="324"/>
      <c r="N54" s="324"/>
      <c r="O54" s="324"/>
      <c r="P54" s="324"/>
      <c r="Q54" s="324"/>
      <c r="R54" s="324"/>
      <c r="S54" s="324"/>
      <c r="T54" s="324"/>
      <c r="U54" s="324"/>
      <c r="V54" s="324"/>
      <c r="W54" s="324"/>
      <c r="X54" s="324"/>
      <c r="Y54" s="324"/>
      <c r="Z54" s="324"/>
      <c r="AA54" s="324"/>
      <c r="AB54" s="324"/>
      <c r="AC54" s="324"/>
      <c r="AD54" s="324"/>
      <c r="AE54" s="324"/>
      <c r="AF54" s="324"/>
      <c r="AG54" s="324"/>
      <c r="AH54" s="324"/>
      <c r="AI54" s="324"/>
      <c r="AJ54" s="324"/>
      <c r="AK54" s="324"/>
      <c r="AL54" s="324"/>
      <c r="AM54" s="324"/>
      <c r="AN54" s="324"/>
      <c r="AO54" s="324"/>
      <c r="AP54" s="324"/>
      <c r="AQ54" s="324"/>
      <c r="AR54" s="324"/>
      <c r="AS54" s="324"/>
      <c r="AT54" s="324"/>
      <c r="AU54" s="324"/>
      <c r="AV54" s="324"/>
      <c r="AW54" s="324"/>
      <c r="AX54" s="324"/>
      <c r="AY54" s="324"/>
      <c r="AZ54" s="324"/>
      <c r="BA54" s="324"/>
      <c r="BB54" s="324"/>
      <c r="BC54" s="324"/>
      <c r="BD54" s="324"/>
      <c r="BE54" s="324"/>
      <c r="BF54" s="324"/>
      <c r="BG54" s="324"/>
      <c r="BH54" s="324"/>
      <c r="BI54" s="324"/>
      <c r="BJ54" s="324"/>
      <c r="BK54" s="324"/>
      <c r="BL54" s="324"/>
      <c r="BM54" s="324"/>
      <c r="BN54" s="324"/>
      <c r="BO54" s="324"/>
      <c r="BP54" s="324"/>
      <c r="BQ54" s="324"/>
      <c r="BR54" s="324"/>
      <c r="BS54" s="324"/>
      <c r="BT54" s="324"/>
      <c r="BU54" s="324"/>
      <c r="BV54" s="324"/>
      <c r="BW54" s="324"/>
      <c r="BX54" s="324"/>
      <c r="BY54" s="324"/>
      <c r="BZ54" s="324"/>
      <c r="CA54" s="324"/>
      <c r="CB54" s="324"/>
      <c r="CC54" s="324"/>
      <c r="CD54" s="324"/>
      <c r="CE54" s="324"/>
      <c r="CF54" s="324"/>
      <c r="CG54" s="324"/>
      <c r="CH54" s="324"/>
      <c r="CI54" s="324"/>
      <c r="CJ54" s="324"/>
      <c r="CK54" s="324"/>
      <c r="CL54" s="324"/>
      <c r="CM54" s="324"/>
      <c r="CN54" s="324"/>
      <c r="CO54" s="324"/>
      <c r="CP54" s="324"/>
      <c r="CQ54" s="324"/>
      <c r="CR54" s="324"/>
      <c r="CS54" s="324"/>
      <c r="CT54" s="324"/>
      <c r="CU54" s="324"/>
      <c r="CV54" s="324"/>
      <c r="CW54" s="324"/>
      <c r="CX54" s="324"/>
      <c r="CY54" s="324"/>
      <c r="CZ54" s="324"/>
      <c r="DA54" s="324"/>
      <c r="DB54" s="324"/>
      <c r="DC54" s="324"/>
      <c r="DD54" s="324"/>
      <c r="DE54" s="324"/>
      <c r="DF54" s="324"/>
      <c r="DG54" s="324"/>
      <c r="DH54" s="324"/>
      <c r="DI54" s="324"/>
      <c r="DJ54" s="324"/>
      <c r="DK54" s="324"/>
      <c r="DL54" s="324"/>
      <c r="DM54" s="324"/>
      <c r="DN54" s="324"/>
      <c r="DO54" s="324">
        <v>72227.077317511896</v>
      </c>
    </row>
    <row r="55" spans="1:119" x14ac:dyDescent="0.3">
      <c r="A55" s="348" t="s">
        <v>354</v>
      </c>
      <c r="B55" s="323" t="s">
        <v>61</v>
      </c>
      <c r="C55" s="323" t="s">
        <v>338</v>
      </c>
      <c r="D55" s="324">
        <v>79426.659675130402</v>
      </c>
      <c r="E55" s="323" t="s">
        <v>339</v>
      </c>
      <c r="F55" s="324"/>
      <c r="G55" s="324"/>
      <c r="H55" s="324"/>
      <c r="I55" s="324"/>
      <c r="J55" s="324"/>
      <c r="K55" s="324"/>
      <c r="L55" s="324"/>
      <c r="M55" s="324"/>
      <c r="N55" s="324"/>
      <c r="O55" s="324"/>
      <c r="P55" s="324"/>
      <c r="Q55" s="324"/>
      <c r="R55" s="324"/>
      <c r="S55" s="324"/>
      <c r="T55" s="324"/>
      <c r="U55" s="324"/>
      <c r="V55" s="324"/>
      <c r="W55" s="324"/>
      <c r="X55" s="324"/>
      <c r="Y55" s="324"/>
      <c r="Z55" s="324"/>
      <c r="AA55" s="324"/>
      <c r="AB55" s="324"/>
      <c r="AC55" s="324"/>
      <c r="AD55" s="324"/>
      <c r="AE55" s="324"/>
      <c r="AF55" s="324"/>
      <c r="AG55" s="324"/>
      <c r="AH55" s="324"/>
      <c r="AI55" s="324"/>
      <c r="AJ55" s="324"/>
      <c r="AK55" s="324"/>
      <c r="AL55" s="324"/>
      <c r="AM55" s="324"/>
      <c r="AN55" s="324"/>
      <c r="AO55" s="324"/>
      <c r="AP55" s="324"/>
      <c r="AQ55" s="324"/>
      <c r="AR55" s="324"/>
      <c r="AS55" s="324"/>
      <c r="AT55" s="324"/>
      <c r="AU55" s="324"/>
      <c r="AV55" s="324"/>
      <c r="AW55" s="324"/>
      <c r="AX55" s="324"/>
      <c r="AY55" s="324"/>
      <c r="AZ55" s="324"/>
      <c r="BA55" s="324"/>
      <c r="BB55" s="324"/>
      <c r="BC55" s="324"/>
      <c r="BD55" s="324"/>
      <c r="BE55" s="324"/>
      <c r="BF55" s="324"/>
      <c r="BG55" s="324"/>
      <c r="BH55" s="324"/>
      <c r="BI55" s="324"/>
      <c r="BJ55" s="324"/>
      <c r="BK55" s="324"/>
      <c r="BL55" s="324"/>
      <c r="BM55" s="324"/>
      <c r="BN55" s="324"/>
      <c r="BO55" s="324"/>
      <c r="BP55" s="324">
        <v>3890.76657349775</v>
      </c>
      <c r="BQ55" s="324"/>
      <c r="BR55" s="324"/>
      <c r="BS55" s="324"/>
      <c r="BT55" s="324"/>
      <c r="BU55" s="324"/>
      <c r="BV55" s="324"/>
      <c r="BW55" s="324"/>
      <c r="BX55" s="324"/>
      <c r="BY55" s="324"/>
      <c r="BZ55" s="324"/>
      <c r="CA55" s="324"/>
      <c r="CB55" s="324"/>
      <c r="CC55" s="324"/>
      <c r="CD55" s="324"/>
      <c r="CE55" s="324"/>
      <c r="CF55" s="324"/>
      <c r="CG55" s="324">
        <v>32427.857917308898</v>
      </c>
      <c r="CH55" s="324"/>
      <c r="CI55" s="324"/>
      <c r="CJ55" s="324"/>
      <c r="CK55" s="324"/>
      <c r="CL55" s="324"/>
      <c r="CM55" s="324"/>
      <c r="CN55" s="324"/>
      <c r="CO55" s="324"/>
      <c r="CP55" s="324"/>
      <c r="CQ55" s="324"/>
      <c r="CR55" s="324"/>
      <c r="CS55" s="324"/>
      <c r="CT55" s="324"/>
      <c r="CU55" s="324"/>
      <c r="CV55" s="324"/>
      <c r="CW55" s="324"/>
      <c r="CX55" s="324"/>
      <c r="CY55" s="324"/>
      <c r="CZ55" s="324"/>
      <c r="DA55" s="324"/>
      <c r="DB55" s="324">
        <v>43108.0351843237</v>
      </c>
      <c r="DC55" s="324"/>
      <c r="DD55" s="324"/>
      <c r="DE55" s="324"/>
      <c r="DF55" s="324"/>
      <c r="DG55" s="324"/>
      <c r="DH55" s="324"/>
      <c r="DI55" s="324"/>
      <c r="DJ55" s="324"/>
      <c r="DK55" s="324"/>
      <c r="DL55" s="324"/>
      <c r="DM55" s="324"/>
      <c r="DN55" s="324"/>
      <c r="DO55" s="324"/>
    </row>
    <row r="56" spans="1:119" x14ac:dyDescent="0.3">
      <c r="A56" s="348" t="s">
        <v>355</v>
      </c>
      <c r="B56" s="323" t="s">
        <v>356</v>
      </c>
      <c r="C56" s="323" t="s">
        <v>357</v>
      </c>
      <c r="D56" s="324">
        <v>1246777.73009579</v>
      </c>
      <c r="E56" s="323" t="s">
        <v>339</v>
      </c>
      <c r="F56" s="324"/>
      <c r="G56" s="324"/>
      <c r="H56" s="324"/>
      <c r="I56" s="324"/>
      <c r="J56" s="324"/>
      <c r="K56" s="324"/>
      <c r="L56" s="324"/>
      <c r="M56" s="324"/>
      <c r="N56" s="324"/>
      <c r="O56" s="324"/>
      <c r="P56" s="324"/>
      <c r="Q56" s="324"/>
      <c r="R56" s="324"/>
      <c r="S56" s="324"/>
      <c r="T56" s="324"/>
      <c r="U56" s="324"/>
      <c r="V56" s="324"/>
      <c r="W56" s="324"/>
      <c r="X56" s="324"/>
      <c r="Y56" s="324"/>
      <c r="Z56" s="324"/>
      <c r="AA56" s="324"/>
      <c r="AB56" s="324"/>
      <c r="AC56" s="324"/>
      <c r="AD56" s="324"/>
      <c r="AE56" s="324"/>
      <c r="AF56" s="324"/>
      <c r="AG56" s="324"/>
      <c r="AH56" s="324"/>
      <c r="AI56" s="324"/>
      <c r="AJ56" s="324"/>
      <c r="AK56" s="324"/>
      <c r="AL56" s="324"/>
      <c r="AM56" s="324"/>
      <c r="AN56" s="324"/>
      <c r="AO56" s="324"/>
      <c r="AP56" s="324"/>
      <c r="AQ56" s="324"/>
      <c r="AR56" s="324"/>
      <c r="AS56" s="324"/>
      <c r="AT56" s="324"/>
      <c r="AU56" s="324"/>
      <c r="AV56" s="324"/>
      <c r="AW56" s="324"/>
      <c r="AX56" s="324"/>
      <c r="AY56" s="324"/>
      <c r="AZ56" s="324"/>
      <c r="BA56" s="324"/>
      <c r="BB56" s="324"/>
      <c r="BC56" s="324"/>
      <c r="BD56" s="324"/>
      <c r="BE56" s="324"/>
      <c r="BF56" s="324"/>
      <c r="BG56" s="324"/>
      <c r="BH56" s="324"/>
      <c r="BI56" s="324"/>
      <c r="BJ56" s="324"/>
      <c r="BK56" s="324"/>
      <c r="BL56" s="324"/>
      <c r="BM56" s="324"/>
      <c r="BN56" s="324"/>
      <c r="BO56" s="324"/>
      <c r="BP56" s="324">
        <v>1179815.24331315</v>
      </c>
      <c r="BQ56" s="324"/>
      <c r="BR56" s="324"/>
      <c r="BS56" s="324"/>
      <c r="BT56" s="324">
        <v>53524.436714013602</v>
      </c>
      <c r="BU56" s="324"/>
      <c r="BV56" s="324"/>
      <c r="BW56" s="324"/>
      <c r="BX56" s="324"/>
      <c r="BY56" s="324"/>
      <c r="BZ56" s="324"/>
      <c r="CA56" s="324"/>
      <c r="CB56" s="324"/>
      <c r="CC56" s="324"/>
      <c r="CD56" s="324"/>
      <c r="CE56" s="324"/>
      <c r="CF56" s="324"/>
      <c r="CG56" s="324"/>
      <c r="CH56" s="324"/>
      <c r="CI56" s="324"/>
      <c r="CJ56" s="324"/>
      <c r="CK56" s="324"/>
      <c r="CL56" s="324"/>
      <c r="CM56" s="324"/>
      <c r="CN56" s="324"/>
      <c r="CO56" s="324"/>
      <c r="CP56" s="324"/>
      <c r="CQ56" s="324">
        <v>13438.0500686247</v>
      </c>
      <c r="CR56" s="324"/>
      <c r="CS56" s="324"/>
      <c r="CT56" s="324"/>
      <c r="CU56" s="324"/>
      <c r="CV56" s="324"/>
      <c r="CW56" s="324"/>
      <c r="CX56" s="324"/>
      <c r="CY56" s="324"/>
      <c r="CZ56" s="324"/>
      <c r="DA56" s="324"/>
      <c r="DB56" s="324"/>
      <c r="DC56" s="324"/>
      <c r="DD56" s="324"/>
      <c r="DE56" s="324"/>
      <c r="DF56" s="324"/>
      <c r="DG56" s="324"/>
      <c r="DH56" s="324"/>
      <c r="DI56" s="324"/>
      <c r="DJ56" s="324"/>
      <c r="DK56" s="324"/>
      <c r="DL56" s="324"/>
      <c r="DM56" s="324"/>
      <c r="DN56" s="324"/>
      <c r="DO56" s="324"/>
    </row>
    <row r="57" spans="1:119" x14ac:dyDescent="0.3">
      <c r="A57" s="348" t="s">
        <v>358</v>
      </c>
      <c r="B57" s="323" t="s">
        <v>62</v>
      </c>
      <c r="C57" s="323" t="s">
        <v>338</v>
      </c>
      <c r="D57" s="324">
        <v>2377870.4371107402</v>
      </c>
      <c r="E57" s="323" t="s">
        <v>359</v>
      </c>
      <c r="F57" s="324"/>
      <c r="G57" s="324"/>
      <c r="H57" s="324"/>
      <c r="I57" s="324"/>
      <c r="J57" s="324"/>
      <c r="K57" s="324"/>
      <c r="L57" s="324"/>
      <c r="M57" s="324"/>
      <c r="N57" s="324"/>
      <c r="O57" s="324"/>
      <c r="P57" s="324"/>
      <c r="Q57" s="324"/>
      <c r="R57" s="324"/>
      <c r="S57" s="324"/>
      <c r="T57" s="324">
        <v>14068.6764356163</v>
      </c>
      <c r="U57" s="324"/>
      <c r="V57" s="324"/>
      <c r="W57" s="324">
        <v>96357.161247712007</v>
      </c>
      <c r="X57" s="324"/>
      <c r="Y57" s="324"/>
      <c r="Z57" s="324"/>
      <c r="AA57" s="324"/>
      <c r="AB57" s="324"/>
      <c r="AC57" s="324"/>
      <c r="AD57" s="324"/>
      <c r="AE57" s="324"/>
      <c r="AF57" s="324"/>
      <c r="AG57" s="324"/>
      <c r="AH57" s="324"/>
      <c r="AI57" s="324"/>
      <c r="AJ57" s="324"/>
      <c r="AK57" s="324"/>
      <c r="AL57" s="324"/>
      <c r="AM57" s="324"/>
      <c r="AN57" s="324"/>
      <c r="AO57" s="324"/>
      <c r="AP57" s="324"/>
      <c r="AQ57" s="324"/>
      <c r="AR57" s="324"/>
      <c r="AS57" s="324"/>
      <c r="AT57" s="324"/>
      <c r="AU57" s="324"/>
      <c r="AV57" s="324"/>
      <c r="AW57" s="324"/>
      <c r="AX57" s="324"/>
      <c r="AY57" s="324"/>
      <c r="AZ57" s="324"/>
      <c r="BA57" s="324"/>
      <c r="BB57" s="324"/>
      <c r="BC57" s="324"/>
      <c r="BD57" s="324"/>
      <c r="BE57" s="324"/>
      <c r="BF57" s="324"/>
      <c r="BG57" s="324"/>
      <c r="BH57" s="324"/>
      <c r="BI57" s="324"/>
      <c r="BJ57" s="324"/>
      <c r="BK57" s="324"/>
      <c r="BL57" s="324"/>
      <c r="BM57" s="324"/>
      <c r="BN57" s="324"/>
      <c r="BO57" s="324">
        <v>1724.0764801760099</v>
      </c>
      <c r="BP57" s="324">
        <v>71006.998991082597</v>
      </c>
      <c r="BQ57" s="324">
        <v>205721.212030239</v>
      </c>
      <c r="BR57" s="324"/>
      <c r="BS57" s="324">
        <v>1513.0463336417599</v>
      </c>
      <c r="BT57" s="324"/>
      <c r="BU57" s="324"/>
      <c r="BV57" s="324"/>
      <c r="BW57" s="324"/>
      <c r="BX57" s="324"/>
      <c r="BY57" s="324"/>
      <c r="BZ57" s="324"/>
      <c r="CA57" s="324">
        <v>4101.1519043447697</v>
      </c>
      <c r="CB57" s="324"/>
      <c r="CC57" s="324"/>
      <c r="CD57" s="324"/>
      <c r="CE57" s="324"/>
      <c r="CF57" s="324"/>
      <c r="CG57" s="324"/>
      <c r="CH57" s="324">
        <v>18846.717489221901</v>
      </c>
      <c r="CI57" s="324"/>
      <c r="CJ57" s="324"/>
      <c r="CK57" s="324"/>
      <c r="CL57" s="324"/>
      <c r="CM57" s="324"/>
      <c r="CN57" s="324"/>
      <c r="CO57" s="324">
        <v>1947091.54635304</v>
      </c>
      <c r="CP57" s="324"/>
      <c r="CQ57" s="324"/>
      <c r="CR57" s="324"/>
      <c r="CS57" s="324"/>
      <c r="CT57" s="324"/>
      <c r="CU57" s="324"/>
      <c r="CV57" s="324"/>
      <c r="CW57" s="324"/>
      <c r="CX57" s="324"/>
      <c r="CY57" s="324"/>
      <c r="CZ57" s="324"/>
      <c r="DA57" s="324"/>
      <c r="DB57" s="324"/>
      <c r="DC57" s="324"/>
      <c r="DD57" s="324"/>
      <c r="DE57" s="324"/>
      <c r="DF57" s="324"/>
      <c r="DG57" s="324"/>
      <c r="DH57" s="324"/>
      <c r="DI57" s="324"/>
      <c r="DJ57" s="324"/>
      <c r="DK57" s="324">
        <v>583.98279544067896</v>
      </c>
      <c r="DL57" s="324">
        <v>16855.8670502196</v>
      </c>
      <c r="DM57" s="324"/>
      <c r="DN57" s="324"/>
      <c r="DO57" s="324"/>
    </row>
    <row r="58" spans="1:119" x14ac:dyDescent="0.3">
      <c r="A58" s="348" t="s">
        <v>360</v>
      </c>
      <c r="B58" s="323" t="s">
        <v>63</v>
      </c>
      <c r="C58" s="323" t="s">
        <v>338</v>
      </c>
      <c r="D58" s="324">
        <v>509354.02184114</v>
      </c>
      <c r="E58" s="323" t="s">
        <v>359</v>
      </c>
      <c r="F58" s="324"/>
      <c r="G58" s="324"/>
      <c r="H58" s="324"/>
      <c r="I58" s="324"/>
      <c r="J58" s="324"/>
      <c r="K58" s="324"/>
      <c r="L58" s="324"/>
      <c r="M58" s="324"/>
      <c r="N58" s="324"/>
      <c r="O58" s="324"/>
      <c r="P58" s="324"/>
      <c r="Q58" s="324"/>
      <c r="R58" s="324"/>
      <c r="S58" s="324"/>
      <c r="T58" s="324">
        <v>52580.220502908604</v>
      </c>
      <c r="U58" s="324"/>
      <c r="V58" s="324"/>
      <c r="W58" s="324">
        <v>235689.64467961699</v>
      </c>
      <c r="X58" s="324"/>
      <c r="Y58" s="324"/>
      <c r="Z58" s="324"/>
      <c r="AA58" s="324"/>
      <c r="AB58" s="324"/>
      <c r="AC58" s="324"/>
      <c r="AD58" s="324"/>
      <c r="AE58" s="324"/>
      <c r="AF58" s="324"/>
      <c r="AG58" s="324"/>
      <c r="AH58" s="324"/>
      <c r="AI58" s="324"/>
      <c r="AJ58" s="324"/>
      <c r="AK58" s="324"/>
      <c r="AL58" s="324"/>
      <c r="AM58" s="324"/>
      <c r="AN58" s="324"/>
      <c r="AO58" s="324"/>
      <c r="AP58" s="324"/>
      <c r="AQ58" s="324"/>
      <c r="AR58" s="324"/>
      <c r="AS58" s="324"/>
      <c r="AT58" s="324"/>
      <c r="AU58" s="324"/>
      <c r="AV58" s="324"/>
      <c r="AW58" s="324"/>
      <c r="AX58" s="324"/>
      <c r="AY58" s="324"/>
      <c r="AZ58" s="324"/>
      <c r="BA58" s="324"/>
      <c r="BB58" s="324"/>
      <c r="BC58" s="324"/>
      <c r="BD58" s="324"/>
      <c r="BE58" s="324"/>
      <c r="BF58" s="324"/>
      <c r="BG58" s="324"/>
      <c r="BH58" s="324"/>
      <c r="BI58" s="324"/>
      <c r="BJ58" s="324"/>
      <c r="BK58" s="324"/>
      <c r="BL58" s="324"/>
      <c r="BM58" s="324"/>
      <c r="BN58" s="324"/>
      <c r="BO58" s="324">
        <v>11198.888283583499</v>
      </c>
      <c r="BP58" s="324">
        <v>29748.3720338329</v>
      </c>
      <c r="BQ58" s="324"/>
      <c r="BR58" s="324"/>
      <c r="BS58" s="324">
        <v>169526.011631678</v>
      </c>
      <c r="BT58" s="324"/>
      <c r="BU58" s="324"/>
      <c r="BV58" s="324"/>
      <c r="BW58" s="324"/>
      <c r="BX58" s="324"/>
      <c r="BY58" s="324"/>
      <c r="BZ58" s="324"/>
      <c r="CA58" s="324"/>
      <c r="CB58" s="324"/>
      <c r="CC58" s="324">
        <v>3046.0468174924999</v>
      </c>
      <c r="CD58" s="324"/>
      <c r="CE58" s="324">
        <v>5312.5941126437201</v>
      </c>
      <c r="CF58" s="324"/>
      <c r="CG58" s="324"/>
      <c r="CH58" s="324"/>
      <c r="CI58" s="324">
        <v>2178.2663941885598</v>
      </c>
      <c r="CJ58" s="324"/>
      <c r="CK58" s="324"/>
      <c r="CL58" s="324"/>
      <c r="CM58" s="324"/>
      <c r="CN58" s="324"/>
      <c r="CO58" s="324"/>
      <c r="CP58" s="324"/>
      <c r="CQ58" s="324"/>
      <c r="CR58" s="324"/>
      <c r="CS58" s="324"/>
      <c r="CT58" s="324"/>
      <c r="CU58" s="324"/>
      <c r="CV58" s="324"/>
      <c r="CW58" s="324"/>
      <c r="CX58" s="324"/>
      <c r="CY58" s="324"/>
      <c r="CZ58" s="324"/>
      <c r="DA58" s="324"/>
      <c r="DB58" s="324"/>
      <c r="DC58" s="324"/>
      <c r="DD58" s="324"/>
      <c r="DE58" s="324"/>
      <c r="DF58" s="324"/>
      <c r="DG58" s="324"/>
      <c r="DH58" s="324"/>
      <c r="DI58" s="324"/>
      <c r="DJ58" s="324"/>
      <c r="DK58" s="324"/>
      <c r="DL58" s="324"/>
      <c r="DM58" s="324">
        <v>73.977385194260293</v>
      </c>
      <c r="DN58" s="324"/>
      <c r="DO58" s="324"/>
    </row>
    <row r="59" spans="1:119" x14ac:dyDescent="0.3">
      <c r="A59" s="348" t="s">
        <v>361</v>
      </c>
      <c r="B59" s="323" t="s">
        <v>64</v>
      </c>
      <c r="C59" s="323" t="s">
        <v>338</v>
      </c>
      <c r="D59" s="324">
        <v>1313379.0184675299</v>
      </c>
      <c r="E59" s="323" t="s">
        <v>348</v>
      </c>
      <c r="F59" s="324"/>
      <c r="G59" s="324">
        <v>18142.9782328336</v>
      </c>
      <c r="H59" s="324"/>
      <c r="I59" s="324"/>
      <c r="J59" s="324"/>
      <c r="K59" s="324"/>
      <c r="L59" s="324"/>
      <c r="M59" s="324"/>
      <c r="N59" s="324"/>
      <c r="O59" s="324"/>
      <c r="P59" s="324"/>
      <c r="Q59" s="324"/>
      <c r="R59" s="324"/>
      <c r="S59" s="324"/>
      <c r="T59" s="324"/>
      <c r="U59" s="324"/>
      <c r="V59" s="324"/>
      <c r="W59" s="324">
        <v>965741.08649706899</v>
      </c>
      <c r="X59" s="324"/>
      <c r="Y59" s="324"/>
      <c r="Z59" s="324"/>
      <c r="AA59" s="324"/>
      <c r="AB59" s="324"/>
      <c r="AC59" s="324"/>
      <c r="AD59" s="324"/>
      <c r="AE59" s="324"/>
      <c r="AF59" s="324"/>
      <c r="AG59" s="324"/>
      <c r="AH59" s="324"/>
      <c r="AI59" s="324"/>
      <c r="AJ59" s="324"/>
      <c r="AK59" s="324"/>
      <c r="AL59" s="324"/>
      <c r="AM59" s="324"/>
      <c r="AN59" s="324"/>
      <c r="AO59" s="324"/>
      <c r="AP59" s="324"/>
      <c r="AQ59" s="324"/>
      <c r="AR59" s="324"/>
      <c r="AS59" s="324"/>
      <c r="AT59" s="324"/>
      <c r="AU59" s="324"/>
      <c r="AV59" s="324"/>
      <c r="AW59" s="324"/>
      <c r="AX59" s="324"/>
      <c r="AY59" s="324"/>
      <c r="AZ59" s="324"/>
      <c r="BA59" s="324"/>
      <c r="BB59" s="324"/>
      <c r="BC59" s="324"/>
      <c r="BD59" s="324"/>
      <c r="BE59" s="324"/>
      <c r="BF59" s="324"/>
      <c r="BG59" s="324"/>
      <c r="BH59" s="324"/>
      <c r="BI59" s="324"/>
      <c r="BJ59" s="324"/>
      <c r="BK59" s="324"/>
      <c r="BL59" s="324"/>
      <c r="BM59" s="324"/>
      <c r="BN59" s="324"/>
      <c r="BO59" s="324"/>
      <c r="BP59" s="324"/>
      <c r="BQ59" s="324"/>
      <c r="BR59" s="324"/>
      <c r="BS59" s="324"/>
      <c r="BT59" s="324"/>
      <c r="BU59" s="324"/>
      <c r="BV59" s="324"/>
      <c r="BW59" s="324"/>
      <c r="BX59" s="324"/>
      <c r="BY59" s="324"/>
      <c r="BZ59" s="324"/>
      <c r="CA59" s="324"/>
      <c r="CB59" s="324"/>
      <c r="CC59" s="324"/>
      <c r="CD59" s="324"/>
      <c r="CE59" s="324"/>
      <c r="CF59" s="324"/>
      <c r="CG59" s="324"/>
      <c r="CH59" s="324"/>
      <c r="CI59" s="324"/>
      <c r="CJ59" s="324"/>
      <c r="CK59" s="324"/>
      <c r="CL59" s="324"/>
      <c r="CM59" s="324"/>
      <c r="CN59" s="324"/>
      <c r="CO59" s="324"/>
      <c r="CP59" s="324"/>
      <c r="CQ59" s="324"/>
      <c r="CR59" s="324"/>
      <c r="CS59" s="324"/>
      <c r="CT59" s="324"/>
      <c r="CU59" s="324"/>
      <c r="CV59" s="324"/>
      <c r="CW59" s="324"/>
      <c r="CX59" s="324"/>
      <c r="CY59" s="324"/>
      <c r="CZ59" s="324"/>
      <c r="DA59" s="324"/>
      <c r="DB59" s="324"/>
      <c r="DC59" s="324"/>
      <c r="DD59" s="324"/>
      <c r="DE59" s="324"/>
      <c r="DF59" s="324"/>
      <c r="DG59" s="324"/>
      <c r="DH59" s="324"/>
      <c r="DI59" s="324"/>
      <c r="DJ59" s="324"/>
      <c r="DK59" s="324"/>
      <c r="DL59" s="324"/>
      <c r="DM59" s="324"/>
      <c r="DN59" s="324"/>
      <c r="DO59" s="324">
        <v>329494.95</v>
      </c>
    </row>
    <row r="60" spans="1:119" x14ac:dyDescent="0.3">
      <c r="A60" s="348" t="s">
        <v>362</v>
      </c>
      <c r="B60" s="323" t="s">
        <v>65</v>
      </c>
      <c r="C60" s="323" t="s">
        <v>338</v>
      </c>
      <c r="D60" s="324">
        <v>729314.61679221503</v>
      </c>
      <c r="E60" s="323" t="s">
        <v>348</v>
      </c>
      <c r="F60" s="324"/>
      <c r="G60" s="324">
        <v>16526.4266873128</v>
      </c>
      <c r="H60" s="324"/>
      <c r="I60" s="324"/>
      <c r="J60" s="324"/>
      <c r="K60" s="324"/>
      <c r="L60" s="324"/>
      <c r="M60" s="324"/>
      <c r="N60" s="324"/>
      <c r="O60" s="324"/>
      <c r="P60" s="324"/>
      <c r="Q60" s="324">
        <v>8.3307303088365602E-3</v>
      </c>
      <c r="R60" s="324">
        <v>0.11276992436156701</v>
      </c>
      <c r="S60" s="324"/>
      <c r="T60" s="324">
        <v>28741.9326131163</v>
      </c>
      <c r="U60" s="324">
        <v>10.911048786576201</v>
      </c>
      <c r="V60" s="324"/>
      <c r="W60" s="324">
        <v>481919.99582871899</v>
      </c>
      <c r="X60" s="324"/>
      <c r="Y60" s="324"/>
      <c r="Z60" s="324"/>
      <c r="AA60" s="324"/>
      <c r="AB60" s="324">
        <v>0.33330902397456802</v>
      </c>
      <c r="AC60" s="324"/>
      <c r="AD60" s="324">
        <v>2.9353807049943598E-3</v>
      </c>
      <c r="AE60" s="324"/>
      <c r="AF60" s="324"/>
      <c r="AG60" s="324"/>
      <c r="AH60" s="324"/>
      <c r="AI60" s="324"/>
      <c r="AJ60" s="324">
        <v>7.8624216693688898E-3</v>
      </c>
      <c r="AK60" s="324"/>
      <c r="AL60" s="324"/>
      <c r="AM60" s="324"/>
      <c r="AN60" s="324"/>
      <c r="AO60" s="324">
        <v>4.6280851595363699E-3</v>
      </c>
      <c r="AP60" s="324">
        <v>1.4623793906974399E-4</v>
      </c>
      <c r="AQ60" s="324"/>
      <c r="AR60" s="324"/>
      <c r="AS60" s="324"/>
      <c r="AT60" s="324"/>
      <c r="AU60" s="324"/>
      <c r="AV60" s="324"/>
      <c r="AW60" s="324"/>
      <c r="AX60" s="324"/>
      <c r="AY60" s="324"/>
      <c r="AZ60" s="324"/>
      <c r="BA60" s="324"/>
      <c r="BB60" s="324">
        <v>1.8817721504490501</v>
      </c>
      <c r="BC60" s="324"/>
      <c r="BD60" s="324"/>
      <c r="BE60" s="324"/>
      <c r="BF60" s="324"/>
      <c r="BG60" s="324"/>
      <c r="BH60" s="324">
        <v>23.947221627498699</v>
      </c>
      <c r="BI60" s="324"/>
      <c r="BJ60" s="324"/>
      <c r="BK60" s="324"/>
      <c r="BL60" s="324"/>
      <c r="BM60" s="324"/>
      <c r="BN60" s="324"/>
      <c r="BO60" s="324"/>
      <c r="BP60" s="324"/>
      <c r="BQ60" s="324"/>
      <c r="BR60" s="324"/>
      <c r="BS60" s="324"/>
      <c r="BT60" s="324"/>
      <c r="BU60" s="324"/>
      <c r="BV60" s="324"/>
      <c r="BW60" s="324"/>
      <c r="BX60" s="324"/>
      <c r="BY60" s="324"/>
      <c r="BZ60" s="324"/>
      <c r="CA60" s="324"/>
      <c r="CB60" s="324"/>
      <c r="CC60" s="324"/>
      <c r="CD60" s="324"/>
      <c r="CE60" s="324"/>
      <c r="CF60" s="324"/>
      <c r="CG60" s="324"/>
      <c r="CH60" s="324"/>
      <c r="CI60" s="324"/>
      <c r="CJ60" s="324"/>
      <c r="CK60" s="324"/>
      <c r="CL60" s="324"/>
      <c r="CM60" s="324"/>
      <c r="CN60" s="324"/>
      <c r="CO60" s="324"/>
      <c r="CP60" s="324"/>
      <c r="CQ60" s="324"/>
      <c r="CR60" s="324"/>
      <c r="CS60" s="324"/>
      <c r="CT60" s="324"/>
      <c r="CU60" s="324"/>
      <c r="CV60" s="324"/>
      <c r="CW60" s="324"/>
      <c r="CX60" s="324"/>
      <c r="CY60" s="324"/>
      <c r="CZ60" s="324"/>
      <c r="DA60" s="324"/>
      <c r="DB60" s="324"/>
      <c r="DC60" s="324"/>
      <c r="DD60" s="324"/>
      <c r="DE60" s="324"/>
      <c r="DF60" s="324"/>
      <c r="DG60" s="324"/>
      <c r="DH60" s="324"/>
      <c r="DI60" s="324"/>
      <c r="DJ60" s="324"/>
      <c r="DK60" s="324"/>
      <c r="DL60" s="324"/>
      <c r="DM60" s="324"/>
      <c r="DN60" s="324"/>
      <c r="DO60" s="324">
        <v>202089.05</v>
      </c>
    </row>
    <row r="61" spans="1:119" x14ac:dyDescent="0.3">
      <c r="A61" s="348" t="s">
        <v>363</v>
      </c>
      <c r="B61" s="323" t="s">
        <v>66</v>
      </c>
      <c r="C61" s="323" t="s">
        <v>338</v>
      </c>
      <c r="D61" s="324">
        <v>599062.370874441</v>
      </c>
      <c r="E61" s="323" t="s">
        <v>359</v>
      </c>
      <c r="F61" s="324"/>
      <c r="G61" s="324"/>
      <c r="H61" s="324"/>
      <c r="I61" s="324"/>
      <c r="J61" s="324"/>
      <c r="K61" s="324"/>
      <c r="L61" s="324"/>
      <c r="M61" s="324"/>
      <c r="N61" s="324"/>
      <c r="O61" s="324"/>
      <c r="P61" s="324"/>
      <c r="Q61" s="324"/>
      <c r="R61" s="324"/>
      <c r="S61" s="324"/>
      <c r="T61" s="324"/>
      <c r="U61" s="324"/>
      <c r="V61" s="324"/>
      <c r="W61" s="324"/>
      <c r="X61" s="324"/>
      <c r="Y61" s="324"/>
      <c r="Z61" s="324"/>
      <c r="AA61" s="324"/>
      <c r="AB61" s="324"/>
      <c r="AC61" s="324"/>
      <c r="AD61" s="324"/>
      <c r="AE61" s="324"/>
      <c r="AF61" s="324"/>
      <c r="AG61" s="324"/>
      <c r="AH61" s="324"/>
      <c r="AI61" s="324"/>
      <c r="AJ61" s="324"/>
      <c r="AK61" s="324"/>
      <c r="AL61" s="324"/>
      <c r="AM61" s="324"/>
      <c r="AN61" s="324"/>
      <c r="AO61" s="324"/>
      <c r="AP61" s="324"/>
      <c r="AQ61" s="324"/>
      <c r="AR61" s="324"/>
      <c r="AS61" s="324"/>
      <c r="AT61" s="324"/>
      <c r="AU61" s="324"/>
      <c r="AV61" s="324"/>
      <c r="AW61" s="324"/>
      <c r="AX61" s="324"/>
      <c r="AY61" s="324"/>
      <c r="AZ61" s="324"/>
      <c r="BA61" s="324"/>
      <c r="BB61" s="324"/>
      <c r="BC61" s="324"/>
      <c r="BD61" s="324"/>
      <c r="BE61" s="324"/>
      <c r="BF61" s="324"/>
      <c r="BG61" s="324"/>
      <c r="BH61" s="324"/>
      <c r="BI61" s="324"/>
      <c r="BJ61" s="324"/>
      <c r="BK61" s="324"/>
      <c r="BL61" s="324"/>
      <c r="BM61" s="324"/>
      <c r="BN61" s="324"/>
      <c r="BO61" s="324"/>
      <c r="BP61" s="324">
        <v>179718.71126233201</v>
      </c>
      <c r="BQ61" s="324">
        <v>419343.65961210901</v>
      </c>
      <c r="BR61" s="324"/>
      <c r="BS61" s="324"/>
      <c r="BT61" s="324"/>
      <c r="BU61" s="324"/>
      <c r="BV61" s="324"/>
      <c r="BW61" s="324"/>
      <c r="BX61" s="324"/>
      <c r="BY61" s="324"/>
      <c r="BZ61" s="324"/>
      <c r="CA61" s="324"/>
      <c r="CB61" s="324"/>
      <c r="CC61" s="324"/>
      <c r="CD61" s="324"/>
      <c r="CE61" s="324"/>
      <c r="CF61" s="324"/>
      <c r="CG61" s="324"/>
      <c r="CH61" s="324"/>
      <c r="CI61" s="324"/>
      <c r="CJ61" s="324"/>
      <c r="CK61" s="324"/>
      <c r="CL61" s="324"/>
      <c r="CM61" s="324"/>
      <c r="CN61" s="324"/>
      <c r="CO61" s="324"/>
      <c r="CP61" s="324"/>
      <c r="CQ61" s="324"/>
      <c r="CR61" s="324"/>
      <c r="CS61" s="324"/>
      <c r="CT61" s="324"/>
      <c r="CU61" s="324"/>
      <c r="CV61" s="324"/>
      <c r="CW61" s="324"/>
      <c r="CX61" s="324"/>
      <c r="CY61" s="324"/>
      <c r="CZ61" s="324"/>
      <c r="DA61" s="324"/>
      <c r="DB61" s="324"/>
      <c r="DC61" s="324"/>
      <c r="DD61" s="324"/>
      <c r="DE61" s="324"/>
      <c r="DF61" s="324"/>
      <c r="DG61" s="324"/>
      <c r="DH61" s="324"/>
      <c r="DI61" s="324"/>
      <c r="DJ61" s="324"/>
      <c r="DK61" s="324"/>
      <c r="DL61" s="324"/>
      <c r="DM61" s="324"/>
      <c r="DN61" s="324"/>
      <c r="DO61" s="324"/>
    </row>
    <row r="62" spans="1:119" x14ac:dyDescent="0.3">
      <c r="A62" s="348" t="s">
        <v>364</v>
      </c>
      <c r="B62" s="323" t="s">
        <v>67</v>
      </c>
      <c r="C62" s="323" t="s">
        <v>338</v>
      </c>
      <c r="D62" s="324">
        <v>113892.826028062</v>
      </c>
      <c r="E62" s="323" t="s">
        <v>348</v>
      </c>
      <c r="F62" s="324"/>
      <c r="G62" s="324">
        <v>4697.3057633769304</v>
      </c>
      <c r="H62" s="324"/>
      <c r="I62" s="324"/>
      <c r="J62" s="324"/>
      <c r="K62" s="324"/>
      <c r="L62" s="324"/>
      <c r="M62" s="324"/>
      <c r="N62" s="324"/>
      <c r="O62" s="324"/>
      <c r="P62" s="324"/>
      <c r="Q62" s="324">
        <v>5.6668222485457401E-2</v>
      </c>
      <c r="R62" s="324">
        <v>0.27478135866373998</v>
      </c>
      <c r="S62" s="324"/>
      <c r="T62" s="324"/>
      <c r="U62" s="324">
        <v>0.31257689179319498</v>
      </c>
      <c r="V62" s="324"/>
      <c r="W62" s="324">
        <v>48792.304690106503</v>
      </c>
      <c r="X62" s="324"/>
      <c r="Y62" s="324"/>
      <c r="Z62" s="324">
        <v>0.15657168372778599</v>
      </c>
      <c r="AA62" s="324"/>
      <c r="AB62" s="324">
        <v>0.49981493983099401</v>
      </c>
      <c r="AC62" s="324"/>
      <c r="AD62" s="324">
        <v>5.5945537492787599E-2</v>
      </c>
      <c r="AE62" s="324"/>
      <c r="AF62" s="324"/>
      <c r="AG62" s="324"/>
      <c r="AH62" s="324"/>
      <c r="AI62" s="324">
        <v>0.49494809553083402</v>
      </c>
      <c r="AJ62" s="324">
        <v>0.191663181499549</v>
      </c>
      <c r="AK62" s="324"/>
      <c r="AL62" s="324"/>
      <c r="AM62" s="324"/>
      <c r="AN62" s="324"/>
      <c r="AO62" s="324">
        <v>3.2359561502116998</v>
      </c>
      <c r="AP62" s="324">
        <v>8.05072911947744E-2</v>
      </c>
      <c r="AQ62" s="324"/>
      <c r="AR62" s="324"/>
      <c r="AS62" s="324"/>
      <c r="AT62" s="324"/>
      <c r="AU62" s="324"/>
      <c r="AV62" s="324"/>
      <c r="AW62" s="324"/>
      <c r="AX62" s="324"/>
      <c r="AY62" s="324"/>
      <c r="AZ62" s="324"/>
      <c r="BA62" s="324"/>
      <c r="BB62" s="324">
        <v>0.267813078348766</v>
      </c>
      <c r="BC62" s="324"/>
      <c r="BD62" s="324"/>
      <c r="BE62" s="324"/>
      <c r="BF62" s="324"/>
      <c r="BG62" s="324"/>
      <c r="BH62" s="324">
        <v>57.749696813197502</v>
      </c>
      <c r="BI62" s="324"/>
      <c r="BJ62" s="324"/>
      <c r="BK62" s="324"/>
      <c r="BL62" s="324"/>
      <c r="BM62" s="324"/>
      <c r="BN62" s="324"/>
      <c r="BO62" s="324"/>
      <c r="BP62" s="324"/>
      <c r="BQ62" s="324"/>
      <c r="BR62" s="324"/>
      <c r="BS62" s="324"/>
      <c r="BT62" s="324"/>
      <c r="BU62" s="324"/>
      <c r="BV62" s="324"/>
      <c r="BW62" s="324"/>
      <c r="BX62" s="324"/>
      <c r="BY62" s="324"/>
      <c r="BZ62" s="324"/>
      <c r="CA62" s="324"/>
      <c r="CB62" s="324"/>
      <c r="CC62" s="324"/>
      <c r="CD62" s="324"/>
      <c r="CE62" s="324"/>
      <c r="CF62" s="324"/>
      <c r="CG62" s="324"/>
      <c r="CH62" s="324"/>
      <c r="CI62" s="324"/>
      <c r="CJ62" s="324"/>
      <c r="CK62" s="324"/>
      <c r="CL62" s="324"/>
      <c r="CM62" s="324"/>
      <c r="CN62" s="324"/>
      <c r="CO62" s="324"/>
      <c r="CP62" s="324"/>
      <c r="CQ62" s="324"/>
      <c r="CR62" s="324"/>
      <c r="CS62" s="324"/>
      <c r="CT62" s="324"/>
      <c r="CU62" s="324"/>
      <c r="CV62" s="324"/>
      <c r="CW62" s="324"/>
      <c r="CX62" s="324"/>
      <c r="CY62" s="324"/>
      <c r="CZ62" s="324"/>
      <c r="DA62" s="324"/>
      <c r="DB62" s="324"/>
      <c r="DC62" s="324"/>
      <c r="DD62" s="324"/>
      <c r="DE62" s="324"/>
      <c r="DF62" s="324"/>
      <c r="DG62" s="324"/>
      <c r="DH62" s="324"/>
      <c r="DI62" s="324"/>
      <c r="DJ62" s="324"/>
      <c r="DK62" s="324"/>
      <c r="DL62" s="324"/>
      <c r="DM62" s="324"/>
      <c r="DN62" s="324"/>
      <c r="DO62" s="324">
        <v>60339.839999999997</v>
      </c>
    </row>
    <row r="63" spans="1:119" x14ac:dyDescent="0.3">
      <c r="A63" s="348" t="s">
        <v>365</v>
      </c>
      <c r="B63" s="323" t="s">
        <v>68</v>
      </c>
      <c r="C63" s="323" t="s">
        <v>338</v>
      </c>
      <c r="D63" s="324">
        <v>118441.424933131</v>
      </c>
      <c r="E63" s="323" t="s">
        <v>339</v>
      </c>
      <c r="F63" s="324"/>
      <c r="G63" s="324"/>
      <c r="H63" s="324"/>
      <c r="I63" s="324"/>
      <c r="J63" s="324"/>
      <c r="K63" s="324"/>
      <c r="L63" s="324"/>
      <c r="M63" s="324"/>
      <c r="N63" s="324"/>
      <c r="O63" s="324"/>
      <c r="P63" s="324"/>
      <c r="Q63" s="324"/>
      <c r="R63" s="324"/>
      <c r="S63" s="324"/>
      <c r="T63" s="324"/>
      <c r="U63" s="324"/>
      <c r="V63" s="324"/>
      <c r="W63" s="324"/>
      <c r="X63" s="324"/>
      <c r="Y63" s="324"/>
      <c r="Z63" s="324"/>
      <c r="AA63" s="324"/>
      <c r="AB63" s="324"/>
      <c r="AC63" s="324"/>
      <c r="AD63" s="324"/>
      <c r="AE63" s="324"/>
      <c r="AF63" s="324"/>
      <c r="AG63" s="324"/>
      <c r="AH63" s="324"/>
      <c r="AI63" s="324"/>
      <c r="AJ63" s="324"/>
      <c r="AK63" s="324"/>
      <c r="AL63" s="324"/>
      <c r="AM63" s="324"/>
      <c r="AN63" s="324"/>
      <c r="AO63" s="324"/>
      <c r="AP63" s="324"/>
      <c r="AQ63" s="324"/>
      <c r="AR63" s="324"/>
      <c r="AS63" s="324"/>
      <c r="AT63" s="324"/>
      <c r="AU63" s="324"/>
      <c r="AV63" s="324"/>
      <c r="AW63" s="324"/>
      <c r="AX63" s="324"/>
      <c r="AY63" s="324"/>
      <c r="AZ63" s="324"/>
      <c r="BA63" s="324"/>
      <c r="BB63" s="324"/>
      <c r="BC63" s="324"/>
      <c r="BD63" s="324"/>
      <c r="BE63" s="324"/>
      <c r="BF63" s="324"/>
      <c r="BG63" s="324"/>
      <c r="BH63" s="324"/>
      <c r="BI63" s="324"/>
      <c r="BJ63" s="324"/>
      <c r="BK63" s="324"/>
      <c r="BL63" s="324"/>
      <c r="BM63" s="324"/>
      <c r="BN63" s="324"/>
      <c r="BO63" s="324"/>
      <c r="BP63" s="324">
        <v>69669.766896294197</v>
      </c>
      <c r="BQ63" s="324"/>
      <c r="BR63" s="324"/>
      <c r="BS63" s="324"/>
      <c r="BT63" s="324">
        <v>13936.774588689699</v>
      </c>
      <c r="BU63" s="324"/>
      <c r="BV63" s="324"/>
      <c r="BW63" s="324"/>
      <c r="BX63" s="324"/>
      <c r="BY63" s="324"/>
      <c r="BZ63" s="324"/>
      <c r="CA63" s="324"/>
      <c r="CB63" s="324"/>
      <c r="CC63" s="324"/>
      <c r="CD63" s="324"/>
      <c r="CE63" s="324"/>
      <c r="CF63" s="324"/>
      <c r="CG63" s="324">
        <v>34834.883448147099</v>
      </c>
      <c r="CH63" s="324"/>
      <c r="CI63" s="324"/>
      <c r="CJ63" s="324"/>
      <c r="CK63" s="324"/>
      <c r="CL63" s="324"/>
      <c r="CM63" s="324"/>
      <c r="CN63" s="324"/>
      <c r="CO63" s="324"/>
      <c r="CP63" s="324"/>
      <c r="CQ63" s="324"/>
      <c r="CR63" s="324"/>
      <c r="CS63" s="324"/>
      <c r="CT63" s="324"/>
      <c r="CU63" s="324"/>
      <c r="CV63" s="324"/>
      <c r="CW63" s="324"/>
      <c r="CX63" s="324"/>
      <c r="CY63" s="324"/>
      <c r="CZ63" s="324"/>
      <c r="DA63" s="324"/>
      <c r="DB63" s="324"/>
      <c r="DC63" s="324"/>
      <c r="DD63" s="324"/>
      <c r="DE63" s="324"/>
      <c r="DF63" s="324"/>
      <c r="DG63" s="324"/>
      <c r="DH63" s="324"/>
      <c r="DI63" s="324"/>
      <c r="DJ63" s="324"/>
      <c r="DK63" s="324"/>
      <c r="DL63" s="324"/>
      <c r="DM63" s="324"/>
      <c r="DN63" s="324"/>
      <c r="DO63" s="324"/>
    </row>
    <row r="64" spans="1:119" x14ac:dyDescent="0.3">
      <c r="A64" s="348" t="s">
        <v>366</v>
      </c>
      <c r="B64" s="323" t="s">
        <v>69</v>
      </c>
      <c r="C64" s="323" t="s">
        <v>338</v>
      </c>
      <c r="D64" s="324">
        <v>369483.65536081803</v>
      </c>
      <c r="E64" s="323" t="s">
        <v>348</v>
      </c>
      <c r="F64" s="324"/>
      <c r="G64" s="324">
        <v>15475.8387195944</v>
      </c>
      <c r="H64" s="324"/>
      <c r="I64" s="324"/>
      <c r="J64" s="324"/>
      <c r="K64" s="324"/>
      <c r="L64" s="324"/>
      <c r="M64" s="324"/>
      <c r="N64" s="324"/>
      <c r="O64" s="324"/>
      <c r="P64" s="324"/>
      <c r="Q64" s="324"/>
      <c r="R64" s="324">
        <v>183.163073316386</v>
      </c>
      <c r="S64" s="324"/>
      <c r="T64" s="324">
        <v>16190.011362966699</v>
      </c>
      <c r="U64" s="324">
        <v>14.9311697461664</v>
      </c>
      <c r="V64" s="324"/>
      <c r="W64" s="324">
        <v>245563.759340855</v>
      </c>
      <c r="X64" s="324"/>
      <c r="Y64" s="324"/>
      <c r="Z64" s="324"/>
      <c r="AA64" s="324"/>
      <c r="AB64" s="324">
        <v>5.2961630430806497E-3</v>
      </c>
      <c r="AC64" s="324"/>
      <c r="AD64" s="324"/>
      <c r="AE64" s="324"/>
      <c r="AF64" s="324"/>
      <c r="AG64" s="324"/>
      <c r="AH64" s="324"/>
      <c r="AI64" s="324"/>
      <c r="AJ64" s="324">
        <v>4.8335524094139704</v>
      </c>
      <c r="AK64" s="324"/>
      <c r="AL64" s="324"/>
      <c r="AM64" s="324"/>
      <c r="AN64" s="324"/>
      <c r="AO64" s="324">
        <v>7.1294381298146205E-4</v>
      </c>
      <c r="AP64" s="324">
        <v>1.10736984180909E-2</v>
      </c>
      <c r="AQ64" s="324"/>
      <c r="AR64" s="324"/>
      <c r="AS64" s="324"/>
      <c r="AT64" s="324"/>
      <c r="AU64" s="324"/>
      <c r="AV64" s="324"/>
      <c r="AW64" s="324"/>
      <c r="AX64" s="324"/>
      <c r="AY64" s="324"/>
      <c r="AZ64" s="324"/>
      <c r="BA64" s="324"/>
      <c r="BB64" s="324"/>
      <c r="BC64" s="324"/>
      <c r="BD64" s="324"/>
      <c r="BE64" s="324"/>
      <c r="BF64" s="324"/>
      <c r="BG64" s="324"/>
      <c r="BH64" s="324">
        <v>28.855226503552402</v>
      </c>
      <c r="BI64" s="324"/>
      <c r="BJ64" s="324"/>
      <c r="BK64" s="324"/>
      <c r="BL64" s="324"/>
      <c r="BM64" s="324"/>
      <c r="BN64" s="324"/>
      <c r="BO64" s="324"/>
      <c r="BP64" s="324"/>
      <c r="BQ64" s="324"/>
      <c r="BR64" s="324"/>
      <c r="BS64" s="324"/>
      <c r="BT64" s="324"/>
      <c r="BU64" s="324"/>
      <c r="BV64" s="324"/>
      <c r="BW64" s="324"/>
      <c r="BX64" s="324"/>
      <c r="BY64" s="324"/>
      <c r="BZ64" s="324"/>
      <c r="CA64" s="324"/>
      <c r="CB64" s="324"/>
      <c r="CC64" s="324"/>
      <c r="CD64" s="324"/>
      <c r="CE64" s="324"/>
      <c r="CF64" s="324"/>
      <c r="CG64" s="324"/>
      <c r="CH64" s="324"/>
      <c r="CI64" s="324"/>
      <c r="CJ64" s="324"/>
      <c r="CK64" s="324"/>
      <c r="CL64" s="324"/>
      <c r="CM64" s="324"/>
      <c r="CN64" s="324"/>
      <c r="CO64" s="324"/>
      <c r="CP64" s="324"/>
      <c r="CQ64" s="324"/>
      <c r="CR64" s="324"/>
      <c r="CS64" s="324"/>
      <c r="CT64" s="324"/>
      <c r="CU64" s="324"/>
      <c r="CV64" s="324"/>
      <c r="CW64" s="324"/>
      <c r="CX64" s="324"/>
      <c r="CY64" s="324"/>
      <c r="CZ64" s="324"/>
      <c r="DA64" s="324"/>
      <c r="DB64" s="324"/>
      <c r="DC64" s="324"/>
      <c r="DD64" s="324"/>
      <c r="DE64" s="324"/>
      <c r="DF64" s="324"/>
      <c r="DG64" s="324"/>
      <c r="DH64" s="324"/>
      <c r="DI64" s="324"/>
      <c r="DJ64" s="324"/>
      <c r="DK64" s="324"/>
      <c r="DL64" s="324"/>
      <c r="DM64" s="324"/>
      <c r="DN64" s="324"/>
      <c r="DO64" s="324">
        <v>92022.25</v>
      </c>
    </row>
    <row r="65" spans="1:119" x14ac:dyDescent="0.3">
      <c r="A65" s="348" t="s">
        <v>367</v>
      </c>
      <c r="B65" s="323" t="s">
        <v>70</v>
      </c>
      <c r="C65" s="323" t="s">
        <v>338</v>
      </c>
      <c r="D65" s="324">
        <v>37627.784790627396</v>
      </c>
      <c r="E65" s="323" t="s">
        <v>348</v>
      </c>
      <c r="F65" s="324"/>
      <c r="G65" s="324">
        <v>636.20720927281297</v>
      </c>
      <c r="H65" s="324"/>
      <c r="I65" s="324"/>
      <c r="J65" s="324"/>
      <c r="K65" s="324"/>
      <c r="L65" s="324"/>
      <c r="M65" s="324"/>
      <c r="N65" s="324"/>
      <c r="O65" s="324"/>
      <c r="P65" s="324"/>
      <c r="Q65" s="324"/>
      <c r="R65" s="324"/>
      <c r="S65" s="324"/>
      <c r="T65" s="324">
        <v>378.96493917876001</v>
      </c>
      <c r="U65" s="324"/>
      <c r="V65" s="324"/>
      <c r="W65" s="324">
        <v>29145.888262050001</v>
      </c>
      <c r="X65" s="324"/>
      <c r="Y65" s="324"/>
      <c r="Z65" s="324"/>
      <c r="AA65" s="324"/>
      <c r="AB65" s="324"/>
      <c r="AC65" s="324"/>
      <c r="AD65" s="324"/>
      <c r="AE65" s="324"/>
      <c r="AF65" s="324"/>
      <c r="AG65" s="324"/>
      <c r="AH65" s="324"/>
      <c r="AI65" s="324"/>
      <c r="AJ65" s="324"/>
      <c r="AK65" s="324"/>
      <c r="AL65" s="324"/>
      <c r="AM65" s="324"/>
      <c r="AN65" s="324"/>
      <c r="AO65" s="324"/>
      <c r="AP65" s="324"/>
      <c r="AQ65" s="324"/>
      <c r="AR65" s="324"/>
      <c r="AS65" s="324"/>
      <c r="AT65" s="324"/>
      <c r="AU65" s="324"/>
      <c r="AV65" s="324"/>
      <c r="AW65" s="324"/>
      <c r="AX65" s="324"/>
      <c r="AY65" s="324"/>
      <c r="AZ65" s="324"/>
      <c r="BA65" s="324"/>
      <c r="BB65" s="324"/>
      <c r="BC65" s="324"/>
      <c r="BD65" s="324"/>
      <c r="BE65" s="324"/>
      <c r="BF65" s="324"/>
      <c r="BG65" s="324"/>
      <c r="BH65" s="324"/>
      <c r="BI65" s="324"/>
      <c r="BJ65" s="324"/>
      <c r="BK65" s="324"/>
      <c r="BL65" s="324"/>
      <c r="BM65" s="324"/>
      <c r="BN65" s="324"/>
      <c r="BO65" s="324"/>
      <c r="BP65" s="324"/>
      <c r="BQ65" s="324"/>
      <c r="BR65" s="324"/>
      <c r="BS65" s="324"/>
      <c r="BT65" s="324"/>
      <c r="BU65" s="324"/>
      <c r="BV65" s="324"/>
      <c r="BW65" s="324"/>
      <c r="BX65" s="324"/>
      <c r="BY65" s="324"/>
      <c r="BZ65" s="324"/>
      <c r="CA65" s="324"/>
      <c r="CB65" s="324"/>
      <c r="CC65" s="324"/>
      <c r="CD65" s="324"/>
      <c r="CE65" s="324"/>
      <c r="CF65" s="324"/>
      <c r="CG65" s="324"/>
      <c r="CH65" s="324"/>
      <c r="CI65" s="324"/>
      <c r="CJ65" s="324"/>
      <c r="CK65" s="324"/>
      <c r="CL65" s="324"/>
      <c r="CM65" s="324"/>
      <c r="CN65" s="324"/>
      <c r="CO65" s="324"/>
      <c r="CP65" s="324"/>
      <c r="CQ65" s="324"/>
      <c r="CR65" s="324"/>
      <c r="CS65" s="324"/>
      <c r="CT65" s="324"/>
      <c r="CU65" s="324"/>
      <c r="CV65" s="324"/>
      <c r="CW65" s="324"/>
      <c r="CX65" s="324"/>
      <c r="CY65" s="324"/>
      <c r="CZ65" s="324"/>
      <c r="DA65" s="324"/>
      <c r="DB65" s="324"/>
      <c r="DC65" s="324"/>
      <c r="DD65" s="324"/>
      <c r="DE65" s="324"/>
      <c r="DF65" s="324"/>
      <c r="DG65" s="324"/>
      <c r="DH65" s="324"/>
      <c r="DI65" s="324"/>
      <c r="DJ65" s="324"/>
      <c r="DK65" s="324"/>
      <c r="DL65" s="324"/>
      <c r="DM65" s="324"/>
      <c r="DN65" s="324"/>
      <c r="DO65" s="324">
        <v>7466.72</v>
      </c>
    </row>
    <row r="66" spans="1:119" x14ac:dyDescent="0.3">
      <c r="A66" s="348" t="s">
        <v>368</v>
      </c>
      <c r="B66" s="323" t="s">
        <v>71</v>
      </c>
      <c r="C66" s="323" t="s">
        <v>338</v>
      </c>
      <c r="D66" s="324">
        <v>14385.6620575412</v>
      </c>
      <c r="E66" s="323" t="s">
        <v>348</v>
      </c>
      <c r="F66" s="324"/>
      <c r="G66" s="324">
        <v>211.440253169176</v>
      </c>
      <c r="H66" s="324"/>
      <c r="I66" s="324"/>
      <c r="J66" s="324"/>
      <c r="K66" s="324"/>
      <c r="L66" s="324"/>
      <c r="M66" s="324"/>
      <c r="N66" s="324"/>
      <c r="O66" s="324"/>
      <c r="P66" s="324"/>
      <c r="Q66" s="324"/>
      <c r="R66" s="324"/>
      <c r="S66" s="324"/>
      <c r="T66" s="324"/>
      <c r="U66" s="324"/>
      <c r="V66" s="324"/>
      <c r="W66" s="324">
        <v>9692.5973963001907</v>
      </c>
      <c r="X66" s="324"/>
      <c r="Y66" s="324"/>
      <c r="Z66" s="324"/>
      <c r="AA66" s="324"/>
      <c r="AB66" s="324"/>
      <c r="AC66" s="324"/>
      <c r="AD66" s="324"/>
      <c r="AE66" s="324"/>
      <c r="AF66" s="324"/>
      <c r="AG66" s="324"/>
      <c r="AH66" s="324"/>
      <c r="AI66" s="324"/>
      <c r="AJ66" s="324"/>
      <c r="AK66" s="324"/>
      <c r="AL66" s="324"/>
      <c r="AM66" s="324"/>
      <c r="AN66" s="324"/>
      <c r="AO66" s="324">
        <v>8.8042762736497196E-4</v>
      </c>
      <c r="AP66" s="324">
        <v>4.1601922522527902E-5</v>
      </c>
      <c r="AQ66" s="324"/>
      <c r="AR66" s="324"/>
      <c r="AS66" s="324"/>
      <c r="AT66" s="324"/>
      <c r="AU66" s="324"/>
      <c r="AV66" s="324"/>
      <c r="AW66" s="324"/>
      <c r="AX66" s="324"/>
      <c r="AY66" s="324"/>
      <c r="AZ66" s="324"/>
      <c r="BA66" s="324"/>
      <c r="BB66" s="324"/>
      <c r="BC66" s="324"/>
      <c r="BD66" s="324"/>
      <c r="BE66" s="324"/>
      <c r="BF66" s="324"/>
      <c r="BG66" s="324"/>
      <c r="BH66" s="324"/>
      <c r="BI66" s="324"/>
      <c r="BJ66" s="324"/>
      <c r="BK66" s="324"/>
      <c r="BL66" s="324"/>
      <c r="BM66" s="324"/>
      <c r="BN66" s="324"/>
      <c r="BO66" s="324"/>
      <c r="BP66" s="324"/>
      <c r="BQ66" s="324"/>
      <c r="BR66" s="324"/>
      <c r="BS66" s="324"/>
      <c r="BT66" s="324"/>
      <c r="BU66" s="324"/>
      <c r="BV66" s="324"/>
      <c r="BW66" s="324"/>
      <c r="BX66" s="324"/>
      <c r="BY66" s="324"/>
      <c r="BZ66" s="324"/>
      <c r="CA66" s="324"/>
      <c r="CB66" s="324"/>
      <c r="CC66" s="324"/>
      <c r="CD66" s="324"/>
      <c r="CE66" s="324"/>
      <c r="CF66" s="324"/>
      <c r="CG66" s="324"/>
      <c r="CH66" s="324"/>
      <c r="CI66" s="324"/>
      <c r="CJ66" s="324"/>
      <c r="CK66" s="324"/>
      <c r="CL66" s="324"/>
      <c r="CM66" s="324"/>
      <c r="CN66" s="324"/>
      <c r="CO66" s="324"/>
      <c r="CP66" s="324"/>
      <c r="CQ66" s="324"/>
      <c r="CR66" s="324"/>
      <c r="CS66" s="324"/>
      <c r="CT66" s="324"/>
      <c r="CU66" s="324"/>
      <c r="CV66" s="324"/>
      <c r="CW66" s="324"/>
      <c r="CX66" s="324"/>
      <c r="CY66" s="324"/>
      <c r="CZ66" s="324"/>
      <c r="DA66" s="324"/>
      <c r="DB66" s="324"/>
      <c r="DC66" s="324"/>
      <c r="DD66" s="324"/>
      <c r="DE66" s="324"/>
      <c r="DF66" s="324"/>
      <c r="DG66" s="324"/>
      <c r="DH66" s="324"/>
      <c r="DI66" s="324"/>
      <c r="DJ66" s="324"/>
      <c r="DK66" s="324"/>
      <c r="DL66" s="324"/>
      <c r="DM66" s="324"/>
      <c r="DN66" s="324"/>
      <c r="DO66" s="324">
        <v>4481.62</v>
      </c>
    </row>
    <row r="67" spans="1:119" x14ac:dyDescent="0.3">
      <c r="A67" s="348" t="s">
        <v>369</v>
      </c>
      <c r="B67" s="323" t="s">
        <v>72</v>
      </c>
      <c r="C67" s="323" t="s">
        <v>338</v>
      </c>
      <c r="D67" s="324">
        <v>1693169.23876908</v>
      </c>
      <c r="E67" s="323" t="s">
        <v>359</v>
      </c>
      <c r="F67" s="324"/>
      <c r="G67" s="324"/>
      <c r="H67" s="324"/>
      <c r="I67" s="324"/>
      <c r="J67" s="324"/>
      <c r="K67" s="324"/>
      <c r="L67" s="324"/>
      <c r="M67" s="324"/>
      <c r="N67" s="324"/>
      <c r="O67" s="324"/>
      <c r="P67" s="324"/>
      <c r="Q67" s="324"/>
      <c r="R67" s="324"/>
      <c r="S67" s="324"/>
      <c r="T67" s="324">
        <v>9758.7199339929703</v>
      </c>
      <c r="U67" s="324"/>
      <c r="V67" s="324"/>
      <c r="W67" s="324">
        <v>81483.441055797695</v>
      </c>
      <c r="X67" s="324"/>
      <c r="Y67" s="324"/>
      <c r="Z67" s="324"/>
      <c r="AA67" s="324"/>
      <c r="AB67" s="324"/>
      <c r="AC67" s="324"/>
      <c r="AD67" s="324"/>
      <c r="AE67" s="324"/>
      <c r="AF67" s="324"/>
      <c r="AG67" s="324"/>
      <c r="AH67" s="324"/>
      <c r="AI67" s="324"/>
      <c r="AJ67" s="324"/>
      <c r="AK67" s="324"/>
      <c r="AL67" s="324"/>
      <c r="AM67" s="324"/>
      <c r="AN67" s="324">
        <v>15619.4023439555</v>
      </c>
      <c r="AO67" s="324"/>
      <c r="AP67" s="324"/>
      <c r="AQ67" s="324"/>
      <c r="AR67" s="324"/>
      <c r="AS67" s="324"/>
      <c r="AT67" s="324"/>
      <c r="AU67" s="324"/>
      <c r="AV67" s="324"/>
      <c r="AW67" s="324"/>
      <c r="AX67" s="324"/>
      <c r="AY67" s="324"/>
      <c r="AZ67" s="324"/>
      <c r="BA67" s="324"/>
      <c r="BB67" s="324"/>
      <c r="BC67" s="324"/>
      <c r="BD67" s="324"/>
      <c r="BE67" s="324"/>
      <c r="BF67" s="324"/>
      <c r="BG67" s="324"/>
      <c r="BH67" s="324"/>
      <c r="BI67" s="324"/>
      <c r="BJ67" s="324"/>
      <c r="BK67" s="324">
        <v>4835.9567270371099</v>
      </c>
      <c r="BL67" s="324"/>
      <c r="BM67" s="324"/>
      <c r="BN67" s="324"/>
      <c r="BO67" s="324">
        <v>50912.336369295903</v>
      </c>
      <c r="BP67" s="324">
        <v>82138.3210862001</v>
      </c>
      <c r="BQ67" s="324"/>
      <c r="BR67" s="324">
        <v>1167903.87820366</v>
      </c>
      <c r="BS67" s="324">
        <v>118953.962716453</v>
      </c>
      <c r="BT67" s="324"/>
      <c r="BU67" s="324">
        <v>1109.2076916446099</v>
      </c>
      <c r="BV67" s="324"/>
      <c r="BW67" s="324"/>
      <c r="BX67" s="324"/>
      <c r="BY67" s="324"/>
      <c r="BZ67" s="324"/>
      <c r="CA67" s="324"/>
      <c r="CB67" s="324"/>
      <c r="CC67" s="324"/>
      <c r="CD67" s="324"/>
      <c r="CE67" s="324"/>
      <c r="CF67" s="324">
        <v>35996.667933357698</v>
      </c>
      <c r="CG67" s="324"/>
      <c r="CH67" s="324"/>
      <c r="CI67" s="324">
        <v>108280.819936054</v>
      </c>
      <c r="CJ67" s="324"/>
      <c r="CK67" s="324"/>
      <c r="CL67" s="324"/>
      <c r="CM67" s="324"/>
      <c r="CN67" s="324"/>
      <c r="CO67" s="324"/>
      <c r="CP67" s="324"/>
      <c r="CQ67" s="324">
        <v>10527.5136651054</v>
      </c>
      <c r="CR67" s="324"/>
      <c r="CS67" s="324"/>
      <c r="CT67" s="324"/>
      <c r="CU67" s="324"/>
      <c r="CV67" s="324"/>
      <c r="CW67" s="324"/>
      <c r="CX67" s="324"/>
      <c r="CY67" s="324"/>
      <c r="CZ67" s="324"/>
      <c r="DA67" s="324"/>
      <c r="DB67" s="324"/>
      <c r="DC67" s="324"/>
      <c r="DD67" s="324"/>
      <c r="DE67" s="324"/>
      <c r="DF67" s="324"/>
      <c r="DG67" s="324"/>
      <c r="DH67" s="324">
        <v>2786.85405637445</v>
      </c>
      <c r="DI67" s="324"/>
      <c r="DJ67" s="324"/>
      <c r="DK67" s="324">
        <v>2862.15705015088</v>
      </c>
      <c r="DL67" s="324"/>
      <c r="DM67" s="324"/>
      <c r="DN67" s="324"/>
      <c r="DO67" s="324"/>
    </row>
    <row r="68" spans="1:119" x14ac:dyDescent="0.3">
      <c r="A68" s="348" t="s">
        <v>370</v>
      </c>
      <c r="B68" s="323" t="s">
        <v>73</v>
      </c>
      <c r="C68" s="323" t="s">
        <v>338</v>
      </c>
      <c r="D68" s="324">
        <v>2456874.82944779</v>
      </c>
      <c r="E68" s="323" t="s">
        <v>359</v>
      </c>
      <c r="F68" s="324"/>
      <c r="G68" s="324"/>
      <c r="H68" s="324"/>
      <c r="I68" s="324"/>
      <c r="J68" s="324"/>
      <c r="K68" s="324"/>
      <c r="L68" s="324"/>
      <c r="M68" s="324"/>
      <c r="N68" s="324"/>
      <c r="O68" s="324"/>
      <c r="P68" s="324"/>
      <c r="Q68" s="324"/>
      <c r="R68" s="324"/>
      <c r="S68" s="324"/>
      <c r="T68" s="324">
        <v>133458.30325833999</v>
      </c>
      <c r="U68" s="324"/>
      <c r="V68" s="324"/>
      <c r="W68" s="324">
        <v>118766.05310860999</v>
      </c>
      <c r="X68" s="324"/>
      <c r="Y68" s="324"/>
      <c r="Z68" s="324"/>
      <c r="AA68" s="324"/>
      <c r="AB68" s="324"/>
      <c r="AC68" s="324"/>
      <c r="AD68" s="324"/>
      <c r="AE68" s="324"/>
      <c r="AF68" s="324"/>
      <c r="AG68" s="324"/>
      <c r="AH68" s="324"/>
      <c r="AI68" s="324"/>
      <c r="AJ68" s="324"/>
      <c r="AK68" s="324"/>
      <c r="AL68" s="324"/>
      <c r="AM68" s="324"/>
      <c r="AN68" s="324"/>
      <c r="AO68" s="324"/>
      <c r="AP68" s="324"/>
      <c r="AQ68" s="324"/>
      <c r="AR68" s="324"/>
      <c r="AS68" s="324"/>
      <c r="AT68" s="324"/>
      <c r="AU68" s="324"/>
      <c r="AV68" s="324"/>
      <c r="AW68" s="324"/>
      <c r="AX68" s="324"/>
      <c r="AY68" s="324"/>
      <c r="AZ68" s="324"/>
      <c r="BA68" s="324"/>
      <c r="BB68" s="324"/>
      <c r="BC68" s="324"/>
      <c r="BD68" s="324"/>
      <c r="BE68" s="324"/>
      <c r="BF68" s="324"/>
      <c r="BG68" s="324"/>
      <c r="BH68" s="324"/>
      <c r="BI68" s="324"/>
      <c r="BJ68" s="324"/>
      <c r="BK68" s="324"/>
      <c r="BL68" s="324"/>
      <c r="BM68" s="324"/>
      <c r="BN68" s="324"/>
      <c r="BO68" s="324">
        <v>33194.418137467801</v>
      </c>
      <c r="BP68" s="324">
        <v>1370015.0723119001</v>
      </c>
      <c r="BQ68" s="324">
        <v>242008.163914912</v>
      </c>
      <c r="BR68" s="324"/>
      <c r="BS68" s="324">
        <v>368129.70527453301</v>
      </c>
      <c r="BT68" s="324"/>
      <c r="BU68" s="324">
        <v>12.5042931465516</v>
      </c>
      <c r="BV68" s="324">
        <v>6609.4120917487198</v>
      </c>
      <c r="BW68" s="324"/>
      <c r="BX68" s="324"/>
      <c r="BY68" s="324"/>
      <c r="BZ68" s="324"/>
      <c r="CA68" s="324">
        <v>112998.857197479</v>
      </c>
      <c r="CB68" s="324">
        <v>300.03351315766901</v>
      </c>
      <c r="CC68" s="324"/>
      <c r="CD68" s="324">
        <v>11987.1880021012</v>
      </c>
      <c r="CE68" s="324">
        <v>1074.17658720128</v>
      </c>
      <c r="CF68" s="324">
        <v>802.44812245470803</v>
      </c>
      <c r="CG68" s="324">
        <v>6297.8732714699299</v>
      </c>
      <c r="CH68" s="324"/>
      <c r="CI68" s="324">
        <v>13204.305083778499</v>
      </c>
      <c r="CJ68" s="324"/>
      <c r="CK68" s="324"/>
      <c r="CL68" s="324"/>
      <c r="CM68" s="324"/>
      <c r="CN68" s="324"/>
      <c r="CO68" s="324"/>
      <c r="CP68" s="324"/>
      <c r="CQ68" s="324">
        <v>5420.4167707258002</v>
      </c>
      <c r="CR68" s="324"/>
      <c r="CS68" s="324"/>
      <c r="CT68" s="324"/>
      <c r="CU68" s="324"/>
      <c r="CV68" s="324"/>
      <c r="CW68" s="324"/>
      <c r="CX68" s="324"/>
      <c r="CY68" s="324"/>
      <c r="CZ68" s="324"/>
      <c r="DA68" s="324"/>
      <c r="DB68" s="324"/>
      <c r="DC68" s="324"/>
      <c r="DD68" s="324"/>
      <c r="DE68" s="324"/>
      <c r="DF68" s="324"/>
      <c r="DG68" s="324"/>
      <c r="DH68" s="324">
        <v>703.38045301585498</v>
      </c>
      <c r="DI68" s="324"/>
      <c r="DJ68" s="324">
        <v>4827.9878236984196</v>
      </c>
      <c r="DK68" s="324"/>
      <c r="DL68" s="324">
        <v>1563.0366433189499</v>
      </c>
      <c r="DM68" s="324">
        <v>19401.755656146201</v>
      </c>
      <c r="DN68" s="324">
        <v>6099.7379325922302</v>
      </c>
      <c r="DO68" s="324"/>
    </row>
    <row r="69" spans="1:119" x14ac:dyDescent="0.3">
      <c r="A69" s="348" t="s">
        <v>371</v>
      </c>
      <c r="B69" s="323" t="s">
        <v>44</v>
      </c>
      <c r="C69" s="323" t="s">
        <v>357</v>
      </c>
      <c r="D69" s="324">
        <v>1584088.78948973</v>
      </c>
      <c r="E69" s="323" t="s">
        <v>372</v>
      </c>
      <c r="F69" s="324"/>
      <c r="G69" s="324">
        <v>119960.833267522</v>
      </c>
      <c r="H69" s="324"/>
      <c r="I69" s="324"/>
      <c r="J69" s="324"/>
      <c r="K69" s="324"/>
      <c r="L69" s="324"/>
      <c r="M69" s="324"/>
      <c r="N69" s="324"/>
      <c r="O69" s="324"/>
      <c r="P69" s="324"/>
      <c r="Q69" s="324"/>
      <c r="R69" s="324"/>
      <c r="S69" s="324"/>
      <c r="T69" s="324"/>
      <c r="U69" s="324"/>
      <c r="V69" s="324"/>
      <c r="W69" s="324"/>
      <c r="X69" s="324"/>
      <c r="Y69" s="324"/>
      <c r="Z69" s="324"/>
      <c r="AA69" s="324"/>
      <c r="AB69" s="324"/>
      <c r="AC69" s="324"/>
      <c r="AD69" s="324"/>
      <c r="AE69" s="324"/>
      <c r="AF69" s="324"/>
      <c r="AG69" s="324"/>
      <c r="AH69" s="324"/>
      <c r="AI69" s="324"/>
      <c r="AJ69" s="324"/>
      <c r="AK69" s="324"/>
      <c r="AL69" s="324"/>
      <c r="AM69" s="324"/>
      <c r="AN69" s="324"/>
      <c r="AO69" s="324"/>
      <c r="AP69" s="324"/>
      <c r="AQ69" s="324"/>
      <c r="AR69" s="324"/>
      <c r="AS69" s="324"/>
      <c r="AT69" s="324"/>
      <c r="AU69" s="324"/>
      <c r="AV69" s="324"/>
      <c r="AW69" s="324"/>
      <c r="AX69" s="324"/>
      <c r="AY69" s="324"/>
      <c r="AZ69" s="324"/>
      <c r="BA69" s="324"/>
      <c r="BB69" s="324"/>
      <c r="BC69" s="324"/>
      <c r="BD69" s="324"/>
      <c r="BE69" s="324"/>
      <c r="BF69" s="324"/>
      <c r="BG69" s="324"/>
      <c r="BH69" s="324"/>
      <c r="BI69" s="324"/>
      <c r="BJ69" s="324"/>
      <c r="BK69" s="324"/>
      <c r="BL69" s="324"/>
      <c r="BM69" s="324"/>
      <c r="BN69" s="324"/>
      <c r="BO69" s="324"/>
      <c r="BP69" s="324">
        <v>359478.04879227001</v>
      </c>
      <c r="BQ69" s="324"/>
      <c r="BR69" s="324"/>
      <c r="BS69" s="324"/>
      <c r="BT69" s="324">
        <v>31835.336936523701</v>
      </c>
      <c r="BU69" s="324"/>
      <c r="BV69" s="324"/>
      <c r="BW69" s="324"/>
      <c r="BX69" s="324"/>
      <c r="BY69" s="324"/>
      <c r="BZ69" s="324"/>
      <c r="CA69" s="324"/>
      <c r="CB69" s="324"/>
      <c r="CC69" s="324"/>
      <c r="CD69" s="324"/>
      <c r="CE69" s="324"/>
      <c r="CF69" s="324"/>
      <c r="CG69" s="324">
        <v>343823.82051114598</v>
      </c>
      <c r="CH69" s="324"/>
      <c r="CI69" s="324"/>
      <c r="CJ69" s="324"/>
      <c r="CK69" s="324"/>
      <c r="CL69" s="324"/>
      <c r="CM69" s="324"/>
      <c r="CN69" s="324"/>
      <c r="CO69" s="324"/>
      <c r="CP69" s="324"/>
      <c r="CQ69" s="324">
        <v>20861.982477281399</v>
      </c>
      <c r="CR69" s="324"/>
      <c r="CS69" s="324"/>
      <c r="CT69" s="324"/>
      <c r="CU69" s="324"/>
      <c r="CV69" s="324"/>
      <c r="CW69" s="324"/>
      <c r="CX69" s="324"/>
      <c r="CY69" s="324"/>
      <c r="CZ69" s="324"/>
      <c r="DA69" s="324">
        <v>61412.014429486997</v>
      </c>
      <c r="DB69" s="324"/>
      <c r="DC69" s="324"/>
      <c r="DD69" s="324">
        <v>529924.11728696094</v>
      </c>
      <c r="DE69" s="324">
        <v>92199.288634670098</v>
      </c>
      <c r="DF69" s="324">
        <v>7643.9056141376996</v>
      </c>
      <c r="DG69" s="324"/>
      <c r="DH69" s="324">
        <v>16949.441539731</v>
      </c>
      <c r="DI69" s="324"/>
      <c r="DJ69" s="324"/>
      <c r="DK69" s="324"/>
      <c r="DL69" s="324"/>
      <c r="DM69" s="324"/>
      <c r="DN69" s="324"/>
      <c r="DO69" s="324"/>
    </row>
    <row r="70" spans="1:119" x14ac:dyDescent="0.3">
      <c r="A70" s="348" t="s">
        <v>373</v>
      </c>
      <c r="B70" s="323" t="s">
        <v>45</v>
      </c>
      <c r="C70" s="323" t="s">
        <v>357</v>
      </c>
      <c r="D70" s="324">
        <v>1405794.0094423101</v>
      </c>
      <c r="E70" s="323" t="s">
        <v>372</v>
      </c>
      <c r="F70" s="324"/>
      <c r="G70" s="324">
        <v>5220.7037545012399</v>
      </c>
      <c r="H70" s="324"/>
      <c r="I70" s="324"/>
      <c r="J70" s="324"/>
      <c r="K70" s="324"/>
      <c r="L70" s="324"/>
      <c r="M70" s="324"/>
      <c r="N70" s="324"/>
      <c r="O70" s="324"/>
      <c r="P70" s="324"/>
      <c r="Q70" s="324"/>
      <c r="R70" s="324"/>
      <c r="S70" s="324"/>
      <c r="T70" s="324"/>
      <c r="U70" s="324"/>
      <c r="V70" s="324"/>
      <c r="W70" s="324"/>
      <c r="X70" s="324"/>
      <c r="Y70" s="324"/>
      <c r="Z70" s="324"/>
      <c r="AA70" s="324"/>
      <c r="AB70" s="324"/>
      <c r="AC70" s="324"/>
      <c r="AD70" s="324"/>
      <c r="AE70" s="324"/>
      <c r="AF70" s="324"/>
      <c r="AG70" s="324"/>
      <c r="AH70" s="324"/>
      <c r="AI70" s="324"/>
      <c r="AJ70" s="324"/>
      <c r="AK70" s="324"/>
      <c r="AL70" s="324"/>
      <c r="AM70" s="324"/>
      <c r="AN70" s="324"/>
      <c r="AO70" s="324"/>
      <c r="AP70" s="324"/>
      <c r="AQ70" s="324"/>
      <c r="AR70" s="324"/>
      <c r="AS70" s="324"/>
      <c r="AT70" s="324"/>
      <c r="AU70" s="324"/>
      <c r="AV70" s="324"/>
      <c r="AW70" s="324"/>
      <c r="AX70" s="324"/>
      <c r="AY70" s="324"/>
      <c r="AZ70" s="324"/>
      <c r="BA70" s="324"/>
      <c r="BB70" s="324"/>
      <c r="BC70" s="324"/>
      <c r="BD70" s="324"/>
      <c r="BE70" s="324"/>
      <c r="BF70" s="324"/>
      <c r="BG70" s="324"/>
      <c r="BH70" s="324"/>
      <c r="BI70" s="324"/>
      <c r="BJ70" s="324"/>
      <c r="BK70" s="324"/>
      <c r="BL70" s="324"/>
      <c r="BM70" s="324"/>
      <c r="BN70" s="324"/>
      <c r="BO70" s="324"/>
      <c r="BP70" s="324">
        <v>731585.02998749504</v>
      </c>
      <c r="BQ70" s="324"/>
      <c r="BR70" s="324"/>
      <c r="BS70" s="324"/>
      <c r="BT70" s="324">
        <v>1564.19288820877</v>
      </c>
      <c r="BU70" s="324"/>
      <c r="BV70" s="324"/>
      <c r="BW70" s="324"/>
      <c r="BX70" s="324"/>
      <c r="BY70" s="324"/>
      <c r="BZ70" s="324"/>
      <c r="CA70" s="324"/>
      <c r="CB70" s="324"/>
      <c r="CC70" s="324"/>
      <c r="CD70" s="324"/>
      <c r="CE70" s="324"/>
      <c r="CF70" s="324"/>
      <c r="CG70" s="324">
        <v>32318.350764806801</v>
      </c>
      <c r="CH70" s="324"/>
      <c r="CI70" s="324"/>
      <c r="CJ70" s="324"/>
      <c r="CK70" s="324"/>
      <c r="CL70" s="324"/>
      <c r="CM70" s="324"/>
      <c r="CN70" s="324"/>
      <c r="CO70" s="324">
        <v>153944.64480295699</v>
      </c>
      <c r="CP70" s="324"/>
      <c r="CQ70" s="324"/>
      <c r="CR70" s="324"/>
      <c r="CS70" s="324"/>
      <c r="CT70" s="324"/>
      <c r="CU70" s="324"/>
      <c r="CV70" s="324"/>
      <c r="CW70" s="324"/>
      <c r="CX70" s="324"/>
      <c r="CY70" s="324"/>
      <c r="CZ70" s="324"/>
      <c r="DA70" s="324"/>
      <c r="DB70" s="324"/>
      <c r="DC70" s="324"/>
      <c r="DD70" s="324">
        <v>230255.68080638899</v>
      </c>
      <c r="DE70" s="324">
        <v>198549.25038975099</v>
      </c>
      <c r="DF70" s="324">
        <v>31915.779251363499</v>
      </c>
      <c r="DG70" s="324"/>
      <c r="DH70" s="324">
        <v>20440.376796837099</v>
      </c>
      <c r="DI70" s="324"/>
      <c r="DJ70" s="324"/>
      <c r="DK70" s="324"/>
      <c r="DL70" s="324"/>
      <c r="DM70" s="324"/>
      <c r="DN70" s="324"/>
      <c r="DO70" s="324"/>
    </row>
    <row r="71" spans="1:119" x14ac:dyDescent="0.3">
      <c r="A71" s="348" t="s">
        <v>374</v>
      </c>
      <c r="B71" s="323" t="s">
        <v>46</v>
      </c>
      <c r="C71" s="323" t="s">
        <v>357</v>
      </c>
      <c r="D71" s="324">
        <v>1697387.01658091</v>
      </c>
      <c r="E71" s="323" t="s">
        <v>372</v>
      </c>
      <c r="F71" s="324"/>
      <c r="G71" s="324">
        <v>77122.118575500004</v>
      </c>
      <c r="H71" s="324"/>
      <c r="I71" s="324"/>
      <c r="J71" s="324"/>
      <c r="K71" s="324"/>
      <c r="L71" s="324"/>
      <c r="M71" s="324"/>
      <c r="N71" s="324"/>
      <c r="O71" s="324"/>
      <c r="P71" s="324"/>
      <c r="Q71" s="324"/>
      <c r="R71" s="324"/>
      <c r="S71" s="324"/>
      <c r="T71" s="324"/>
      <c r="U71" s="324"/>
      <c r="V71" s="324"/>
      <c r="W71" s="324"/>
      <c r="X71" s="324"/>
      <c r="Y71" s="324"/>
      <c r="Z71" s="324"/>
      <c r="AA71" s="324"/>
      <c r="AB71" s="324"/>
      <c r="AC71" s="324"/>
      <c r="AD71" s="324"/>
      <c r="AE71" s="324"/>
      <c r="AF71" s="324"/>
      <c r="AG71" s="324"/>
      <c r="AH71" s="324"/>
      <c r="AI71" s="324"/>
      <c r="AJ71" s="324"/>
      <c r="AK71" s="324"/>
      <c r="AL71" s="324"/>
      <c r="AM71" s="324"/>
      <c r="AN71" s="324"/>
      <c r="AO71" s="324"/>
      <c r="AP71" s="324"/>
      <c r="AQ71" s="324"/>
      <c r="AR71" s="324"/>
      <c r="AS71" s="324"/>
      <c r="AT71" s="324"/>
      <c r="AU71" s="324"/>
      <c r="AV71" s="324"/>
      <c r="AW71" s="324"/>
      <c r="AX71" s="324"/>
      <c r="AY71" s="324"/>
      <c r="AZ71" s="324"/>
      <c r="BA71" s="324"/>
      <c r="BB71" s="324"/>
      <c r="BC71" s="324"/>
      <c r="BD71" s="324"/>
      <c r="BE71" s="324"/>
      <c r="BF71" s="324"/>
      <c r="BG71" s="324"/>
      <c r="BH71" s="324"/>
      <c r="BI71" s="324"/>
      <c r="BJ71" s="324"/>
      <c r="BK71" s="324"/>
      <c r="BL71" s="324"/>
      <c r="BM71" s="324"/>
      <c r="BN71" s="324"/>
      <c r="BO71" s="324"/>
      <c r="BP71" s="324">
        <v>97607.783338606198</v>
      </c>
      <c r="BQ71" s="324"/>
      <c r="BR71" s="324"/>
      <c r="BS71" s="324"/>
      <c r="BT71" s="324">
        <v>15493.6796243151</v>
      </c>
      <c r="BU71" s="324"/>
      <c r="BV71" s="324"/>
      <c r="BW71" s="324"/>
      <c r="BX71" s="324"/>
      <c r="BY71" s="324"/>
      <c r="BZ71" s="324"/>
      <c r="CA71" s="324"/>
      <c r="CB71" s="324"/>
      <c r="CC71" s="324"/>
      <c r="CD71" s="324"/>
      <c r="CE71" s="324"/>
      <c r="CF71" s="324"/>
      <c r="CG71" s="324">
        <v>3926.09923963344</v>
      </c>
      <c r="CH71" s="324"/>
      <c r="CI71" s="324"/>
      <c r="CJ71" s="324"/>
      <c r="CK71" s="324"/>
      <c r="CL71" s="324"/>
      <c r="CM71" s="324"/>
      <c r="CN71" s="324"/>
      <c r="CO71" s="324"/>
      <c r="CP71" s="324"/>
      <c r="CQ71" s="324">
        <v>255556.89487830299</v>
      </c>
      <c r="CR71" s="324"/>
      <c r="CS71" s="324"/>
      <c r="CT71" s="324"/>
      <c r="CU71" s="324"/>
      <c r="CV71" s="324"/>
      <c r="CW71" s="324"/>
      <c r="CX71" s="324"/>
      <c r="CY71" s="324"/>
      <c r="CZ71" s="324"/>
      <c r="DA71" s="324">
        <v>640.627269383672</v>
      </c>
      <c r="DB71" s="324"/>
      <c r="DC71" s="324"/>
      <c r="DD71" s="324">
        <v>1082233.17854237</v>
      </c>
      <c r="DE71" s="324">
        <v>126872.67166105</v>
      </c>
      <c r="DF71" s="324">
        <v>11415.6220363784</v>
      </c>
      <c r="DG71" s="324"/>
      <c r="DH71" s="324">
        <v>26518.3414153761</v>
      </c>
      <c r="DI71" s="324"/>
      <c r="DJ71" s="324"/>
      <c r="DK71" s="324"/>
      <c r="DL71" s="324"/>
      <c r="DM71" s="324"/>
      <c r="DN71" s="324"/>
      <c r="DO71" s="324"/>
    </row>
    <row r="72" spans="1:119" x14ac:dyDescent="0.3">
      <c r="A72" s="348" t="s">
        <v>375</v>
      </c>
      <c r="B72" s="323" t="s">
        <v>47</v>
      </c>
      <c r="C72" s="323" t="s">
        <v>357</v>
      </c>
      <c r="D72" s="324">
        <v>443952.91594632599</v>
      </c>
      <c r="E72" s="323" t="s">
        <v>372</v>
      </c>
      <c r="F72" s="324"/>
      <c r="G72" s="324"/>
      <c r="H72" s="324"/>
      <c r="I72" s="324"/>
      <c r="J72" s="324"/>
      <c r="K72" s="324"/>
      <c r="L72" s="324"/>
      <c r="M72" s="324"/>
      <c r="N72" s="324"/>
      <c r="O72" s="324"/>
      <c r="P72" s="324"/>
      <c r="Q72" s="324"/>
      <c r="R72" s="324"/>
      <c r="S72" s="324"/>
      <c r="T72" s="324"/>
      <c r="U72" s="324"/>
      <c r="V72" s="324"/>
      <c r="W72" s="324"/>
      <c r="X72" s="324"/>
      <c r="Y72" s="324"/>
      <c r="Z72" s="324"/>
      <c r="AA72" s="324"/>
      <c r="AB72" s="324"/>
      <c r="AC72" s="324"/>
      <c r="AD72" s="324"/>
      <c r="AE72" s="324"/>
      <c r="AF72" s="324"/>
      <c r="AG72" s="324"/>
      <c r="AH72" s="324"/>
      <c r="AI72" s="324"/>
      <c r="AJ72" s="324"/>
      <c r="AK72" s="324"/>
      <c r="AL72" s="324"/>
      <c r="AM72" s="324"/>
      <c r="AN72" s="324"/>
      <c r="AO72" s="324"/>
      <c r="AP72" s="324"/>
      <c r="AQ72" s="324"/>
      <c r="AR72" s="324"/>
      <c r="AS72" s="324"/>
      <c r="AT72" s="324"/>
      <c r="AU72" s="324"/>
      <c r="AV72" s="324"/>
      <c r="AW72" s="324"/>
      <c r="AX72" s="324"/>
      <c r="AY72" s="324"/>
      <c r="AZ72" s="324"/>
      <c r="BA72" s="324"/>
      <c r="BB72" s="324"/>
      <c r="BC72" s="324"/>
      <c r="BD72" s="324"/>
      <c r="BE72" s="324"/>
      <c r="BF72" s="324"/>
      <c r="BG72" s="324"/>
      <c r="BH72" s="324"/>
      <c r="BI72" s="324"/>
      <c r="BJ72" s="324"/>
      <c r="BK72" s="324"/>
      <c r="BL72" s="324"/>
      <c r="BM72" s="324"/>
      <c r="BN72" s="324"/>
      <c r="BO72" s="324"/>
      <c r="BP72" s="324">
        <v>154082.697862909</v>
      </c>
      <c r="BQ72" s="324"/>
      <c r="BR72" s="324"/>
      <c r="BS72" s="324"/>
      <c r="BT72" s="324">
        <v>149.059396210611</v>
      </c>
      <c r="BU72" s="324"/>
      <c r="BV72" s="324"/>
      <c r="BW72" s="324"/>
      <c r="BX72" s="324"/>
      <c r="BY72" s="324"/>
      <c r="BZ72" s="324"/>
      <c r="CA72" s="324"/>
      <c r="CB72" s="324"/>
      <c r="CC72" s="324"/>
      <c r="CD72" s="324"/>
      <c r="CE72" s="324"/>
      <c r="CF72" s="324"/>
      <c r="CG72" s="324">
        <v>170065.591621592</v>
      </c>
      <c r="CH72" s="324"/>
      <c r="CI72" s="324"/>
      <c r="CJ72" s="324"/>
      <c r="CK72" s="324"/>
      <c r="CL72" s="324"/>
      <c r="CM72" s="324"/>
      <c r="CN72" s="324"/>
      <c r="CO72" s="324"/>
      <c r="CP72" s="324"/>
      <c r="CQ72" s="324"/>
      <c r="CR72" s="324"/>
      <c r="CS72" s="324"/>
      <c r="CT72" s="324"/>
      <c r="CU72" s="324"/>
      <c r="CV72" s="324"/>
      <c r="CW72" s="324"/>
      <c r="CX72" s="324"/>
      <c r="CY72" s="324"/>
      <c r="CZ72" s="324"/>
      <c r="DA72" s="324">
        <v>78235.687343591897</v>
      </c>
      <c r="DB72" s="324"/>
      <c r="DC72" s="324"/>
      <c r="DD72" s="324">
        <v>34283.661128440603</v>
      </c>
      <c r="DE72" s="324"/>
      <c r="DF72" s="324">
        <v>7136.2185935830203</v>
      </c>
      <c r="DG72" s="324"/>
      <c r="DH72" s="324"/>
      <c r="DI72" s="324"/>
      <c r="DJ72" s="324"/>
      <c r="DK72" s="324"/>
      <c r="DL72" s="324"/>
      <c r="DM72" s="324"/>
      <c r="DN72" s="324"/>
      <c r="DO72" s="324"/>
    </row>
    <row r="73" spans="1:119" x14ac:dyDescent="0.3">
      <c r="A73" s="348" t="s">
        <v>376</v>
      </c>
      <c r="B73" s="323" t="s">
        <v>48</v>
      </c>
      <c r="C73" s="323" t="s">
        <v>357</v>
      </c>
      <c r="D73" s="324">
        <v>2408621.6220309502</v>
      </c>
      <c r="E73" s="323" t="s">
        <v>348</v>
      </c>
      <c r="F73" s="324"/>
      <c r="G73" s="324">
        <v>23300.5696839706</v>
      </c>
      <c r="H73" s="324"/>
      <c r="I73" s="324"/>
      <c r="J73" s="324"/>
      <c r="K73" s="324"/>
      <c r="L73" s="324"/>
      <c r="M73" s="324"/>
      <c r="N73" s="324"/>
      <c r="O73" s="324"/>
      <c r="P73" s="324"/>
      <c r="Q73" s="324"/>
      <c r="R73" s="324"/>
      <c r="S73" s="324"/>
      <c r="T73" s="324"/>
      <c r="U73" s="324"/>
      <c r="V73" s="324"/>
      <c r="W73" s="324"/>
      <c r="X73" s="324"/>
      <c r="Y73" s="324"/>
      <c r="Z73" s="324"/>
      <c r="AA73" s="324"/>
      <c r="AB73" s="324"/>
      <c r="AC73" s="324"/>
      <c r="AD73" s="324"/>
      <c r="AE73" s="324"/>
      <c r="AF73" s="324"/>
      <c r="AG73" s="324"/>
      <c r="AH73" s="324"/>
      <c r="AI73" s="324"/>
      <c r="AJ73" s="324"/>
      <c r="AK73" s="324"/>
      <c r="AL73" s="324"/>
      <c r="AM73" s="324"/>
      <c r="AN73" s="324"/>
      <c r="AO73" s="324"/>
      <c r="AP73" s="324"/>
      <c r="AQ73" s="324"/>
      <c r="AR73" s="324"/>
      <c r="AS73" s="324"/>
      <c r="AT73" s="324"/>
      <c r="AU73" s="324"/>
      <c r="AV73" s="324"/>
      <c r="AW73" s="324"/>
      <c r="AX73" s="324"/>
      <c r="AY73" s="324"/>
      <c r="AZ73" s="324"/>
      <c r="BA73" s="324"/>
      <c r="BB73" s="324"/>
      <c r="BC73" s="324"/>
      <c r="BD73" s="324"/>
      <c r="BE73" s="324"/>
      <c r="BF73" s="324"/>
      <c r="BG73" s="324"/>
      <c r="BH73" s="324"/>
      <c r="BI73" s="324"/>
      <c r="BJ73" s="324"/>
      <c r="BK73" s="324"/>
      <c r="BL73" s="324"/>
      <c r="BM73" s="324"/>
      <c r="BN73" s="324"/>
      <c r="BO73" s="324"/>
      <c r="BP73" s="324"/>
      <c r="BQ73" s="324"/>
      <c r="BR73" s="324"/>
      <c r="BS73" s="324"/>
      <c r="BT73" s="324"/>
      <c r="BU73" s="324"/>
      <c r="BV73" s="324"/>
      <c r="BW73" s="324"/>
      <c r="BX73" s="324"/>
      <c r="BY73" s="324"/>
      <c r="BZ73" s="324"/>
      <c r="CA73" s="324"/>
      <c r="CB73" s="324"/>
      <c r="CC73" s="324"/>
      <c r="CD73" s="324"/>
      <c r="CE73" s="324"/>
      <c r="CF73" s="324"/>
      <c r="CG73" s="324"/>
      <c r="CH73" s="324"/>
      <c r="CI73" s="324"/>
      <c r="CJ73" s="324"/>
      <c r="CK73" s="324"/>
      <c r="CL73" s="324"/>
      <c r="CM73" s="324"/>
      <c r="CN73" s="324"/>
      <c r="CO73" s="324"/>
      <c r="CP73" s="324"/>
      <c r="CQ73" s="324"/>
      <c r="CR73" s="324"/>
      <c r="CS73" s="324"/>
      <c r="CT73" s="324"/>
      <c r="CU73" s="324"/>
      <c r="CV73" s="324"/>
      <c r="CW73" s="324"/>
      <c r="CX73" s="324"/>
      <c r="CY73" s="324"/>
      <c r="CZ73" s="324"/>
      <c r="DA73" s="324"/>
      <c r="DB73" s="324"/>
      <c r="DC73" s="324"/>
      <c r="DD73" s="324"/>
      <c r="DE73" s="324"/>
      <c r="DF73" s="324"/>
      <c r="DG73" s="324"/>
      <c r="DH73" s="324"/>
      <c r="DI73" s="324"/>
      <c r="DJ73" s="324"/>
      <c r="DK73" s="324"/>
      <c r="DL73" s="324"/>
      <c r="DM73" s="324"/>
      <c r="DN73" s="324"/>
      <c r="DO73" s="324">
        <v>2385321.0499999998</v>
      </c>
    </row>
    <row r="74" spans="1:119" x14ac:dyDescent="0.3">
      <c r="A74" s="348" t="s">
        <v>377</v>
      </c>
      <c r="B74" s="323" t="s">
        <v>49</v>
      </c>
      <c r="C74" s="323" t="s">
        <v>357</v>
      </c>
      <c r="D74" s="324">
        <v>3309818.9429977601</v>
      </c>
      <c r="E74" s="323" t="s">
        <v>372</v>
      </c>
      <c r="F74" s="324"/>
      <c r="G74" s="324"/>
      <c r="H74" s="324"/>
      <c r="I74" s="324"/>
      <c r="J74" s="324"/>
      <c r="K74" s="324"/>
      <c r="L74" s="324"/>
      <c r="M74" s="324"/>
      <c r="N74" s="324"/>
      <c r="O74" s="324"/>
      <c r="P74" s="324"/>
      <c r="Q74" s="324"/>
      <c r="R74" s="324"/>
      <c r="S74" s="324"/>
      <c r="T74" s="324"/>
      <c r="U74" s="324"/>
      <c r="V74" s="324"/>
      <c r="W74" s="324"/>
      <c r="X74" s="324"/>
      <c r="Y74" s="324"/>
      <c r="Z74" s="324"/>
      <c r="AA74" s="324"/>
      <c r="AB74" s="324"/>
      <c r="AC74" s="324"/>
      <c r="AD74" s="324"/>
      <c r="AE74" s="324"/>
      <c r="AF74" s="324"/>
      <c r="AG74" s="324"/>
      <c r="AH74" s="324"/>
      <c r="AI74" s="324"/>
      <c r="AJ74" s="324"/>
      <c r="AK74" s="324"/>
      <c r="AL74" s="324"/>
      <c r="AM74" s="324"/>
      <c r="AN74" s="324"/>
      <c r="AO74" s="324"/>
      <c r="AP74" s="324"/>
      <c r="AQ74" s="324"/>
      <c r="AR74" s="324"/>
      <c r="AS74" s="324"/>
      <c r="AT74" s="324"/>
      <c r="AU74" s="324"/>
      <c r="AV74" s="324"/>
      <c r="AW74" s="324"/>
      <c r="AX74" s="324"/>
      <c r="AY74" s="324"/>
      <c r="AZ74" s="324"/>
      <c r="BA74" s="324"/>
      <c r="BB74" s="324"/>
      <c r="BC74" s="324"/>
      <c r="BD74" s="324"/>
      <c r="BE74" s="324"/>
      <c r="BF74" s="324"/>
      <c r="BG74" s="324"/>
      <c r="BH74" s="324"/>
      <c r="BI74" s="324"/>
      <c r="BJ74" s="324"/>
      <c r="BK74" s="324"/>
      <c r="BL74" s="324"/>
      <c r="BM74" s="324"/>
      <c r="BN74" s="324"/>
      <c r="BO74" s="324"/>
      <c r="BP74" s="324">
        <v>303409.19001975103</v>
      </c>
      <c r="BQ74" s="324"/>
      <c r="BR74" s="324"/>
      <c r="BS74" s="324"/>
      <c r="BT74" s="324"/>
      <c r="BU74" s="324"/>
      <c r="BV74" s="324"/>
      <c r="BW74" s="324"/>
      <c r="BX74" s="324"/>
      <c r="BY74" s="324"/>
      <c r="BZ74" s="324"/>
      <c r="CA74" s="324"/>
      <c r="CB74" s="324"/>
      <c r="CC74" s="324"/>
      <c r="CD74" s="324"/>
      <c r="CE74" s="324"/>
      <c r="CF74" s="324"/>
      <c r="CG74" s="324">
        <v>87137.329228937597</v>
      </c>
      <c r="CH74" s="324"/>
      <c r="CI74" s="324"/>
      <c r="CJ74" s="324"/>
      <c r="CK74" s="324"/>
      <c r="CL74" s="324"/>
      <c r="CM74" s="324"/>
      <c r="CN74" s="324"/>
      <c r="CO74" s="324"/>
      <c r="CP74" s="324"/>
      <c r="CQ74" s="324"/>
      <c r="CR74" s="324"/>
      <c r="CS74" s="324"/>
      <c r="CT74" s="324"/>
      <c r="CU74" s="324"/>
      <c r="CV74" s="324"/>
      <c r="CW74" s="324"/>
      <c r="CX74" s="324"/>
      <c r="CY74" s="324"/>
      <c r="CZ74" s="324"/>
      <c r="DA74" s="324">
        <v>20444.266575249701</v>
      </c>
      <c r="DB74" s="324"/>
      <c r="DC74" s="324"/>
      <c r="DD74" s="324"/>
      <c r="DE74" s="324">
        <v>2886042.8621066101</v>
      </c>
      <c r="DF74" s="324">
        <v>12785.295067208401</v>
      </c>
      <c r="DG74" s="324"/>
      <c r="DH74" s="324"/>
      <c r="DI74" s="324"/>
      <c r="DJ74" s="324"/>
      <c r="DK74" s="324"/>
      <c r="DL74" s="324"/>
      <c r="DM74" s="324"/>
      <c r="DN74" s="324"/>
      <c r="DO74" s="324"/>
    </row>
    <row r="75" spans="1:119" x14ac:dyDescent="0.3">
      <c r="A75" s="348" t="s">
        <v>378</v>
      </c>
      <c r="B75" s="323" t="s">
        <v>50</v>
      </c>
      <c r="C75" s="323" t="s">
        <v>357</v>
      </c>
      <c r="D75" s="324">
        <v>18533.350146744098</v>
      </c>
      <c r="E75" s="323" t="s">
        <v>339</v>
      </c>
      <c r="F75" s="324"/>
      <c r="G75" s="324"/>
      <c r="H75" s="324"/>
      <c r="I75" s="324"/>
      <c r="J75" s="324"/>
      <c r="K75" s="324"/>
      <c r="L75" s="324"/>
      <c r="M75" s="324"/>
      <c r="N75" s="324"/>
      <c r="O75" s="324"/>
      <c r="P75" s="324"/>
      <c r="Q75" s="324"/>
      <c r="R75" s="324"/>
      <c r="S75" s="324"/>
      <c r="T75" s="324"/>
      <c r="U75" s="324"/>
      <c r="V75" s="324"/>
      <c r="W75" s="324"/>
      <c r="X75" s="324"/>
      <c r="Y75" s="324"/>
      <c r="Z75" s="324"/>
      <c r="AA75" s="324"/>
      <c r="AB75" s="324"/>
      <c r="AC75" s="324"/>
      <c r="AD75" s="324"/>
      <c r="AE75" s="324"/>
      <c r="AF75" s="324"/>
      <c r="AG75" s="324"/>
      <c r="AH75" s="324"/>
      <c r="AI75" s="324"/>
      <c r="AJ75" s="324"/>
      <c r="AK75" s="324"/>
      <c r="AL75" s="324"/>
      <c r="AM75" s="324"/>
      <c r="AN75" s="324"/>
      <c r="AO75" s="324"/>
      <c r="AP75" s="324"/>
      <c r="AQ75" s="324"/>
      <c r="AR75" s="324"/>
      <c r="AS75" s="324"/>
      <c r="AT75" s="324"/>
      <c r="AU75" s="324"/>
      <c r="AV75" s="324"/>
      <c r="AW75" s="324"/>
      <c r="AX75" s="324"/>
      <c r="AY75" s="324"/>
      <c r="AZ75" s="324"/>
      <c r="BA75" s="324"/>
      <c r="BB75" s="324"/>
      <c r="BC75" s="324"/>
      <c r="BD75" s="324"/>
      <c r="BE75" s="324"/>
      <c r="BF75" s="324"/>
      <c r="BG75" s="324"/>
      <c r="BH75" s="324"/>
      <c r="BI75" s="324"/>
      <c r="BJ75" s="324"/>
      <c r="BK75" s="324"/>
      <c r="BL75" s="324"/>
      <c r="BM75" s="324">
        <v>18486.425323078998</v>
      </c>
      <c r="BN75" s="324"/>
      <c r="BO75" s="324"/>
      <c r="BP75" s="324"/>
      <c r="BQ75" s="324"/>
      <c r="BR75" s="324"/>
      <c r="BS75" s="324"/>
      <c r="BT75" s="324"/>
      <c r="BU75" s="324"/>
      <c r="BV75" s="324"/>
      <c r="BW75" s="324"/>
      <c r="BX75" s="324"/>
      <c r="BY75" s="324"/>
      <c r="BZ75" s="324"/>
      <c r="CA75" s="324"/>
      <c r="CB75" s="324"/>
      <c r="CC75" s="324"/>
      <c r="CD75" s="324"/>
      <c r="CE75" s="324"/>
      <c r="CF75" s="324"/>
      <c r="CG75" s="324">
        <v>46.924823665139598</v>
      </c>
      <c r="CH75" s="324"/>
      <c r="CI75" s="324"/>
      <c r="CJ75" s="324"/>
      <c r="CK75" s="324"/>
      <c r="CL75" s="324"/>
      <c r="CM75" s="324"/>
      <c r="CN75" s="324"/>
      <c r="CO75" s="324"/>
      <c r="CP75" s="324"/>
      <c r="CQ75" s="324"/>
      <c r="CR75" s="324"/>
      <c r="CS75" s="324"/>
      <c r="CT75" s="324"/>
      <c r="CU75" s="324"/>
      <c r="CV75" s="324"/>
      <c r="CW75" s="324"/>
      <c r="CX75" s="324"/>
      <c r="CY75" s="324"/>
      <c r="CZ75" s="324"/>
      <c r="DA75" s="324"/>
      <c r="DB75" s="324"/>
      <c r="DC75" s="324"/>
      <c r="DD75" s="324"/>
      <c r="DE75" s="324"/>
      <c r="DF75" s="324"/>
      <c r="DG75" s="324"/>
      <c r="DH75" s="324"/>
      <c r="DI75" s="324"/>
      <c r="DJ75" s="324"/>
      <c r="DK75" s="324"/>
      <c r="DL75" s="324"/>
      <c r="DM75" s="324"/>
      <c r="DN75" s="324"/>
      <c r="DO75" s="324"/>
    </row>
    <row r="76" spans="1:119" x14ac:dyDescent="0.3">
      <c r="A76" s="348" t="s">
        <v>379</v>
      </c>
      <c r="B76" s="323" t="s">
        <v>51</v>
      </c>
      <c r="C76" s="323" t="s">
        <v>357</v>
      </c>
      <c r="D76" s="324">
        <v>103574.73782473701</v>
      </c>
      <c r="E76" s="323" t="s">
        <v>339</v>
      </c>
      <c r="F76" s="324"/>
      <c r="G76" s="324"/>
      <c r="H76" s="324"/>
      <c r="I76" s="324"/>
      <c r="J76" s="324"/>
      <c r="K76" s="324"/>
      <c r="L76" s="324"/>
      <c r="M76" s="324"/>
      <c r="N76" s="324"/>
      <c r="O76" s="324"/>
      <c r="P76" s="324"/>
      <c r="Q76" s="324"/>
      <c r="R76" s="324"/>
      <c r="S76" s="324"/>
      <c r="T76" s="324"/>
      <c r="U76" s="324"/>
      <c r="V76" s="324"/>
      <c r="W76" s="324"/>
      <c r="X76" s="324"/>
      <c r="Y76" s="324"/>
      <c r="Z76" s="324"/>
      <c r="AA76" s="324"/>
      <c r="AB76" s="324"/>
      <c r="AC76" s="324"/>
      <c r="AD76" s="324"/>
      <c r="AE76" s="324"/>
      <c r="AF76" s="324"/>
      <c r="AG76" s="324"/>
      <c r="AH76" s="324"/>
      <c r="AI76" s="324"/>
      <c r="AJ76" s="324"/>
      <c r="AK76" s="324"/>
      <c r="AL76" s="324"/>
      <c r="AM76" s="324"/>
      <c r="AN76" s="324"/>
      <c r="AO76" s="324"/>
      <c r="AP76" s="324"/>
      <c r="AQ76" s="324"/>
      <c r="AR76" s="324"/>
      <c r="AS76" s="324"/>
      <c r="AT76" s="324"/>
      <c r="AU76" s="324"/>
      <c r="AV76" s="324"/>
      <c r="AW76" s="324"/>
      <c r="AX76" s="324"/>
      <c r="AY76" s="324"/>
      <c r="AZ76" s="324"/>
      <c r="BA76" s="324"/>
      <c r="BB76" s="324"/>
      <c r="BC76" s="324"/>
      <c r="BD76" s="324"/>
      <c r="BE76" s="324"/>
      <c r="BF76" s="324"/>
      <c r="BG76" s="324"/>
      <c r="BH76" s="324"/>
      <c r="BI76" s="324"/>
      <c r="BJ76" s="324"/>
      <c r="BK76" s="324"/>
      <c r="BL76" s="324"/>
      <c r="BM76" s="324"/>
      <c r="BN76" s="324"/>
      <c r="BO76" s="324"/>
      <c r="BP76" s="324">
        <v>38857.415338369901</v>
      </c>
      <c r="BQ76" s="324"/>
      <c r="BR76" s="324"/>
      <c r="BS76" s="324"/>
      <c r="BT76" s="324">
        <v>4931.4869953077196</v>
      </c>
      <c r="BU76" s="324"/>
      <c r="BV76" s="324"/>
      <c r="BW76" s="324"/>
      <c r="BX76" s="324"/>
      <c r="BY76" s="324"/>
      <c r="BZ76" s="324"/>
      <c r="CA76" s="324"/>
      <c r="CB76" s="324"/>
      <c r="CC76" s="324"/>
      <c r="CD76" s="324"/>
      <c r="CE76" s="324"/>
      <c r="CF76" s="324"/>
      <c r="CG76" s="324">
        <v>59785.835491059399</v>
      </c>
      <c r="CH76" s="324"/>
      <c r="CI76" s="324"/>
      <c r="CJ76" s="324"/>
      <c r="CK76" s="324"/>
      <c r="CL76" s="324"/>
      <c r="CM76" s="324"/>
      <c r="CN76" s="324"/>
      <c r="CO76" s="324"/>
      <c r="CP76" s="324"/>
      <c r="CQ76" s="324"/>
      <c r="CR76" s="324"/>
      <c r="CS76" s="324"/>
      <c r="CT76" s="324"/>
      <c r="CU76" s="324"/>
      <c r="CV76" s="324"/>
      <c r="CW76" s="324"/>
      <c r="CX76" s="324"/>
      <c r="CY76" s="324"/>
      <c r="CZ76" s="324"/>
      <c r="DA76" s="324"/>
      <c r="DB76" s="324"/>
      <c r="DC76" s="324"/>
      <c r="DD76" s="324"/>
      <c r="DE76" s="324"/>
      <c r="DF76" s="324"/>
      <c r="DG76" s="324"/>
      <c r="DH76" s="324"/>
      <c r="DI76" s="324"/>
      <c r="DJ76" s="324"/>
      <c r="DK76" s="324"/>
      <c r="DL76" s="324"/>
      <c r="DM76" s="324"/>
      <c r="DN76" s="324"/>
      <c r="DO76" s="324"/>
    </row>
    <row r="77" spans="1:119" x14ac:dyDescent="0.3">
      <c r="A77" s="348" t="s">
        <v>380</v>
      </c>
      <c r="B77" s="323" t="s">
        <v>52</v>
      </c>
      <c r="C77" s="323" t="s">
        <v>357</v>
      </c>
      <c r="D77" s="324">
        <v>592174.63044236705</v>
      </c>
      <c r="E77" s="323" t="s">
        <v>339</v>
      </c>
      <c r="F77" s="324"/>
      <c r="G77" s="324"/>
      <c r="H77" s="324"/>
      <c r="I77" s="324"/>
      <c r="J77" s="324"/>
      <c r="K77" s="324"/>
      <c r="L77" s="324"/>
      <c r="M77" s="324"/>
      <c r="N77" s="324"/>
      <c r="O77" s="324"/>
      <c r="P77" s="324"/>
      <c r="Q77" s="324"/>
      <c r="R77" s="324"/>
      <c r="S77" s="324"/>
      <c r="T77" s="324"/>
      <c r="U77" s="324"/>
      <c r="V77" s="324"/>
      <c r="W77" s="324"/>
      <c r="X77" s="324"/>
      <c r="Y77" s="324"/>
      <c r="Z77" s="324"/>
      <c r="AA77" s="324"/>
      <c r="AB77" s="324"/>
      <c r="AC77" s="324"/>
      <c r="AD77" s="324"/>
      <c r="AE77" s="324"/>
      <c r="AF77" s="324"/>
      <c r="AG77" s="324"/>
      <c r="AH77" s="324"/>
      <c r="AI77" s="324"/>
      <c r="AJ77" s="324"/>
      <c r="AK77" s="324"/>
      <c r="AL77" s="324"/>
      <c r="AM77" s="324"/>
      <c r="AN77" s="324"/>
      <c r="AO77" s="324"/>
      <c r="AP77" s="324"/>
      <c r="AQ77" s="324"/>
      <c r="AR77" s="324"/>
      <c r="AS77" s="324"/>
      <c r="AT77" s="324"/>
      <c r="AU77" s="324"/>
      <c r="AV77" s="324"/>
      <c r="AW77" s="324"/>
      <c r="AX77" s="324"/>
      <c r="AY77" s="324"/>
      <c r="AZ77" s="324"/>
      <c r="BA77" s="324"/>
      <c r="BB77" s="324"/>
      <c r="BC77" s="324"/>
      <c r="BD77" s="324"/>
      <c r="BE77" s="324"/>
      <c r="BF77" s="324"/>
      <c r="BG77" s="324"/>
      <c r="BH77" s="324"/>
      <c r="BI77" s="324"/>
      <c r="BJ77" s="324"/>
      <c r="BK77" s="324"/>
      <c r="BL77" s="324"/>
      <c r="BM77" s="324"/>
      <c r="BN77" s="324"/>
      <c r="BO77" s="324"/>
      <c r="BP77" s="324">
        <v>1.3159202900673699E-4</v>
      </c>
      <c r="BQ77" s="324"/>
      <c r="BR77" s="324"/>
      <c r="BS77" s="324"/>
      <c r="BT77" s="324">
        <v>118431.609822817</v>
      </c>
      <c r="BU77" s="324"/>
      <c r="BV77" s="324"/>
      <c r="BW77" s="324"/>
      <c r="BX77" s="324"/>
      <c r="BY77" s="324"/>
      <c r="BZ77" s="324"/>
      <c r="CA77" s="324"/>
      <c r="CB77" s="324"/>
      <c r="CC77" s="324"/>
      <c r="CD77" s="324"/>
      <c r="CE77" s="324"/>
      <c r="CF77" s="324"/>
      <c r="CG77" s="324">
        <v>296090.69079206901</v>
      </c>
      <c r="CH77" s="324"/>
      <c r="CI77" s="324"/>
      <c r="CJ77" s="324"/>
      <c r="CK77" s="324"/>
      <c r="CL77" s="324"/>
      <c r="CM77" s="324"/>
      <c r="CN77" s="324"/>
      <c r="CO77" s="324"/>
      <c r="CP77" s="324"/>
      <c r="CQ77" s="324"/>
      <c r="CR77" s="324"/>
      <c r="CS77" s="324"/>
      <c r="CT77" s="324"/>
      <c r="CU77" s="324"/>
      <c r="CV77" s="324"/>
      <c r="CW77" s="324"/>
      <c r="CX77" s="324"/>
      <c r="CY77" s="324"/>
      <c r="CZ77" s="324"/>
      <c r="DA77" s="324"/>
      <c r="DB77" s="324">
        <v>177647.414602604</v>
      </c>
      <c r="DC77" s="324"/>
      <c r="DD77" s="324">
        <v>4.38436834364431E-5</v>
      </c>
      <c r="DE77" s="324"/>
      <c r="DF77" s="324"/>
      <c r="DG77" s="324"/>
      <c r="DH77" s="324"/>
      <c r="DI77" s="324"/>
      <c r="DJ77" s="324"/>
      <c r="DK77" s="324"/>
      <c r="DL77" s="324"/>
      <c r="DM77" s="324"/>
      <c r="DN77" s="324"/>
      <c r="DO77" s="324">
        <v>4.92</v>
      </c>
    </row>
    <row r="78" spans="1:119" x14ac:dyDescent="0.3">
      <c r="A78" s="348" t="s">
        <v>381</v>
      </c>
      <c r="B78" s="323" t="s">
        <v>53</v>
      </c>
      <c r="C78" s="323" t="s">
        <v>357</v>
      </c>
      <c r="D78" s="324">
        <v>361738.36382439599</v>
      </c>
      <c r="E78" s="323" t="s">
        <v>339</v>
      </c>
      <c r="F78" s="324"/>
      <c r="G78" s="324"/>
      <c r="H78" s="324"/>
      <c r="I78" s="324"/>
      <c r="J78" s="324"/>
      <c r="K78" s="324"/>
      <c r="L78" s="324"/>
      <c r="M78" s="324"/>
      <c r="N78" s="324"/>
      <c r="O78" s="324"/>
      <c r="P78" s="324"/>
      <c r="Q78" s="324"/>
      <c r="R78" s="324"/>
      <c r="S78" s="324"/>
      <c r="T78" s="324"/>
      <c r="U78" s="324"/>
      <c r="V78" s="324"/>
      <c r="W78" s="324"/>
      <c r="X78" s="324"/>
      <c r="Y78" s="324"/>
      <c r="Z78" s="324"/>
      <c r="AA78" s="324"/>
      <c r="AB78" s="324"/>
      <c r="AC78" s="324"/>
      <c r="AD78" s="324"/>
      <c r="AE78" s="324"/>
      <c r="AF78" s="324"/>
      <c r="AG78" s="324"/>
      <c r="AH78" s="324"/>
      <c r="AI78" s="324"/>
      <c r="AJ78" s="324"/>
      <c r="AK78" s="324"/>
      <c r="AL78" s="324"/>
      <c r="AM78" s="324"/>
      <c r="AN78" s="324"/>
      <c r="AO78" s="324"/>
      <c r="AP78" s="324"/>
      <c r="AQ78" s="324"/>
      <c r="AR78" s="324"/>
      <c r="AS78" s="324"/>
      <c r="AT78" s="324"/>
      <c r="AU78" s="324"/>
      <c r="AV78" s="324"/>
      <c r="AW78" s="324"/>
      <c r="AX78" s="324"/>
      <c r="AY78" s="324"/>
      <c r="AZ78" s="324"/>
      <c r="BA78" s="324"/>
      <c r="BB78" s="324"/>
      <c r="BC78" s="324"/>
      <c r="BD78" s="324"/>
      <c r="BE78" s="324"/>
      <c r="BF78" s="324"/>
      <c r="BG78" s="324"/>
      <c r="BH78" s="324"/>
      <c r="BI78" s="324"/>
      <c r="BJ78" s="324"/>
      <c r="BK78" s="324"/>
      <c r="BL78" s="324"/>
      <c r="BM78" s="324"/>
      <c r="BN78" s="324"/>
      <c r="BO78" s="324"/>
      <c r="BP78" s="324"/>
      <c r="BQ78" s="324"/>
      <c r="BR78" s="324"/>
      <c r="BS78" s="324"/>
      <c r="BT78" s="324">
        <v>318.384201988543</v>
      </c>
      <c r="BU78" s="324"/>
      <c r="BV78" s="324"/>
      <c r="BW78" s="324"/>
      <c r="BX78" s="324"/>
      <c r="BY78" s="324"/>
      <c r="BZ78" s="324"/>
      <c r="CA78" s="324"/>
      <c r="CB78" s="324"/>
      <c r="CC78" s="324"/>
      <c r="CD78" s="324"/>
      <c r="CE78" s="324"/>
      <c r="CF78" s="324"/>
      <c r="CG78" s="324">
        <v>52192.426719801202</v>
      </c>
      <c r="CH78" s="324"/>
      <c r="CI78" s="324"/>
      <c r="CJ78" s="324"/>
      <c r="CK78" s="324"/>
      <c r="CL78" s="324"/>
      <c r="CM78" s="324"/>
      <c r="CN78" s="324"/>
      <c r="CO78" s="324"/>
      <c r="CP78" s="324"/>
      <c r="CQ78" s="324"/>
      <c r="CR78" s="324"/>
      <c r="CS78" s="324"/>
      <c r="CT78" s="324"/>
      <c r="CU78" s="324"/>
      <c r="CV78" s="324"/>
      <c r="CW78" s="324"/>
      <c r="CX78" s="324"/>
      <c r="CY78" s="324"/>
      <c r="CZ78" s="324"/>
      <c r="DA78" s="324"/>
      <c r="DB78" s="324"/>
      <c r="DC78" s="324"/>
      <c r="DD78" s="324">
        <v>18177.277767981101</v>
      </c>
      <c r="DE78" s="324"/>
      <c r="DF78" s="324"/>
      <c r="DG78" s="324"/>
      <c r="DH78" s="324"/>
      <c r="DI78" s="324"/>
      <c r="DJ78" s="324"/>
      <c r="DK78" s="324"/>
      <c r="DL78" s="324"/>
      <c r="DM78" s="324"/>
      <c r="DN78" s="324"/>
      <c r="DO78" s="324">
        <v>291050.28000000003</v>
      </c>
    </row>
    <row r="79" spans="1:119" x14ac:dyDescent="0.3">
      <c r="A79" s="348" t="s">
        <v>382</v>
      </c>
      <c r="B79" s="323" t="s">
        <v>54</v>
      </c>
      <c r="C79" s="323" t="s">
        <v>357</v>
      </c>
      <c r="D79" s="324">
        <v>1947.81485661182</v>
      </c>
      <c r="E79" s="323" t="s">
        <v>348</v>
      </c>
      <c r="F79" s="324"/>
      <c r="G79" s="324">
        <v>47.022435409919098</v>
      </c>
      <c r="H79" s="324"/>
      <c r="I79" s="324"/>
      <c r="J79" s="324"/>
      <c r="K79" s="324"/>
      <c r="L79" s="324"/>
      <c r="M79" s="324"/>
      <c r="N79" s="324"/>
      <c r="O79" s="324"/>
      <c r="P79" s="324"/>
      <c r="Q79" s="324"/>
      <c r="R79" s="324"/>
      <c r="S79" s="324"/>
      <c r="T79" s="324"/>
      <c r="U79" s="324"/>
      <c r="V79" s="324"/>
      <c r="W79" s="324">
        <v>1098.5819258179199</v>
      </c>
      <c r="X79" s="324"/>
      <c r="Y79" s="324"/>
      <c r="Z79" s="324"/>
      <c r="AA79" s="324"/>
      <c r="AB79" s="324"/>
      <c r="AC79" s="324"/>
      <c r="AD79" s="324"/>
      <c r="AE79" s="324"/>
      <c r="AF79" s="324"/>
      <c r="AG79" s="324"/>
      <c r="AH79" s="324"/>
      <c r="AI79" s="324"/>
      <c r="AJ79" s="324"/>
      <c r="AK79" s="324"/>
      <c r="AL79" s="324"/>
      <c r="AM79" s="324"/>
      <c r="AN79" s="324"/>
      <c r="AO79" s="324"/>
      <c r="AP79" s="324"/>
      <c r="AQ79" s="324"/>
      <c r="AR79" s="324"/>
      <c r="AS79" s="324"/>
      <c r="AT79" s="324"/>
      <c r="AU79" s="324"/>
      <c r="AV79" s="324"/>
      <c r="AW79" s="324"/>
      <c r="AX79" s="324"/>
      <c r="AY79" s="324"/>
      <c r="AZ79" s="324"/>
      <c r="BA79" s="324"/>
      <c r="BB79" s="324">
        <v>1.55036141089344</v>
      </c>
      <c r="BC79" s="324"/>
      <c r="BD79" s="324"/>
      <c r="BE79" s="324"/>
      <c r="BF79" s="324"/>
      <c r="BG79" s="324"/>
      <c r="BH79" s="324"/>
      <c r="BI79" s="324"/>
      <c r="BJ79" s="324"/>
      <c r="BK79" s="324"/>
      <c r="BL79" s="324"/>
      <c r="BM79" s="324"/>
      <c r="BN79" s="324"/>
      <c r="BO79" s="324"/>
      <c r="BP79" s="324"/>
      <c r="BQ79" s="324"/>
      <c r="BR79" s="324"/>
      <c r="BS79" s="324"/>
      <c r="BT79" s="324"/>
      <c r="BU79" s="324"/>
      <c r="BV79" s="324"/>
      <c r="BW79" s="324"/>
      <c r="BX79" s="324"/>
      <c r="BY79" s="324"/>
      <c r="BZ79" s="324"/>
      <c r="CA79" s="324"/>
      <c r="CB79" s="324"/>
      <c r="CC79" s="324"/>
      <c r="CD79" s="324"/>
      <c r="CE79" s="324"/>
      <c r="CF79" s="324"/>
      <c r="CG79" s="324"/>
      <c r="CH79" s="324"/>
      <c r="CI79" s="324"/>
      <c r="CJ79" s="324"/>
      <c r="CK79" s="324"/>
      <c r="CL79" s="324"/>
      <c r="CM79" s="324"/>
      <c r="CN79" s="324"/>
      <c r="CO79" s="324"/>
      <c r="CP79" s="324"/>
      <c r="CQ79" s="324"/>
      <c r="CR79" s="324"/>
      <c r="CS79" s="324"/>
      <c r="CT79" s="324"/>
      <c r="CU79" s="324"/>
      <c r="CV79" s="324"/>
      <c r="CW79" s="324"/>
      <c r="CX79" s="324"/>
      <c r="CY79" s="324"/>
      <c r="CZ79" s="324"/>
      <c r="DA79" s="324"/>
      <c r="DB79" s="324"/>
      <c r="DC79" s="324"/>
      <c r="DD79" s="324"/>
      <c r="DE79" s="324"/>
      <c r="DF79" s="324"/>
      <c r="DG79" s="324"/>
      <c r="DH79" s="324"/>
      <c r="DI79" s="324"/>
      <c r="DJ79" s="324"/>
      <c r="DK79" s="324"/>
      <c r="DL79" s="324"/>
      <c r="DM79" s="324"/>
      <c r="DN79" s="324"/>
      <c r="DO79" s="324">
        <v>800.66</v>
      </c>
    </row>
    <row r="80" spans="1:119" x14ac:dyDescent="0.3">
      <c r="A80" s="348" t="s">
        <v>383</v>
      </c>
      <c r="B80" s="323" t="s">
        <v>55</v>
      </c>
      <c r="C80" s="323" t="s">
        <v>357</v>
      </c>
      <c r="D80" s="324">
        <v>108796.217114153</v>
      </c>
      <c r="E80" s="323" t="s">
        <v>348</v>
      </c>
      <c r="F80" s="324"/>
      <c r="G80" s="324">
        <v>2686.1997234404098</v>
      </c>
      <c r="H80" s="324"/>
      <c r="I80" s="324"/>
      <c r="J80" s="324"/>
      <c r="K80" s="324"/>
      <c r="L80" s="324"/>
      <c r="M80" s="324"/>
      <c r="N80" s="324"/>
      <c r="O80" s="324"/>
      <c r="P80" s="324"/>
      <c r="Q80" s="324">
        <v>5.8341505079755702E-4</v>
      </c>
      <c r="R80" s="324">
        <v>2646.2805091661899</v>
      </c>
      <c r="S80" s="324"/>
      <c r="T80" s="324"/>
      <c r="U80" s="324"/>
      <c r="V80" s="324"/>
      <c r="W80" s="324">
        <v>56070.297361928198</v>
      </c>
      <c r="X80" s="324"/>
      <c r="Y80" s="324"/>
      <c r="Z80" s="324"/>
      <c r="AA80" s="324"/>
      <c r="AB80" s="324">
        <v>153.610960017385</v>
      </c>
      <c r="AC80" s="324"/>
      <c r="AD80" s="324"/>
      <c r="AE80" s="324"/>
      <c r="AF80" s="324"/>
      <c r="AG80" s="324"/>
      <c r="AH80" s="324"/>
      <c r="AI80" s="324"/>
      <c r="AJ80" s="324">
        <v>8.8032534336909697E-6</v>
      </c>
      <c r="AK80" s="324"/>
      <c r="AL80" s="324"/>
      <c r="AM80" s="324"/>
      <c r="AN80" s="324"/>
      <c r="AO80" s="324">
        <v>1.4663684198865899E-3</v>
      </c>
      <c r="AP80" s="324"/>
      <c r="AQ80" s="324"/>
      <c r="AR80" s="324"/>
      <c r="AS80" s="324"/>
      <c r="AT80" s="324"/>
      <c r="AU80" s="324"/>
      <c r="AV80" s="324"/>
      <c r="AW80" s="324"/>
      <c r="AX80" s="324"/>
      <c r="AY80" s="324"/>
      <c r="AZ80" s="324"/>
      <c r="BA80" s="324"/>
      <c r="BB80" s="324">
        <v>388.76359686148299</v>
      </c>
      <c r="BC80" s="324"/>
      <c r="BD80" s="324"/>
      <c r="BE80" s="324"/>
      <c r="BF80" s="324"/>
      <c r="BG80" s="324"/>
      <c r="BH80" s="324">
        <v>9.22714728044118</v>
      </c>
      <c r="BI80" s="324"/>
      <c r="BJ80" s="324"/>
      <c r="BK80" s="324"/>
      <c r="BL80" s="324"/>
      <c r="BM80" s="324"/>
      <c r="BN80" s="324"/>
      <c r="BO80" s="324"/>
      <c r="BP80" s="324"/>
      <c r="BQ80" s="324"/>
      <c r="BR80" s="324"/>
      <c r="BS80" s="324"/>
      <c r="BT80" s="324"/>
      <c r="BU80" s="324"/>
      <c r="BV80" s="324"/>
      <c r="BW80" s="324"/>
      <c r="BX80" s="324"/>
      <c r="BY80" s="324"/>
      <c r="BZ80" s="324"/>
      <c r="CA80" s="324"/>
      <c r="CB80" s="324"/>
      <c r="CC80" s="324"/>
      <c r="CD80" s="324"/>
      <c r="CE80" s="324"/>
      <c r="CF80" s="324"/>
      <c r="CG80" s="324"/>
      <c r="CH80" s="324"/>
      <c r="CI80" s="324"/>
      <c r="CJ80" s="324"/>
      <c r="CK80" s="324"/>
      <c r="CL80" s="324"/>
      <c r="CM80" s="324"/>
      <c r="CN80" s="324"/>
      <c r="CO80" s="324"/>
      <c r="CP80" s="324"/>
      <c r="CQ80" s="324"/>
      <c r="CR80" s="324"/>
      <c r="CS80" s="324"/>
      <c r="CT80" s="324"/>
      <c r="CU80" s="324"/>
      <c r="CV80" s="324"/>
      <c r="CW80" s="324"/>
      <c r="CX80" s="324"/>
      <c r="CY80" s="324"/>
      <c r="CZ80" s="324"/>
      <c r="DA80" s="324"/>
      <c r="DB80" s="324"/>
      <c r="DC80" s="324"/>
      <c r="DD80" s="324"/>
      <c r="DE80" s="324"/>
      <c r="DF80" s="324"/>
      <c r="DG80" s="324"/>
      <c r="DH80" s="324"/>
      <c r="DI80" s="324"/>
      <c r="DJ80" s="324"/>
      <c r="DK80" s="324"/>
      <c r="DL80" s="324"/>
      <c r="DM80" s="324"/>
      <c r="DN80" s="324"/>
      <c r="DO80" s="324">
        <v>46841.84</v>
      </c>
    </row>
    <row r="81" spans="1:119" x14ac:dyDescent="0.3">
      <c r="A81" s="348" t="s">
        <v>384</v>
      </c>
      <c r="B81" s="323" t="s">
        <v>385</v>
      </c>
      <c r="C81" s="323" t="s">
        <v>357</v>
      </c>
      <c r="D81" s="324">
        <v>14681.0166448336</v>
      </c>
      <c r="E81" s="323" t="s">
        <v>339</v>
      </c>
      <c r="F81" s="324"/>
      <c r="G81" s="324"/>
      <c r="H81" s="324"/>
      <c r="I81" s="324"/>
      <c r="J81" s="324"/>
      <c r="K81" s="324"/>
      <c r="L81" s="324"/>
      <c r="M81" s="324"/>
      <c r="N81" s="324"/>
      <c r="O81" s="324"/>
      <c r="P81" s="324"/>
      <c r="Q81" s="324"/>
      <c r="R81" s="324"/>
      <c r="S81" s="324"/>
      <c r="T81" s="324"/>
      <c r="U81" s="324"/>
      <c r="V81" s="324"/>
      <c r="W81" s="324"/>
      <c r="X81" s="324"/>
      <c r="Y81" s="324"/>
      <c r="Z81" s="324"/>
      <c r="AA81" s="324"/>
      <c r="AB81" s="324"/>
      <c r="AC81" s="324"/>
      <c r="AD81" s="324"/>
      <c r="AE81" s="324"/>
      <c r="AF81" s="324"/>
      <c r="AG81" s="324"/>
      <c r="AH81" s="324"/>
      <c r="AI81" s="324"/>
      <c r="AJ81" s="324"/>
      <c r="AK81" s="324"/>
      <c r="AL81" s="324"/>
      <c r="AM81" s="324"/>
      <c r="AN81" s="324"/>
      <c r="AO81" s="324"/>
      <c r="AP81" s="324"/>
      <c r="AQ81" s="324"/>
      <c r="AR81" s="324"/>
      <c r="AS81" s="324"/>
      <c r="AT81" s="324"/>
      <c r="AU81" s="324"/>
      <c r="AV81" s="324"/>
      <c r="AW81" s="324"/>
      <c r="AX81" s="324"/>
      <c r="AY81" s="324"/>
      <c r="AZ81" s="324"/>
      <c r="BA81" s="324"/>
      <c r="BB81" s="324"/>
      <c r="BC81" s="324"/>
      <c r="BD81" s="324"/>
      <c r="BE81" s="324"/>
      <c r="BF81" s="324"/>
      <c r="BG81" s="324"/>
      <c r="BH81" s="324"/>
      <c r="BI81" s="324"/>
      <c r="BJ81" s="324"/>
      <c r="BK81" s="324"/>
      <c r="BL81" s="324"/>
      <c r="BM81" s="324"/>
      <c r="BN81" s="324"/>
      <c r="BO81" s="324"/>
      <c r="BP81" s="324">
        <v>2935.9684327004002</v>
      </c>
      <c r="BQ81" s="324"/>
      <c r="BR81" s="324"/>
      <c r="BS81" s="324"/>
      <c r="BT81" s="324"/>
      <c r="BU81" s="324"/>
      <c r="BV81" s="324"/>
      <c r="BW81" s="324"/>
      <c r="BX81" s="324"/>
      <c r="BY81" s="324"/>
      <c r="BZ81" s="324"/>
      <c r="CA81" s="324"/>
      <c r="CB81" s="324"/>
      <c r="CC81" s="324"/>
      <c r="CD81" s="324"/>
      <c r="CE81" s="324"/>
      <c r="CF81" s="324"/>
      <c r="CG81" s="324">
        <v>2935.9684327004002</v>
      </c>
      <c r="CH81" s="324"/>
      <c r="CI81" s="324"/>
      <c r="CJ81" s="324"/>
      <c r="CK81" s="324"/>
      <c r="CL81" s="324"/>
      <c r="CM81" s="324"/>
      <c r="CN81" s="324"/>
      <c r="CO81" s="324"/>
      <c r="CP81" s="324"/>
      <c r="CQ81" s="324"/>
      <c r="CR81" s="324"/>
      <c r="CS81" s="324"/>
      <c r="CT81" s="324"/>
      <c r="CU81" s="324"/>
      <c r="CV81" s="324"/>
      <c r="CW81" s="324"/>
      <c r="CX81" s="324"/>
      <c r="CY81" s="324"/>
      <c r="CZ81" s="324"/>
      <c r="DA81" s="324"/>
      <c r="DB81" s="324"/>
      <c r="DC81" s="324"/>
      <c r="DD81" s="324"/>
      <c r="DE81" s="324"/>
      <c r="DF81" s="324">
        <v>5137.9447572257004</v>
      </c>
      <c r="DG81" s="324"/>
      <c r="DH81" s="324"/>
      <c r="DI81" s="324"/>
      <c r="DJ81" s="324"/>
      <c r="DK81" s="324"/>
      <c r="DL81" s="324"/>
      <c r="DM81" s="324"/>
      <c r="DN81" s="324"/>
      <c r="DO81" s="324">
        <v>3671.14</v>
      </c>
    </row>
    <row r="82" spans="1:119" s="7" customFormat="1" ht="15" thickBot="1" x14ac:dyDescent="0.35">
      <c r="A82" s="349" t="s">
        <v>386</v>
      </c>
      <c r="B82" s="350" t="s">
        <v>387</v>
      </c>
      <c r="C82" s="350" t="s">
        <v>357</v>
      </c>
      <c r="D82" s="351">
        <v>59415.197276206003</v>
      </c>
      <c r="E82" s="350" t="s">
        <v>339</v>
      </c>
      <c r="F82" s="351"/>
      <c r="G82" s="351"/>
      <c r="H82" s="351"/>
      <c r="I82" s="351"/>
      <c r="J82" s="351"/>
      <c r="K82" s="351"/>
      <c r="L82" s="351"/>
      <c r="M82" s="351"/>
      <c r="N82" s="351"/>
      <c r="O82" s="351"/>
      <c r="P82" s="351"/>
      <c r="Q82" s="351"/>
      <c r="R82" s="351"/>
      <c r="S82" s="351"/>
      <c r="T82" s="351"/>
      <c r="U82" s="351"/>
      <c r="V82" s="351"/>
      <c r="W82" s="351"/>
      <c r="X82" s="351"/>
      <c r="Y82" s="351"/>
      <c r="Z82" s="351"/>
      <c r="AA82" s="351"/>
      <c r="AB82" s="351"/>
      <c r="AC82" s="351"/>
      <c r="AD82" s="351"/>
      <c r="AE82" s="351"/>
      <c r="AF82" s="351"/>
      <c r="AG82" s="351"/>
      <c r="AH82" s="351"/>
      <c r="AI82" s="351"/>
      <c r="AJ82" s="351"/>
      <c r="AK82" s="351"/>
      <c r="AL82" s="351"/>
      <c r="AM82" s="351"/>
      <c r="AN82" s="351"/>
      <c r="AO82" s="351"/>
      <c r="AP82" s="351"/>
      <c r="AQ82" s="351"/>
      <c r="AR82" s="351"/>
      <c r="AS82" s="351"/>
      <c r="AT82" s="351"/>
      <c r="AU82" s="351"/>
      <c r="AV82" s="351"/>
      <c r="AW82" s="351"/>
      <c r="AX82" s="351"/>
      <c r="AY82" s="351"/>
      <c r="AZ82" s="351"/>
      <c r="BA82" s="351"/>
      <c r="BB82" s="351"/>
      <c r="BC82" s="351"/>
      <c r="BD82" s="351"/>
      <c r="BE82" s="351"/>
      <c r="BF82" s="351"/>
      <c r="BG82" s="351"/>
      <c r="BH82" s="351"/>
      <c r="BI82" s="351"/>
      <c r="BJ82" s="351"/>
      <c r="BK82" s="351"/>
      <c r="BL82" s="351"/>
      <c r="BM82" s="351"/>
      <c r="BN82" s="351"/>
      <c r="BO82" s="351"/>
      <c r="BP82" s="351">
        <v>46533.8536932887</v>
      </c>
      <c r="BQ82" s="351"/>
      <c r="BR82" s="351"/>
      <c r="BS82" s="351"/>
      <c r="BT82" s="351"/>
      <c r="BU82" s="351"/>
      <c r="BV82" s="351"/>
      <c r="BW82" s="351"/>
      <c r="BX82" s="351"/>
      <c r="BY82" s="351"/>
      <c r="BZ82" s="351"/>
      <c r="CA82" s="351"/>
      <c r="CB82" s="351"/>
      <c r="CC82" s="351"/>
      <c r="CD82" s="351"/>
      <c r="CE82" s="351"/>
      <c r="CF82" s="351"/>
      <c r="CG82" s="351">
        <v>7084.7389706045096</v>
      </c>
      <c r="CH82" s="351"/>
      <c r="CI82" s="351"/>
      <c r="CJ82" s="351"/>
      <c r="CK82" s="351"/>
      <c r="CL82" s="351"/>
      <c r="CM82" s="351"/>
      <c r="CN82" s="351"/>
      <c r="CO82" s="351"/>
      <c r="CP82" s="351"/>
      <c r="CQ82" s="351"/>
      <c r="CR82" s="351"/>
      <c r="CS82" s="351"/>
      <c r="CT82" s="351"/>
      <c r="CU82" s="351"/>
      <c r="CV82" s="351"/>
      <c r="CW82" s="351"/>
      <c r="CX82" s="351"/>
      <c r="CY82" s="351"/>
      <c r="CZ82" s="351"/>
      <c r="DA82" s="351"/>
      <c r="DB82" s="351"/>
      <c r="DC82" s="351"/>
      <c r="DD82" s="351"/>
      <c r="DE82" s="351"/>
      <c r="DF82" s="351"/>
      <c r="DG82" s="351">
        <v>5796.6046123127799</v>
      </c>
      <c r="DH82" s="351"/>
      <c r="DI82" s="351"/>
      <c r="DJ82" s="351"/>
      <c r="DK82" s="351"/>
      <c r="DL82" s="351"/>
      <c r="DM82" s="351"/>
      <c r="DN82" s="351"/>
      <c r="DO82" s="351"/>
    </row>
  </sheetData>
  <mergeCells count="17">
    <mergeCell ref="F1:M1"/>
    <mergeCell ref="N1:T1"/>
    <mergeCell ref="U1:W1"/>
    <mergeCell ref="X1:AC1"/>
    <mergeCell ref="AD1:BD1"/>
    <mergeCell ref="A30:A41"/>
    <mergeCell ref="C30:C41"/>
    <mergeCell ref="D30:D41"/>
    <mergeCell ref="E30:E41"/>
    <mergeCell ref="A3:A17"/>
    <mergeCell ref="C3:C17"/>
    <mergeCell ref="D3:D17"/>
    <mergeCell ref="E3:E17"/>
    <mergeCell ref="A19:A28"/>
    <mergeCell ref="C19:C28"/>
    <mergeCell ref="D19:D28"/>
    <mergeCell ref="E19:E28"/>
  </mergeCells>
  <pageMargins left="0.7" right="0.7" top="0.75" bottom="0.75" header="0.3" footer="0.3"/>
  <legacy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91485D-E337-439A-A5C4-854BD412E348}">
  <dimension ref="A1:BG8"/>
  <sheetViews>
    <sheetView workbookViewId="0">
      <selection activeCell="L2" sqref="L2"/>
    </sheetView>
  </sheetViews>
  <sheetFormatPr defaultRowHeight="14.4" x14ac:dyDescent="0.3"/>
  <cols>
    <col min="1" max="1" width="31.77734375" customWidth="1"/>
    <col min="2" max="2" width="23.88671875" customWidth="1"/>
    <col min="5" max="5" width="15.88671875" customWidth="1"/>
    <col min="6" max="6" width="12.77734375" customWidth="1"/>
    <col min="7" max="7" width="11.6640625" customWidth="1"/>
    <col min="8" max="8" width="10.33203125" customWidth="1"/>
    <col min="9" max="9" width="11.5546875" customWidth="1"/>
    <col min="10" max="10" width="9.77734375" customWidth="1"/>
    <col min="11" max="11" width="10.33203125" customWidth="1"/>
    <col min="12" max="12" width="10.77734375" customWidth="1"/>
    <col min="13" max="13" width="10.5546875" customWidth="1"/>
    <col min="14" max="14" width="11.33203125" customWidth="1"/>
    <col min="15" max="15" width="10.5546875" customWidth="1"/>
    <col min="16" max="16" width="10.6640625" customWidth="1"/>
    <col min="19" max="19" width="10.33203125" customWidth="1"/>
    <col min="22" max="22" width="10.77734375" customWidth="1"/>
    <col min="59" max="59" width="11.44140625" bestFit="1" customWidth="1"/>
  </cols>
  <sheetData>
    <row r="1" spans="1:59" ht="37.200000000000003" customHeight="1" thickBot="1" x14ac:dyDescent="0.4">
      <c r="A1" s="523" t="s">
        <v>645</v>
      </c>
      <c r="B1" t="s">
        <v>632</v>
      </c>
    </row>
    <row r="2" spans="1:59" s="328" customFormat="1" ht="48.6" thickBot="1" x14ac:dyDescent="0.35">
      <c r="A2" s="219" t="s">
        <v>538</v>
      </c>
      <c r="B2" s="220" t="s">
        <v>5</v>
      </c>
      <c r="C2" s="221" t="s">
        <v>101</v>
      </c>
      <c r="D2" s="222" t="s">
        <v>437</v>
      </c>
      <c r="E2" s="223" t="s">
        <v>438</v>
      </c>
      <c r="F2" s="137" t="s">
        <v>82</v>
      </c>
      <c r="G2" s="138" t="s">
        <v>439</v>
      </c>
      <c r="H2" s="138" t="s">
        <v>136</v>
      </c>
      <c r="I2" s="138" t="s">
        <v>440</v>
      </c>
      <c r="J2" s="138" t="s">
        <v>315</v>
      </c>
      <c r="K2" s="138" t="s">
        <v>441</v>
      </c>
      <c r="L2" s="138" t="s">
        <v>684</v>
      </c>
      <c r="M2" s="138" t="s">
        <v>443</v>
      </c>
      <c r="N2" s="137" t="s">
        <v>444</v>
      </c>
      <c r="O2" s="138" t="s">
        <v>81</v>
      </c>
      <c r="P2" s="138" t="s">
        <v>7</v>
      </c>
      <c r="Q2" s="138" t="s">
        <v>127</v>
      </c>
      <c r="R2" s="138" t="s">
        <v>445</v>
      </c>
      <c r="S2" s="138" t="s">
        <v>446</v>
      </c>
      <c r="T2" s="139" t="s">
        <v>447</v>
      </c>
      <c r="U2" s="138" t="s">
        <v>448</v>
      </c>
      <c r="V2" s="138" t="s">
        <v>449</v>
      </c>
      <c r="W2" s="138" t="s">
        <v>450</v>
      </c>
      <c r="X2" s="137" t="s">
        <v>84</v>
      </c>
      <c r="Y2" s="138" t="s">
        <v>451</v>
      </c>
      <c r="Z2" s="138" t="s">
        <v>452</v>
      </c>
      <c r="AA2" s="138" t="s">
        <v>83</v>
      </c>
      <c r="AB2" s="138" t="s">
        <v>453</v>
      </c>
      <c r="AC2" s="139" t="s">
        <v>454</v>
      </c>
      <c r="AD2" s="137" t="s">
        <v>9</v>
      </c>
      <c r="AE2" s="138" t="s">
        <v>10</v>
      </c>
      <c r="AF2" s="138" t="s">
        <v>11</v>
      </c>
      <c r="AG2" s="138" t="s">
        <v>12</v>
      </c>
      <c r="AH2" s="138" t="s">
        <v>13</v>
      </c>
      <c r="AI2" s="138" t="s">
        <v>14</v>
      </c>
      <c r="AJ2" s="138" t="s">
        <v>15</v>
      </c>
      <c r="AK2" s="138" t="s">
        <v>16</v>
      </c>
      <c r="AL2" s="138" t="s">
        <v>17</v>
      </c>
      <c r="AM2" s="140" t="s">
        <v>18</v>
      </c>
      <c r="AN2" s="140" t="s">
        <v>19</v>
      </c>
      <c r="AO2" s="140" t="s">
        <v>20</v>
      </c>
      <c r="AP2" s="140" t="s">
        <v>21</v>
      </c>
      <c r="AQ2" s="140" t="s">
        <v>22</v>
      </c>
      <c r="AR2" s="140" t="s">
        <v>23</v>
      </c>
      <c r="AS2" s="140" t="s">
        <v>24</v>
      </c>
      <c r="AT2" s="140" t="s">
        <v>25</v>
      </c>
      <c r="AU2" s="140" t="s">
        <v>26</v>
      </c>
      <c r="AV2" s="140" t="s">
        <v>27</v>
      </c>
      <c r="AW2" s="140" t="s">
        <v>28</v>
      </c>
      <c r="AX2" s="140" t="s">
        <v>29</v>
      </c>
      <c r="AY2" s="140" t="s">
        <v>30</v>
      </c>
      <c r="AZ2" s="140" t="s">
        <v>31</v>
      </c>
      <c r="BA2" s="140" t="s">
        <v>32</v>
      </c>
      <c r="BB2" s="140" t="s">
        <v>33</v>
      </c>
      <c r="BC2" s="140" t="s">
        <v>34</v>
      </c>
      <c r="BD2" s="140" t="s">
        <v>35</v>
      </c>
      <c r="BE2" s="141" t="s">
        <v>459</v>
      </c>
      <c r="BF2" s="142"/>
      <c r="BG2" s="143" t="s">
        <v>79</v>
      </c>
    </row>
    <row r="3" spans="1:59" x14ac:dyDescent="0.3">
      <c r="A3" s="34" t="s">
        <v>539</v>
      </c>
      <c r="B3" s="34" t="s">
        <v>636</v>
      </c>
      <c r="C3" s="34" t="s">
        <v>38</v>
      </c>
      <c r="D3" s="686">
        <v>2020</v>
      </c>
      <c r="E3" s="34" t="s">
        <v>40</v>
      </c>
      <c r="F3" s="27">
        <v>380357.30596420681</v>
      </c>
      <c r="G3" s="34"/>
      <c r="H3" s="34"/>
      <c r="I3" s="27">
        <v>293077.68988384149</v>
      </c>
      <c r="J3" s="34"/>
      <c r="K3" s="34"/>
      <c r="L3" s="34"/>
      <c r="M3" s="34"/>
      <c r="N3" s="27">
        <v>23375.983698448217</v>
      </c>
      <c r="O3" s="27">
        <v>192.7152814713036</v>
      </c>
      <c r="P3" s="27">
        <v>86.322740591421095</v>
      </c>
      <c r="Q3" s="34"/>
      <c r="R3" s="34"/>
      <c r="S3" s="27">
        <v>172.63348470501123</v>
      </c>
      <c r="T3" s="34"/>
      <c r="U3" s="34"/>
      <c r="V3" s="27">
        <v>142.22379227729925</v>
      </c>
      <c r="W3" s="34"/>
      <c r="X3" s="34"/>
      <c r="Y3" s="34"/>
      <c r="Z3" s="34"/>
      <c r="AA3" s="34"/>
      <c r="BG3" s="8">
        <f t="shared" ref="BG3:BG6" si="0">SUM(F3:BD3)</f>
        <v>697404.87484554132</v>
      </c>
    </row>
    <row r="4" spans="1:59" x14ac:dyDescent="0.3">
      <c r="A4" s="27" t="s">
        <v>546</v>
      </c>
      <c r="B4" s="27" t="s">
        <v>635</v>
      </c>
      <c r="C4" s="27" t="s">
        <v>38</v>
      </c>
      <c r="D4" s="687"/>
      <c r="E4" s="27" t="s">
        <v>39</v>
      </c>
      <c r="F4" s="27" t="s">
        <v>169</v>
      </c>
      <c r="G4" s="27"/>
      <c r="H4" s="27"/>
      <c r="I4" s="27"/>
      <c r="J4" s="27"/>
      <c r="K4" s="27"/>
      <c r="L4" s="27"/>
      <c r="M4" s="27"/>
      <c r="N4" s="27"/>
      <c r="O4" s="27">
        <f>1334+76498</f>
        <v>77832</v>
      </c>
      <c r="P4" s="27">
        <f>57256</f>
        <v>57256</v>
      </c>
      <c r="Q4" s="27"/>
      <c r="R4" s="27"/>
      <c r="S4" s="27"/>
      <c r="T4" s="27"/>
      <c r="U4" s="27"/>
      <c r="V4" s="27"/>
      <c r="W4" s="27"/>
      <c r="X4" s="27"/>
      <c r="Y4" s="27"/>
      <c r="Z4" s="27"/>
      <c r="AA4" s="27"/>
      <c r="BG4" s="8">
        <f t="shared" si="0"/>
        <v>135088</v>
      </c>
    </row>
    <row r="5" spans="1:59" x14ac:dyDescent="0.3">
      <c r="A5" s="34"/>
      <c r="B5" s="34" t="s">
        <v>631</v>
      </c>
      <c r="C5" s="34" t="s">
        <v>38</v>
      </c>
      <c r="D5" s="687"/>
      <c r="E5" s="34" t="s">
        <v>39</v>
      </c>
      <c r="F5" s="34" t="s">
        <v>169</v>
      </c>
      <c r="G5" s="34"/>
      <c r="H5" s="34"/>
      <c r="I5" s="34"/>
      <c r="J5" s="34"/>
      <c r="K5" s="34"/>
      <c r="L5" s="34"/>
      <c r="M5" s="34"/>
      <c r="N5" s="27">
        <v>1831</v>
      </c>
      <c r="O5" s="34"/>
      <c r="P5" s="34"/>
      <c r="Q5" s="34"/>
      <c r="R5" s="34"/>
      <c r="S5" s="34"/>
      <c r="T5" s="34"/>
      <c r="U5" s="34"/>
      <c r="V5" s="34"/>
      <c r="W5" s="34"/>
      <c r="X5" s="34"/>
      <c r="Y5" s="34"/>
      <c r="Z5" s="34"/>
      <c r="AA5" s="34"/>
      <c r="BG5" s="8">
        <f t="shared" si="0"/>
        <v>1831</v>
      </c>
    </row>
    <row r="6" spans="1:59" ht="15" thickBot="1" x14ac:dyDescent="0.35">
      <c r="A6" s="34" t="s">
        <v>633</v>
      </c>
      <c r="B6" s="34" t="s">
        <v>634</v>
      </c>
      <c r="C6" s="34" t="s">
        <v>38</v>
      </c>
      <c r="D6" s="688"/>
      <c r="E6" s="34" t="s">
        <v>43</v>
      </c>
      <c r="F6" s="27">
        <f>0.08*'[1]1.'!F32+0.02*'[1]1.'!F33</f>
        <v>261380.46000000002</v>
      </c>
      <c r="G6" s="27"/>
      <c r="H6" s="27"/>
      <c r="I6" s="27"/>
      <c r="J6" s="27"/>
      <c r="K6" s="27"/>
      <c r="L6" s="27"/>
      <c r="M6" s="27">
        <f>0.08*'[1]1.'!M32+0.02*'[1]1.'!M33</f>
        <v>23645.7</v>
      </c>
      <c r="N6" s="27">
        <f>0.08*'[1]1.'!N32+0.02*'[1]1.'!N33</f>
        <v>26965.919999999998</v>
      </c>
      <c r="O6" s="27"/>
      <c r="P6" s="27"/>
      <c r="Q6" s="27"/>
      <c r="R6" s="27"/>
      <c r="S6" s="27"/>
      <c r="T6" s="27"/>
      <c r="U6" s="27"/>
      <c r="V6" s="27">
        <f>0.08*'[1]1.'!X32+0.02*'[1]1.'!X33</f>
        <v>127319.06</v>
      </c>
      <c r="W6" s="27"/>
      <c r="X6" s="27"/>
      <c r="Y6" s="27"/>
      <c r="Z6" s="27"/>
      <c r="AA6" s="27"/>
      <c r="BG6" s="8">
        <f t="shared" si="0"/>
        <v>439311.14</v>
      </c>
    </row>
    <row r="7" spans="1:59" ht="15" thickBot="1" x14ac:dyDescent="0.35">
      <c r="A7" s="381" t="s">
        <v>646</v>
      </c>
      <c r="B7" s="241"/>
      <c r="C7" s="241"/>
      <c r="D7" s="241"/>
      <c r="E7" s="241"/>
      <c r="F7" s="514">
        <f>SUM(F3:F6)</f>
        <v>641737.76596420677</v>
      </c>
      <c r="G7" s="514">
        <f t="shared" ref="G7:BF7" si="1">SUM(G3:G6)</f>
        <v>0</v>
      </c>
      <c r="H7" s="514">
        <f t="shared" si="1"/>
        <v>0</v>
      </c>
      <c r="I7" s="514">
        <f t="shared" si="1"/>
        <v>293077.68988384149</v>
      </c>
      <c r="J7" s="514">
        <f t="shared" si="1"/>
        <v>0</v>
      </c>
      <c r="K7" s="514">
        <f t="shared" si="1"/>
        <v>0</v>
      </c>
      <c r="L7" s="514">
        <f t="shared" si="1"/>
        <v>0</v>
      </c>
      <c r="M7" s="514">
        <f t="shared" si="1"/>
        <v>23645.7</v>
      </c>
      <c r="N7" s="514">
        <f t="shared" si="1"/>
        <v>52172.903698448215</v>
      </c>
      <c r="O7" s="514">
        <f t="shared" si="1"/>
        <v>78024.715281471304</v>
      </c>
      <c r="P7" s="514">
        <f t="shared" si="1"/>
        <v>57342.322740591422</v>
      </c>
      <c r="Q7" s="514">
        <f t="shared" si="1"/>
        <v>0</v>
      </c>
      <c r="R7" s="514">
        <f t="shared" si="1"/>
        <v>0</v>
      </c>
      <c r="S7" s="514">
        <f t="shared" si="1"/>
        <v>172.63348470501123</v>
      </c>
      <c r="T7" s="514">
        <f t="shared" si="1"/>
        <v>0</v>
      </c>
      <c r="U7" s="514">
        <f t="shared" si="1"/>
        <v>0</v>
      </c>
      <c r="V7" s="514">
        <f t="shared" si="1"/>
        <v>127461.2837922773</v>
      </c>
      <c r="W7" s="514">
        <f t="shared" si="1"/>
        <v>0</v>
      </c>
      <c r="X7" s="514">
        <f t="shared" si="1"/>
        <v>0</v>
      </c>
      <c r="Y7" s="514">
        <f t="shared" si="1"/>
        <v>0</v>
      </c>
      <c r="Z7" s="514">
        <f t="shared" si="1"/>
        <v>0</v>
      </c>
      <c r="AA7" s="514">
        <f t="shared" si="1"/>
        <v>0</v>
      </c>
      <c r="AB7" s="514">
        <f t="shared" si="1"/>
        <v>0</v>
      </c>
      <c r="AC7" s="514">
        <f t="shared" si="1"/>
        <v>0</v>
      </c>
      <c r="AD7" s="514">
        <f t="shared" si="1"/>
        <v>0</v>
      </c>
      <c r="AE7" s="514">
        <f t="shared" si="1"/>
        <v>0</v>
      </c>
      <c r="AF7" s="514">
        <f t="shared" si="1"/>
        <v>0</v>
      </c>
      <c r="AG7" s="514">
        <f t="shared" si="1"/>
        <v>0</v>
      </c>
      <c r="AH7" s="514">
        <f t="shared" si="1"/>
        <v>0</v>
      </c>
      <c r="AI7" s="514">
        <f t="shared" si="1"/>
        <v>0</v>
      </c>
      <c r="AJ7" s="514">
        <f t="shared" si="1"/>
        <v>0</v>
      </c>
      <c r="AK7" s="514">
        <f t="shared" si="1"/>
        <v>0</v>
      </c>
      <c r="AL7" s="514">
        <f t="shared" si="1"/>
        <v>0</v>
      </c>
      <c r="AM7" s="514">
        <f t="shared" si="1"/>
        <v>0</v>
      </c>
      <c r="AN7" s="514">
        <f t="shared" si="1"/>
        <v>0</v>
      </c>
      <c r="AO7" s="514">
        <f t="shared" si="1"/>
        <v>0</v>
      </c>
      <c r="AP7" s="514">
        <f t="shared" si="1"/>
        <v>0</v>
      </c>
      <c r="AQ7" s="514">
        <f t="shared" si="1"/>
        <v>0</v>
      </c>
      <c r="AR7" s="514">
        <f t="shared" si="1"/>
        <v>0</v>
      </c>
      <c r="AS7" s="514">
        <f t="shared" si="1"/>
        <v>0</v>
      </c>
      <c r="AT7" s="514">
        <f t="shared" si="1"/>
        <v>0</v>
      </c>
      <c r="AU7" s="514">
        <f t="shared" si="1"/>
        <v>0</v>
      </c>
      <c r="AV7" s="514">
        <f t="shared" si="1"/>
        <v>0</v>
      </c>
      <c r="AW7" s="514">
        <f t="shared" si="1"/>
        <v>0</v>
      </c>
      <c r="AX7" s="514">
        <f t="shared" si="1"/>
        <v>0</v>
      </c>
      <c r="AY7" s="514">
        <f t="shared" si="1"/>
        <v>0</v>
      </c>
      <c r="AZ7" s="514">
        <f t="shared" si="1"/>
        <v>0</v>
      </c>
      <c r="BA7" s="514">
        <f t="shared" si="1"/>
        <v>0</v>
      </c>
      <c r="BB7" s="514">
        <f t="shared" si="1"/>
        <v>0</v>
      </c>
      <c r="BC7" s="514">
        <f t="shared" si="1"/>
        <v>0</v>
      </c>
      <c r="BD7" s="514">
        <f t="shared" si="1"/>
        <v>0</v>
      </c>
      <c r="BE7" s="514">
        <f t="shared" si="1"/>
        <v>0</v>
      </c>
      <c r="BF7" s="514">
        <f t="shared" si="1"/>
        <v>0</v>
      </c>
      <c r="BG7" s="8">
        <f>SUM(F7:BD7)</f>
        <v>1273635.0148455414</v>
      </c>
    </row>
    <row r="8" spans="1:59" x14ac:dyDescent="0.3">
      <c r="A8" s="524" t="s">
        <v>647</v>
      </c>
      <c r="B8" s="57"/>
      <c r="C8" s="57"/>
      <c r="D8" s="57"/>
      <c r="E8" s="57"/>
      <c r="F8" s="555">
        <f>F7/$BG$7</f>
        <v>0.50386316211794224</v>
      </c>
      <c r="G8" s="555">
        <f t="shared" ref="G8:BG8" si="2">G7/$BG$7</f>
        <v>0</v>
      </c>
      <c r="H8" s="555">
        <f t="shared" si="2"/>
        <v>0</v>
      </c>
      <c r="I8" s="555">
        <f t="shared" si="2"/>
        <v>0.23011120648201097</v>
      </c>
      <c r="J8" s="555">
        <f t="shared" si="2"/>
        <v>0</v>
      </c>
      <c r="K8" s="555">
        <f t="shared" si="2"/>
        <v>0</v>
      </c>
      <c r="L8" s="555">
        <f t="shared" si="2"/>
        <v>0</v>
      </c>
      <c r="M8" s="555">
        <f t="shared" si="2"/>
        <v>1.856552287302466E-2</v>
      </c>
      <c r="N8" s="555">
        <f t="shared" si="2"/>
        <v>4.0963779332633551E-2</v>
      </c>
      <c r="O8" s="555">
        <f t="shared" si="2"/>
        <v>6.1261440186562127E-2</v>
      </c>
      <c r="P8" s="555">
        <f t="shared" si="2"/>
        <v>4.502257088742613E-2</v>
      </c>
      <c r="Q8" s="555">
        <f t="shared" si="2"/>
        <v>0</v>
      </c>
      <c r="R8" s="555">
        <f t="shared" si="2"/>
        <v>0</v>
      </c>
      <c r="S8" s="555">
        <f t="shared" si="2"/>
        <v>1.355439216830476E-4</v>
      </c>
      <c r="T8" s="555">
        <f t="shared" si="2"/>
        <v>0</v>
      </c>
      <c r="U8" s="555">
        <f t="shared" si="2"/>
        <v>0</v>
      </c>
      <c r="V8" s="555">
        <f t="shared" si="2"/>
        <v>0.10007677419871737</v>
      </c>
      <c r="W8" s="555">
        <f t="shared" si="2"/>
        <v>0</v>
      </c>
      <c r="X8" s="555">
        <f t="shared" si="2"/>
        <v>0</v>
      </c>
      <c r="Y8" s="555">
        <f t="shared" si="2"/>
        <v>0</v>
      </c>
      <c r="Z8" s="555">
        <f t="shared" si="2"/>
        <v>0</v>
      </c>
      <c r="AA8" s="555">
        <f t="shared" si="2"/>
        <v>0</v>
      </c>
      <c r="AB8" s="555">
        <f t="shared" si="2"/>
        <v>0</v>
      </c>
      <c r="AC8" s="555">
        <f t="shared" si="2"/>
        <v>0</v>
      </c>
      <c r="AD8" s="555">
        <f t="shared" si="2"/>
        <v>0</v>
      </c>
      <c r="AE8" s="555">
        <f t="shared" si="2"/>
        <v>0</v>
      </c>
      <c r="AF8" s="555">
        <f t="shared" si="2"/>
        <v>0</v>
      </c>
      <c r="AG8" s="555">
        <f t="shared" si="2"/>
        <v>0</v>
      </c>
      <c r="AH8" s="555">
        <f t="shared" si="2"/>
        <v>0</v>
      </c>
      <c r="AI8" s="555">
        <f t="shared" si="2"/>
        <v>0</v>
      </c>
      <c r="AJ8" s="555">
        <f t="shared" si="2"/>
        <v>0</v>
      </c>
      <c r="AK8" s="555">
        <f t="shared" si="2"/>
        <v>0</v>
      </c>
      <c r="AL8" s="555">
        <f t="shared" si="2"/>
        <v>0</v>
      </c>
      <c r="AM8" s="555">
        <f t="shared" si="2"/>
        <v>0</v>
      </c>
      <c r="AN8" s="555">
        <f t="shared" si="2"/>
        <v>0</v>
      </c>
      <c r="AO8" s="555">
        <f t="shared" si="2"/>
        <v>0</v>
      </c>
      <c r="AP8" s="555">
        <f t="shared" si="2"/>
        <v>0</v>
      </c>
      <c r="AQ8" s="555">
        <f t="shared" si="2"/>
        <v>0</v>
      </c>
      <c r="AR8" s="555">
        <f t="shared" si="2"/>
        <v>0</v>
      </c>
      <c r="AS8" s="555">
        <f t="shared" si="2"/>
        <v>0</v>
      </c>
      <c r="AT8" s="555">
        <f t="shared" si="2"/>
        <v>0</v>
      </c>
      <c r="AU8" s="555">
        <f t="shared" si="2"/>
        <v>0</v>
      </c>
      <c r="AV8" s="555">
        <f t="shared" si="2"/>
        <v>0</v>
      </c>
      <c r="AW8" s="555">
        <f t="shared" si="2"/>
        <v>0</v>
      </c>
      <c r="AX8" s="555">
        <f t="shared" si="2"/>
        <v>0</v>
      </c>
      <c r="AY8" s="555">
        <f t="shared" si="2"/>
        <v>0</v>
      </c>
      <c r="AZ8" s="555">
        <f t="shared" si="2"/>
        <v>0</v>
      </c>
      <c r="BA8" s="555">
        <f t="shared" si="2"/>
        <v>0</v>
      </c>
      <c r="BB8" s="555">
        <f t="shared" si="2"/>
        <v>0</v>
      </c>
      <c r="BC8" s="555">
        <f t="shared" si="2"/>
        <v>0</v>
      </c>
      <c r="BD8" s="555">
        <f t="shared" si="2"/>
        <v>0</v>
      </c>
      <c r="BE8" s="555">
        <f t="shared" si="2"/>
        <v>0</v>
      </c>
      <c r="BF8" s="555">
        <f t="shared" si="2"/>
        <v>0</v>
      </c>
      <c r="BG8" s="555">
        <f t="shared" si="2"/>
        <v>1</v>
      </c>
    </row>
  </sheetData>
  <mergeCells count="1">
    <mergeCell ref="D3:D6"/>
  </mergeCells>
  <pageMargins left="0.7" right="0.7" top="0.75" bottom="0.75" header="0.3" footer="0.3"/>
  <legacy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D14FFF-C516-49D0-9039-9FED1AF15AC8}">
  <sheetPr>
    <tabColor theme="0" tint="-0.249977111117893"/>
  </sheetPr>
  <dimension ref="A1:A12"/>
  <sheetViews>
    <sheetView workbookViewId="0">
      <selection activeCell="J16" sqref="J16"/>
    </sheetView>
  </sheetViews>
  <sheetFormatPr defaultRowHeight="14.4" x14ac:dyDescent="0.3"/>
  <sheetData>
    <row r="1" spans="1:1" x14ac:dyDescent="0.3">
      <c r="A1" s="106" t="s">
        <v>652</v>
      </c>
    </row>
    <row r="2" spans="1:1" x14ac:dyDescent="0.3">
      <c r="A2" s="34"/>
    </row>
    <row r="3" spans="1:1" x14ac:dyDescent="0.3">
      <c r="A3" s="34" t="s">
        <v>670</v>
      </c>
    </row>
    <row r="4" spans="1:1" x14ac:dyDescent="0.3">
      <c r="A4" s="34" t="s">
        <v>80</v>
      </c>
    </row>
    <row r="5" spans="1:1" x14ac:dyDescent="0.3">
      <c r="A5" s="437" t="s">
        <v>657</v>
      </c>
    </row>
    <row r="6" spans="1:1" x14ac:dyDescent="0.3">
      <c r="A6" s="100" t="s">
        <v>667</v>
      </c>
    </row>
    <row r="7" spans="1:1" x14ac:dyDescent="0.3">
      <c r="A7" s="100" t="s">
        <v>658</v>
      </c>
    </row>
    <row r="8" spans="1:1" x14ac:dyDescent="0.3">
      <c r="A8" s="100" t="s">
        <v>653</v>
      </c>
    </row>
    <row r="9" spans="1:1" x14ac:dyDescent="0.3">
      <c r="A9" s="34" t="s">
        <v>650</v>
      </c>
    </row>
    <row r="10" spans="1:1" x14ac:dyDescent="0.3">
      <c r="A10" s="100" t="s">
        <v>651</v>
      </c>
    </row>
    <row r="11" spans="1:1" x14ac:dyDescent="0.3">
      <c r="A11" s="100" t="s">
        <v>666</v>
      </c>
    </row>
    <row r="12" spans="1:1" x14ac:dyDescent="0.3">
      <c r="A12" s="436" t="s">
        <v>430</v>
      </c>
    </row>
  </sheetData>
  <hyperlinks>
    <hyperlink ref="A5" r:id="rId1" display="https://www.universiteitleiden.nl/nieuws/2020/01/de-stad-als-urban-mine" xr:uid="{B69BDEAC-B008-43A7-802D-1F059D57909C}"/>
  </hyperlinks>
  <pageMargins left="0.7" right="0.7" top="0.75" bottom="0.75" header="0.3" footer="0.3"/>
  <pageSetup paperSize="9" orientation="portrait" horizontalDpi="4294967293" verticalDpi="0"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13</vt:i4>
      </vt:variant>
      <vt:variant>
        <vt:lpstr>Named Ranges</vt:lpstr>
      </vt:variant>
      <vt:variant>
        <vt:i4>1</vt:i4>
      </vt:variant>
    </vt:vector>
  </HeadingPairs>
  <TitlesOfParts>
    <vt:vector size="14" baseType="lpstr">
      <vt:lpstr>Front page</vt:lpstr>
      <vt:lpstr>1.</vt:lpstr>
      <vt:lpstr>2.1.</vt:lpstr>
      <vt:lpstr>2.2.a</vt:lpstr>
      <vt:lpstr>2.2.b</vt:lpstr>
      <vt:lpstr>2.3.</vt:lpstr>
      <vt:lpstr>2.4.</vt:lpstr>
      <vt:lpstr>2.5.</vt:lpstr>
      <vt:lpstr>2.6.</vt:lpstr>
      <vt:lpstr>2.7.</vt:lpstr>
      <vt:lpstr>2.8.</vt:lpstr>
      <vt:lpstr>3.</vt:lpstr>
      <vt:lpstr>4.</vt:lpstr>
      <vt:lpstr>'2.8.'!materialenInProducten_voorraad_wide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Janneke van Oorschot</dc:creator>
  <cp:keywords/>
  <dc:description/>
  <cp:lastModifiedBy>Voet, E. van der (Ester)</cp:lastModifiedBy>
  <cp:revision/>
  <dcterms:created xsi:type="dcterms:W3CDTF">2015-06-05T18:19:34Z</dcterms:created>
  <dcterms:modified xsi:type="dcterms:W3CDTF">2025-02-27T13:34:42Z</dcterms:modified>
  <cp:category/>
  <cp:contentStatus/>
</cp:coreProperties>
</file>