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60" yWindow="135" windowWidth="13560" windowHeight="12713"/>
  </bookViews>
  <sheets>
    <sheet name="Table S1. Whole rock" sheetId="1" r:id="rId1"/>
    <sheet name="Table S2. Olivine" sheetId="2" r:id="rId2"/>
    <sheet name="Table S3. CPx" sheetId="5" r:id="rId3"/>
    <sheet name="Table S4. CPx-profiles" sheetId="6" r:id="rId4"/>
    <sheet name="Table S5. Spinels" sheetId="3" r:id="rId5"/>
    <sheet name="Table S6. Plag" sheetId="7" r:id="rId6"/>
    <sheet name="Table S7.Ol-Spinel pairs" sheetId="8" r:id="rId7"/>
  </sheets>
  <definedNames>
    <definedName name="_xlnm._FilterDatabase" localSheetId="2" hidden="1">'Table S3. CPx'!$A$7:$BO$7</definedName>
    <definedName name="_xlnm._FilterDatabase" localSheetId="4" hidden="1">'Table S5. Spinels'!$A$6:$AL$62</definedName>
    <definedName name="_xlnm._FilterDatabase" localSheetId="6" hidden="1">'Table S7.Ol-Spinel pairs'!$A$13:$CG$13</definedName>
  </definedNames>
  <calcPr calcId="145621"/>
</workbook>
</file>

<file path=xl/calcChain.xml><?xml version="1.0" encoding="utf-8"?>
<calcChain xmlns="http://schemas.openxmlformats.org/spreadsheetml/2006/main">
  <c r="R9" i="5" l="1"/>
  <c r="R10" i="5"/>
  <c r="R11" i="5"/>
  <c r="R12" i="5"/>
  <c r="R13" i="5"/>
  <c r="R14" i="5"/>
  <c r="R15" i="5"/>
  <c r="R16" i="5"/>
  <c r="R17" i="5"/>
  <c r="R18" i="5"/>
  <c r="R19" i="5"/>
  <c r="R20" i="5"/>
  <c r="R21" i="5"/>
  <c r="R22" i="5"/>
  <c r="R23" i="5"/>
  <c r="R24" i="5"/>
  <c r="R25" i="5"/>
  <c r="R26" i="5"/>
  <c r="R27" i="5"/>
  <c r="R28" i="5"/>
  <c r="R29" i="5"/>
  <c r="R30" i="5"/>
  <c r="R8" i="5"/>
  <c r="CD50" i="8" l="1"/>
  <c r="BT50" i="8"/>
  <c r="BR50" i="8"/>
  <c r="AO50" i="8"/>
  <c r="AN50" i="8" s="1"/>
  <c r="AV50" i="8" s="1"/>
  <c r="AL50" i="8"/>
  <c r="AK50" i="8"/>
  <c r="W50" i="8"/>
  <c r="F50" i="8"/>
  <c r="BU50" i="8" s="1"/>
  <c r="BV50" i="8" s="1"/>
  <c r="CD49" i="8"/>
  <c r="BT49" i="8"/>
  <c r="BR49" i="8"/>
  <c r="AO49" i="8"/>
  <c r="AN49" i="8" s="1"/>
  <c r="AV49" i="8" s="1"/>
  <c r="AL49" i="8"/>
  <c r="AK49" i="8"/>
  <c r="W49" i="8"/>
  <c r="F49" i="8"/>
  <c r="BU49" i="8" s="1"/>
  <c r="BV49" i="8" s="1"/>
  <c r="CD48" i="8"/>
  <c r="BT48" i="8"/>
  <c r="BR48" i="8"/>
  <c r="AO48" i="8"/>
  <c r="AN48" i="8" s="1"/>
  <c r="AX48" i="8" s="1"/>
  <c r="AL48" i="8"/>
  <c r="AK48" i="8"/>
  <c r="W48" i="8"/>
  <c r="F48" i="8"/>
  <c r="BU48" i="8" s="1"/>
  <c r="CD47" i="8"/>
  <c r="BT47" i="8"/>
  <c r="BR47" i="8"/>
  <c r="AO47" i="8"/>
  <c r="AN47" i="8" s="1"/>
  <c r="AL47" i="8"/>
  <c r="AK47" i="8"/>
  <c r="W47" i="8"/>
  <c r="F47" i="8"/>
  <c r="BU47" i="8" s="1"/>
  <c r="BV47" i="8" s="1"/>
  <c r="CD46" i="8"/>
  <c r="BT46" i="8"/>
  <c r="BR46" i="8"/>
  <c r="AO46" i="8"/>
  <c r="AL46" i="8"/>
  <c r="AK46" i="8"/>
  <c r="W46" i="8"/>
  <c r="F46" i="8"/>
  <c r="BU46" i="8" s="1"/>
  <c r="CD45" i="8"/>
  <c r="BT45" i="8"/>
  <c r="BR45" i="8"/>
  <c r="AO45" i="8"/>
  <c r="AL45" i="8"/>
  <c r="AK45" i="8"/>
  <c r="W45" i="8"/>
  <c r="F45" i="8"/>
  <c r="BU45" i="8" s="1"/>
  <c r="BV45" i="8" s="1"/>
  <c r="CD44" i="8"/>
  <c r="BT44" i="8"/>
  <c r="BR44" i="8"/>
  <c r="AO44" i="8"/>
  <c r="AN44" i="8" s="1"/>
  <c r="AY44" i="8" s="1"/>
  <c r="AL44" i="8"/>
  <c r="AK44" i="8"/>
  <c r="W44" i="8"/>
  <c r="F44" i="8"/>
  <c r="BU44" i="8" s="1"/>
  <c r="BV44" i="8" s="1"/>
  <c r="CD43" i="8"/>
  <c r="BT43" i="8"/>
  <c r="BR43" i="8"/>
  <c r="AO43" i="8"/>
  <c r="AN43" i="8" s="1"/>
  <c r="AX43" i="8" s="1"/>
  <c r="AL43" i="8"/>
  <c r="AK43" i="8"/>
  <c r="W43" i="8"/>
  <c r="F43" i="8"/>
  <c r="BU43" i="8" s="1"/>
  <c r="BV43" i="8" s="1"/>
  <c r="CD42" i="8"/>
  <c r="BT42" i="8"/>
  <c r="BR42" i="8"/>
  <c r="AO42" i="8"/>
  <c r="AL42" i="8"/>
  <c r="AK42" i="8"/>
  <c r="W42" i="8"/>
  <c r="F42" i="8"/>
  <c r="BU42" i="8" s="1"/>
  <c r="BV42" i="8" s="1"/>
  <c r="CD41" i="8"/>
  <c r="BT41" i="8"/>
  <c r="BR41" i="8"/>
  <c r="AO41" i="8"/>
  <c r="AN41" i="8" s="1"/>
  <c r="AL41" i="8"/>
  <c r="AK41" i="8"/>
  <c r="W41" i="8"/>
  <c r="F41" i="8"/>
  <c r="BU41" i="8" s="1"/>
  <c r="BV41" i="8" s="1"/>
  <c r="CD40" i="8"/>
  <c r="BT40" i="8"/>
  <c r="BR40" i="8"/>
  <c r="AO40" i="8"/>
  <c r="AN40" i="8" s="1"/>
  <c r="AX40" i="8" s="1"/>
  <c r="AL40" i="8"/>
  <c r="AK40" i="8"/>
  <c r="W40" i="8"/>
  <c r="F40" i="8"/>
  <c r="BU40" i="8" s="1"/>
  <c r="CE39" i="8"/>
  <c r="CD39" i="8"/>
  <c r="CG39" i="8" s="1"/>
  <c r="BT39" i="8"/>
  <c r="BR39" i="8"/>
  <c r="AO39" i="8"/>
  <c r="AL39" i="8"/>
  <c r="AK39" i="8"/>
  <c r="W39" i="8"/>
  <c r="F39" i="8"/>
  <c r="BU39" i="8" s="1"/>
  <c r="BV39" i="8" s="1"/>
  <c r="CE38" i="8"/>
  <c r="CD38" i="8"/>
  <c r="BT38" i="8"/>
  <c r="BR38" i="8"/>
  <c r="AO38" i="8"/>
  <c r="AN38" i="8" s="1"/>
  <c r="AZ38" i="8" s="1"/>
  <c r="AL38" i="8"/>
  <c r="AK38" i="8"/>
  <c r="W38" i="8"/>
  <c r="F38" i="8"/>
  <c r="BU38" i="8" s="1"/>
  <c r="BV38" i="8" s="1"/>
  <c r="CE37" i="8"/>
  <c r="CD37" i="8"/>
  <c r="BT37" i="8"/>
  <c r="BR37" i="8"/>
  <c r="AO37" i="8"/>
  <c r="AN37" i="8" s="1"/>
  <c r="AL37" i="8"/>
  <c r="AK37" i="8"/>
  <c r="W37" i="8"/>
  <c r="F37" i="8"/>
  <c r="BU37" i="8" s="1"/>
  <c r="BV37" i="8" s="1"/>
  <c r="CE36" i="8"/>
  <c r="CD36" i="8"/>
  <c r="BT36" i="8"/>
  <c r="BR36" i="8"/>
  <c r="AO36" i="8"/>
  <c r="AL36" i="8"/>
  <c r="AK36" i="8"/>
  <c r="W36" i="8"/>
  <c r="F36" i="8"/>
  <c r="BU36" i="8" s="1"/>
  <c r="CE35" i="8"/>
  <c r="CD35" i="8"/>
  <c r="BT35" i="8"/>
  <c r="BR35" i="8"/>
  <c r="AO35" i="8"/>
  <c r="AL35" i="8"/>
  <c r="AK35" i="8"/>
  <c r="W35" i="8"/>
  <c r="F35" i="8"/>
  <c r="BU35" i="8" s="1"/>
  <c r="BV35" i="8" s="1"/>
  <c r="CE34" i="8"/>
  <c r="CD34" i="8"/>
  <c r="BT34" i="8"/>
  <c r="BR34" i="8"/>
  <c r="AO34" i="8"/>
  <c r="AL34" i="8"/>
  <c r="AK34" i="8"/>
  <c r="W34" i="8"/>
  <c r="F34" i="8"/>
  <c r="BU34" i="8" s="1"/>
  <c r="BV34" i="8" s="1"/>
  <c r="CE33" i="8"/>
  <c r="CD33" i="8"/>
  <c r="BT33" i="8"/>
  <c r="BR33" i="8"/>
  <c r="AO33" i="8"/>
  <c r="AN33" i="8" s="1"/>
  <c r="AL33" i="8"/>
  <c r="AK33" i="8"/>
  <c r="W33" i="8"/>
  <c r="F33" i="8"/>
  <c r="BU33" i="8" s="1"/>
  <c r="CE32" i="8"/>
  <c r="CD32" i="8"/>
  <c r="BT32" i="8"/>
  <c r="BR32" i="8"/>
  <c r="AO32" i="8"/>
  <c r="AN32" i="8" s="1"/>
  <c r="BB32" i="8" s="1"/>
  <c r="AL32" i="8"/>
  <c r="AK32" i="8"/>
  <c r="W32" i="8"/>
  <c r="F32" i="8"/>
  <c r="BU32" i="8" s="1"/>
  <c r="BV32" i="8" s="1"/>
  <c r="CE31" i="8"/>
  <c r="CD31" i="8"/>
  <c r="BT31" i="8"/>
  <c r="BR31" i="8"/>
  <c r="AO31" i="8"/>
  <c r="AN31" i="8" s="1"/>
  <c r="AX31" i="8" s="1"/>
  <c r="AL31" i="8"/>
  <c r="AK31" i="8"/>
  <c r="W31" i="8"/>
  <c r="F31" i="8"/>
  <c r="BU31" i="8" s="1"/>
  <c r="BV31" i="8" s="1"/>
  <c r="CE30" i="8"/>
  <c r="CD30" i="8"/>
  <c r="BT30" i="8"/>
  <c r="BR30" i="8"/>
  <c r="AO30" i="8"/>
  <c r="AN30" i="8" s="1"/>
  <c r="AP30" i="8" s="1"/>
  <c r="AL30" i="8"/>
  <c r="AK30" i="8"/>
  <c r="W30" i="8"/>
  <c r="F30" i="8"/>
  <c r="BU30" i="8" s="1"/>
  <c r="CE29" i="8"/>
  <c r="CD29" i="8"/>
  <c r="BT29" i="8"/>
  <c r="BR29" i="8"/>
  <c r="AO29" i="8"/>
  <c r="AN29" i="8" s="1"/>
  <c r="AS29" i="8" s="1"/>
  <c r="AL29" i="8"/>
  <c r="AK29" i="8"/>
  <c r="W29" i="8"/>
  <c r="F29" i="8"/>
  <c r="BU29" i="8" s="1"/>
  <c r="BV29" i="8" s="1"/>
  <c r="CE28" i="8"/>
  <c r="CD28" i="8"/>
  <c r="BT28" i="8"/>
  <c r="BR28" i="8"/>
  <c r="AO28" i="8"/>
  <c r="AL28" i="8"/>
  <c r="AK28" i="8"/>
  <c r="W28" i="8"/>
  <c r="F28" i="8"/>
  <c r="BU28" i="8" s="1"/>
  <c r="BV28" i="8" s="1"/>
  <c r="CE27" i="8"/>
  <c r="CD27" i="8"/>
  <c r="BT27" i="8"/>
  <c r="BR27" i="8"/>
  <c r="AO27" i="8"/>
  <c r="AN27" i="8" s="1"/>
  <c r="BB27" i="8" s="1"/>
  <c r="AL27" i="8"/>
  <c r="AK27" i="8"/>
  <c r="W27" i="8"/>
  <c r="F27" i="8"/>
  <c r="BU27" i="8" s="1"/>
  <c r="BV27" i="8" s="1"/>
  <c r="CE26" i="8"/>
  <c r="CD26" i="8"/>
  <c r="BT26" i="8"/>
  <c r="BR26" i="8"/>
  <c r="AO26" i="8"/>
  <c r="AL26" i="8"/>
  <c r="AK26" i="8"/>
  <c r="W26" i="8"/>
  <c r="F26" i="8"/>
  <c r="BU26" i="8" s="1"/>
  <c r="BV26" i="8" s="1"/>
  <c r="CE25" i="8"/>
  <c r="CD25" i="8"/>
  <c r="BT25" i="8"/>
  <c r="BR25" i="8"/>
  <c r="AO25" i="8"/>
  <c r="AL25" i="8"/>
  <c r="AK25" i="8"/>
  <c r="W25" i="8"/>
  <c r="F25" i="8"/>
  <c r="BU25" i="8" s="1"/>
  <c r="BV25" i="8" s="1"/>
  <c r="CE24" i="8"/>
  <c r="CD24" i="8"/>
  <c r="BT24" i="8"/>
  <c r="BR24" i="8"/>
  <c r="AO24" i="8"/>
  <c r="AN24" i="8" s="1"/>
  <c r="AL24" i="8"/>
  <c r="AK24" i="8"/>
  <c r="W24" i="8"/>
  <c r="F24" i="8"/>
  <c r="BU24" i="8" s="1"/>
  <c r="CE23" i="8"/>
  <c r="CD23" i="8"/>
  <c r="BT23" i="8"/>
  <c r="BR23" i="8"/>
  <c r="AO23" i="8"/>
  <c r="AL23" i="8"/>
  <c r="AK23" i="8"/>
  <c r="W23" i="8"/>
  <c r="F23" i="8"/>
  <c r="BU23" i="8" s="1"/>
  <c r="BV23" i="8" s="1"/>
  <c r="CE22" i="8"/>
  <c r="CD22" i="8"/>
  <c r="BT22" i="8"/>
  <c r="BR22" i="8"/>
  <c r="AO22" i="8"/>
  <c r="AN22" i="8" s="1"/>
  <c r="BB22" i="8" s="1"/>
  <c r="AL22" i="8"/>
  <c r="AK22" i="8"/>
  <c r="W22" i="8"/>
  <c r="F22" i="8"/>
  <c r="BU22" i="8" s="1"/>
  <c r="BV22" i="8" s="1"/>
  <c r="CE21" i="8"/>
  <c r="CD21" i="8"/>
  <c r="BT21" i="8"/>
  <c r="BR21" i="8"/>
  <c r="AO21" i="8"/>
  <c r="AN21" i="8" s="1"/>
  <c r="BA21" i="8" s="1"/>
  <c r="AL21" i="8"/>
  <c r="AK21" i="8"/>
  <c r="W21" i="8"/>
  <c r="F21" i="8"/>
  <c r="BU21" i="8" s="1"/>
  <c r="BV21" i="8" s="1"/>
  <c r="CE20" i="8"/>
  <c r="CD20" i="8"/>
  <c r="BT20" i="8"/>
  <c r="BR20" i="8"/>
  <c r="AO20" i="8"/>
  <c r="AN20" i="8" s="1"/>
  <c r="AL20" i="8"/>
  <c r="AK20" i="8"/>
  <c r="W20" i="8"/>
  <c r="F20" i="8"/>
  <c r="BU20" i="8" s="1"/>
  <c r="CE19" i="8"/>
  <c r="CD19" i="8"/>
  <c r="BT19" i="8"/>
  <c r="BR19" i="8"/>
  <c r="AO19" i="8"/>
  <c r="AN19" i="8" s="1"/>
  <c r="AS19" i="8" s="1"/>
  <c r="AL19" i="8"/>
  <c r="AK19" i="8"/>
  <c r="W19" i="8"/>
  <c r="F19" i="8"/>
  <c r="BU19" i="8" s="1"/>
  <c r="CE18" i="8"/>
  <c r="CD18" i="8"/>
  <c r="BT18" i="8"/>
  <c r="BR18" i="8"/>
  <c r="AO18" i="8"/>
  <c r="AN18" i="8" s="1"/>
  <c r="AP18" i="8" s="1"/>
  <c r="AL18" i="8"/>
  <c r="AK18" i="8"/>
  <c r="W18" i="8"/>
  <c r="F18" i="8"/>
  <c r="BU18" i="8" s="1"/>
  <c r="CE17" i="8"/>
  <c r="CD17" i="8"/>
  <c r="BT17" i="8"/>
  <c r="BR17" i="8"/>
  <c r="AO17" i="8"/>
  <c r="AN17" i="8" s="1"/>
  <c r="BB17" i="8" s="1"/>
  <c r="AL17" i="8"/>
  <c r="AK17" i="8"/>
  <c r="W17" i="8"/>
  <c r="F17" i="8"/>
  <c r="BU17" i="8" s="1"/>
  <c r="CE16" i="8"/>
  <c r="CD16" i="8"/>
  <c r="BT16" i="8"/>
  <c r="BR16" i="8"/>
  <c r="AO16" i="8"/>
  <c r="AN16" i="8" s="1"/>
  <c r="AL16" i="8"/>
  <c r="AK16" i="8"/>
  <c r="W16" i="8"/>
  <c r="F16" i="8"/>
  <c r="BU16" i="8" s="1"/>
  <c r="BV16" i="8" s="1"/>
  <c r="CE15" i="8"/>
  <c r="CD15" i="8"/>
  <c r="BT15" i="8"/>
  <c r="BR15" i="8"/>
  <c r="AO15" i="8"/>
  <c r="AN15" i="8" s="1"/>
  <c r="AL15" i="8"/>
  <c r="AK15" i="8"/>
  <c r="W15" i="8"/>
  <c r="F15" i="8"/>
  <c r="BU15" i="8" s="1"/>
  <c r="CE14" i="8"/>
  <c r="CD14" i="8"/>
  <c r="BT14" i="8"/>
  <c r="BR14" i="8"/>
  <c r="AO14" i="8"/>
  <c r="AN14" i="8" s="1"/>
  <c r="AL14" i="8"/>
  <c r="AK14" i="8"/>
  <c r="W14" i="8"/>
  <c r="F14" i="8"/>
  <c r="BU14" i="8" s="1"/>
  <c r="BV14" i="8" s="1"/>
  <c r="CG28" i="8" l="1"/>
  <c r="CF36" i="8"/>
  <c r="CF33" i="8"/>
  <c r="CG37" i="8"/>
  <c r="CG22" i="8"/>
  <c r="CG35" i="8"/>
  <c r="AY18" i="8"/>
  <c r="AZ18" i="8"/>
  <c r="CG32" i="8"/>
  <c r="CF20" i="8"/>
  <c r="CG30" i="8"/>
  <c r="AN36" i="8"/>
  <c r="AX36" i="8" s="1"/>
  <c r="AW19" i="8"/>
  <c r="AX15" i="8"/>
  <c r="AZ15" i="8"/>
  <c r="AW15" i="8"/>
  <c r="AS15" i="8"/>
  <c r="AV41" i="8"/>
  <c r="AX41" i="8"/>
  <c r="AZ47" i="8"/>
  <c r="AV47" i="8"/>
  <c r="AT47" i="8"/>
  <c r="AS47" i="8"/>
  <c r="BA47" i="8"/>
  <c r="AW47" i="8"/>
  <c r="AY37" i="8"/>
  <c r="AU37" i="8"/>
  <c r="AT37" i="8"/>
  <c r="AS37" i="8"/>
  <c r="CG36" i="8"/>
  <c r="AT40" i="8"/>
  <c r="AZ21" i="8"/>
  <c r="AX19" i="8"/>
  <c r="BA19" i="8"/>
  <c r="AW22" i="8"/>
  <c r="CF29" i="8"/>
  <c r="AZ30" i="8"/>
  <c r="AW41" i="8"/>
  <c r="AU48" i="8"/>
  <c r="CG14" i="8"/>
  <c r="BA31" i="8"/>
  <c r="CG26" i="8"/>
  <c r="BA30" i="8"/>
  <c r="AV48" i="8"/>
  <c r="CG27" i="8"/>
  <c r="AP19" i="8"/>
  <c r="CF30" i="8"/>
  <c r="AU40" i="8"/>
  <c r="CF18" i="8"/>
  <c r="CF23" i="8"/>
  <c r="CG24" i="8"/>
  <c r="AV40" i="8"/>
  <c r="BB31" i="8"/>
  <c r="AT30" i="8"/>
  <c r="AT48" i="8"/>
  <c r="BA20" i="8"/>
  <c r="AU20" i="8"/>
  <c r="AT20" i="8"/>
  <c r="AS20" i="8"/>
  <c r="AW20" i="8"/>
  <c r="AS14" i="8"/>
  <c r="AV14" i="8"/>
  <c r="AU14" i="8"/>
  <c r="AW14" i="8"/>
  <c r="AY33" i="8"/>
  <c r="BB33" i="8"/>
  <c r="BA33" i="8"/>
  <c r="AT33" i="8"/>
  <c r="AZ33" i="8"/>
  <c r="AV33" i="8"/>
  <c r="AS33" i="8"/>
  <c r="AP33" i="8"/>
  <c r="AU33" i="8"/>
  <c r="BA24" i="8"/>
  <c r="AU24" i="8"/>
  <c r="AT24" i="8"/>
  <c r="AX24" i="8"/>
  <c r="AS24" i="8"/>
  <c r="AP24" i="8"/>
  <c r="BB24" i="8"/>
  <c r="CF27" i="8"/>
  <c r="AY22" i="8"/>
  <c r="BH22" i="8" s="1"/>
  <c r="BI22" i="8" s="1"/>
  <c r="BA37" i="8"/>
  <c r="AU15" i="8"/>
  <c r="CG16" i="8"/>
  <c r="AW18" i="8"/>
  <c r="AU19" i="8"/>
  <c r="BA22" i="8"/>
  <c r="AU30" i="8"/>
  <c r="CF32" i="8"/>
  <c r="BB37" i="8"/>
  <c r="AV15" i="8"/>
  <c r="CG17" i="8"/>
  <c r="AX18" i="8"/>
  <c r="AV19" i="8"/>
  <c r="CG19" i="8"/>
  <c r="CG23" i="8"/>
  <c r="AN28" i="8"/>
  <c r="AT28" i="8" s="1"/>
  <c r="AZ29" i="8"/>
  <c r="AX30" i="8"/>
  <c r="AP37" i="8"/>
  <c r="AU41" i="8"/>
  <c r="AZ43" i="8"/>
  <c r="AN46" i="8"/>
  <c r="AW46" i="8" s="1"/>
  <c r="AU47" i="8"/>
  <c r="CG33" i="8"/>
  <c r="AP44" i="8"/>
  <c r="AW40" i="8"/>
  <c r="AX44" i="8"/>
  <c r="BB47" i="8"/>
  <c r="AW48" i="8"/>
  <c r="AW24" i="8"/>
  <c r="BO24" i="8" s="1"/>
  <c r="CF24" i="8"/>
  <c r="AV22" i="8"/>
  <c r="CF22" i="8"/>
  <c r="AP29" i="8"/>
  <c r="AV37" i="8"/>
  <c r="CF14" i="8"/>
  <c r="CF15" i="8"/>
  <c r="AZ17" i="8"/>
  <c r="CG18" i="8"/>
  <c r="CF25" i="8"/>
  <c r="CF28" i="8"/>
  <c r="AU29" i="8"/>
  <c r="AZ37" i="8"/>
  <c r="BB40" i="8"/>
  <c r="BB48" i="8"/>
  <c r="AV29" i="8"/>
  <c r="CF26" i="8"/>
  <c r="AY29" i="8"/>
  <c r="BV20" i="8"/>
  <c r="BV18" i="8"/>
  <c r="BV30" i="8"/>
  <c r="BV15" i="8"/>
  <c r="BV17" i="8"/>
  <c r="AZ16" i="8"/>
  <c r="AP16" i="8"/>
  <c r="AX16" i="8"/>
  <c r="AV16" i="8"/>
  <c r="AS16" i="8"/>
  <c r="BB16" i="8"/>
  <c r="BA16" i="8"/>
  <c r="AY16" i="8"/>
  <c r="AU16" i="8"/>
  <c r="AT16" i="8"/>
  <c r="BV24" i="8"/>
  <c r="BB21" i="8"/>
  <c r="AT21" i="8"/>
  <c r="AU21" i="8"/>
  <c r="AY21" i="8"/>
  <c r="CF16" i="8"/>
  <c r="BB18" i="8"/>
  <c r="AZ14" i="8"/>
  <c r="CG20" i="8"/>
  <c r="BA14" i="8"/>
  <c r="BA15" i="8"/>
  <c r="AW17" i="8"/>
  <c r="AV20" i="8"/>
  <c r="AY20" i="8"/>
  <c r="AX20" i="8"/>
  <c r="BB20" i="8"/>
  <c r="AP20" i="8"/>
  <c r="AV21" i="8"/>
  <c r="AZ27" i="8"/>
  <c r="AW31" i="8"/>
  <c r="AT14" i="8"/>
  <c r="BB14" i="8"/>
  <c r="AP15" i="8"/>
  <c r="AY17" i="8"/>
  <c r="CF19" i="8"/>
  <c r="AX21" i="8"/>
  <c r="CF21" i="8"/>
  <c r="CG21" i="8"/>
  <c r="AS22" i="8"/>
  <c r="AN26" i="8"/>
  <c r="BB30" i="8"/>
  <c r="AS30" i="8"/>
  <c r="AV30" i="8"/>
  <c r="AY30" i="8"/>
  <c r="BV36" i="8"/>
  <c r="AW43" i="8"/>
  <c r="BB44" i="8"/>
  <c r="AT44" i="8"/>
  <c r="AV44" i="8"/>
  <c r="AU44" i="8"/>
  <c r="AZ44" i="8"/>
  <c r="AS44" i="8"/>
  <c r="BA44" i="8"/>
  <c r="BF44" i="8" s="1"/>
  <c r="BG44" i="8" s="1"/>
  <c r="AN45" i="8"/>
  <c r="AW45" i="8" s="1"/>
  <c r="AN23" i="8"/>
  <c r="AW23" i="8" s="1"/>
  <c r="BV46" i="8"/>
  <c r="BV48" i="8"/>
  <c r="AX27" i="8"/>
  <c r="BA27" i="8"/>
  <c r="AS27" i="8"/>
  <c r="AU27" i="8"/>
  <c r="AY27" i="8"/>
  <c r="BV33" i="8"/>
  <c r="AW16" i="8"/>
  <c r="BV19" i="8"/>
  <c r="BB38" i="8"/>
  <c r="AT38" i="8"/>
  <c r="AV38" i="8"/>
  <c r="AU38" i="8"/>
  <c r="BA38" i="8"/>
  <c r="AP38" i="8"/>
  <c r="BV40" i="8"/>
  <c r="AU31" i="8"/>
  <c r="AV31" i="8"/>
  <c r="AY31" i="8"/>
  <c r="AZ31" i="8"/>
  <c r="AP31" i="8"/>
  <c r="AX32" i="8"/>
  <c r="BA32" i="8"/>
  <c r="AS32" i="8"/>
  <c r="AZ32" i="8"/>
  <c r="AP32" i="8"/>
  <c r="AY32" i="8"/>
  <c r="AV32" i="8"/>
  <c r="AW32" i="8"/>
  <c r="AN35" i="8"/>
  <c r="AW35" i="8" s="1"/>
  <c r="AY14" i="8"/>
  <c r="AT17" i="8"/>
  <c r="AY19" i="8"/>
  <c r="BH19" i="8" s="1"/>
  <c r="BI19" i="8" s="1"/>
  <c r="BB19" i="8"/>
  <c r="AT19" i="8"/>
  <c r="AZ19" i="8"/>
  <c r="AZ20" i="8"/>
  <c r="AP21" i="8"/>
  <c r="AV27" i="8"/>
  <c r="BB29" i="8"/>
  <c r="AT29" i="8"/>
  <c r="AX29" i="8"/>
  <c r="BA29" i="8"/>
  <c r="AS31" i="8"/>
  <c r="AS38" i="8"/>
  <c r="BA17" i="8"/>
  <c r="BA18" i="8"/>
  <c r="AS18" i="8"/>
  <c r="AV18" i="8"/>
  <c r="AP27" i="8"/>
  <c r="AN34" i="8"/>
  <c r="AX14" i="8"/>
  <c r="AW21" i="8"/>
  <c r="CF17" i="8"/>
  <c r="AS21" i="8"/>
  <c r="AZ22" i="8"/>
  <c r="AP22" i="8"/>
  <c r="AU22" i="8"/>
  <c r="AT22" i="8"/>
  <c r="AX22" i="8"/>
  <c r="AN25" i="8"/>
  <c r="AW25" i="8" s="1"/>
  <c r="AW27" i="8"/>
  <c r="AT31" i="8"/>
  <c r="CG31" i="8"/>
  <c r="CF31" i="8"/>
  <c r="AT32" i="8"/>
  <c r="CF34" i="8"/>
  <c r="CG34" i="8"/>
  <c r="AX38" i="8"/>
  <c r="AN39" i="8"/>
  <c r="AW39" i="8" s="1"/>
  <c r="AN42" i="8"/>
  <c r="AW42" i="8" s="1"/>
  <c r="BN48" i="8"/>
  <c r="AU17" i="8"/>
  <c r="AX17" i="8"/>
  <c r="CG15" i="8"/>
  <c r="AP17" i="8"/>
  <c r="CG25" i="8"/>
  <c r="AS17" i="8"/>
  <c r="AT27" i="8"/>
  <c r="AP14" i="8"/>
  <c r="AY15" i="8"/>
  <c r="BB15" i="8"/>
  <c r="AT15" i="8"/>
  <c r="AV17" i="8"/>
  <c r="AT18" i="8"/>
  <c r="AU18" i="8"/>
  <c r="AU32" i="8"/>
  <c r="AY38" i="8"/>
  <c r="BA43" i="8"/>
  <c r="AS43" i="8"/>
  <c r="AV43" i="8"/>
  <c r="AU43" i="8"/>
  <c r="BB43" i="8"/>
  <c r="AT43" i="8"/>
  <c r="AY43" i="8"/>
  <c r="AP43" i="8"/>
  <c r="AZ50" i="8"/>
  <c r="AP50" i="8"/>
  <c r="AU50" i="8"/>
  <c r="BM50" i="8" s="1"/>
  <c r="BB50" i="8"/>
  <c r="AT50" i="8"/>
  <c r="BA50" i="8"/>
  <c r="AS50" i="8"/>
  <c r="AX50" i="8"/>
  <c r="AY50" i="8"/>
  <c r="AW50" i="8"/>
  <c r="AW29" i="8"/>
  <c r="CG29" i="8"/>
  <c r="AW30" i="8"/>
  <c r="CF37" i="8"/>
  <c r="AW38" i="8"/>
  <c r="AY49" i="8"/>
  <c r="BB49" i="8"/>
  <c r="AT49" i="8"/>
  <c r="BA49" i="8"/>
  <c r="AS49" i="8"/>
  <c r="AZ49" i="8"/>
  <c r="AP49" i="8"/>
  <c r="AU49" i="8"/>
  <c r="AX49" i="8"/>
  <c r="AV24" i="8"/>
  <c r="AY24" i="8"/>
  <c r="AZ24" i="8"/>
  <c r="AY41" i="8"/>
  <c r="BB41" i="8"/>
  <c r="AT41" i="8"/>
  <c r="BA41" i="8"/>
  <c r="AS41" i="8"/>
  <c r="AZ41" i="8"/>
  <c r="AP41" i="8"/>
  <c r="AW49" i="8"/>
  <c r="CF38" i="8"/>
  <c r="CG38" i="8"/>
  <c r="AW44" i="8"/>
  <c r="BH44" i="8" s="1"/>
  <c r="BI44" i="8" s="1"/>
  <c r="AW33" i="8"/>
  <c r="AW37" i="8"/>
  <c r="AY40" i="8"/>
  <c r="AX47" i="8"/>
  <c r="AY48" i="8"/>
  <c r="AX33" i="8"/>
  <c r="CF35" i="8"/>
  <c r="AX37" i="8"/>
  <c r="CF39" i="8"/>
  <c r="AP40" i="8"/>
  <c r="AZ40" i="8"/>
  <c r="AY47" i="8"/>
  <c r="AP48" i="8"/>
  <c r="AZ48" i="8"/>
  <c r="AS40" i="8"/>
  <c r="BA40" i="8"/>
  <c r="AP47" i="8"/>
  <c r="AS48" i="8"/>
  <c r="BA48" i="8"/>
  <c r="BH41" i="8" l="1"/>
  <c r="BI41" i="8" s="1"/>
  <c r="BF37" i="8"/>
  <c r="BG37" i="8" s="1"/>
  <c r="BN19" i="8"/>
  <c r="BF18" i="8"/>
  <c r="BG18" i="8" s="1"/>
  <c r="BB28" i="8"/>
  <c r="BO19" i="8"/>
  <c r="BH48" i="8"/>
  <c r="BI48" i="8" s="1"/>
  <c r="BM43" i="8"/>
  <c r="BH18" i="8"/>
  <c r="BI18" i="8" s="1"/>
  <c r="BK20" i="8"/>
  <c r="BJ47" i="8"/>
  <c r="BK47" i="8"/>
  <c r="AU36" i="8"/>
  <c r="BB36" i="8"/>
  <c r="BN37" i="8"/>
  <c r="AT36" i="8"/>
  <c r="AS36" i="8"/>
  <c r="AZ36" i="8"/>
  <c r="AY36" i="8"/>
  <c r="BO40" i="8"/>
  <c r="AV36" i="8"/>
  <c r="BN36" i="8" s="1"/>
  <c r="BL14" i="8"/>
  <c r="BK48" i="8"/>
  <c r="BA36" i="8"/>
  <c r="AP36" i="8"/>
  <c r="BF30" i="8"/>
  <c r="BG30" i="8" s="1"/>
  <c r="BL41" i="8"/>
  <c r="BF20" i="8"/>
  <c r="BG20" i="8" s="1"/>
  <c r="BN40" i="8"/>
  <c r="BF27" i="8"/>
  <c r="BG27" i="8" s="1"/>
  <c r="BM48" i="8"/>
  <c r="BM47" i="8"/>
  <c r="BO20" i="8"/>
  <c r="AV28" i="8"/>
  <c r="BM18" i="8"/>
  <c r="AX28" i="8"/>
  <c r="BH15" i="8"/>
  <c r="BI15" i="8" s="1"/>
  <c r="BM17" i="8"/>
  <c r="BF32" i="8"/>
  <c r="BG32" i="8" s="1"/>
  <c r="BO41" i="8"/>
  <c r="BF22" i="8"/>
  <c r="BG22" i="8" s="1"/>
  <c r="BL33" i="8"/>
  <c r="BH33" i="8"/>
  <c r="BI33" i="8" s="1"/>
  <c r="AW36" i="8"/>
  <c r="BJ41" i="8"/>
  <c r="BC21" i="8"/>
  <c r="BO48" i="8"/>
  <c r="BL19" i="8"/>
  <c r="BK14" i="8"/>
  <c r="BM30" i="8"/>
  <c r="BM15" i="8"/>
  <c r="BJ18" i="8"/>
  <c r="BN29" i="8"/>
  <c r="BL47" i="8"/>
  <c r="BF43" i="8"/>
  <c r="BG43" i="8" s="1"/>
  <c r="BF17" i="8"/>
  <c r="BG17" i="8" s="1"/>
  <c r="BH32" i="8"/>
  <c r="BI32" i="8" s="1"/>
  <c r="BM27" i="8"/>
  <c r="BO14" i="8"/>
  <c r="BF48" i="8"/>
  <c r="BH31" i="8"/>
  <c r="BI31" i="8" s="1"/>
  <c r="BC48" i="8"/>
  <c r="BF49" i="8"/>
  <c r="BG49" i="8" s="1"/>
  <c r="BK19" i="8"/>
  <c r="BK15" i="8"/>
  <c r="AU28" i="8"/>
  <c r="AS28" i="8"/>
  <c r="AP28" i="8"/>
  <c r="AZ28" i="8"/>
  <c r="BH38" i="8"/>
  <c r="BI38" i="8" s="1"/>
  <c r="BM41" i="8"/>
  <c r="BH14" i="8"/>
  <c r="BI14" i="8" s="1"/>
  <c r="BM38" i="8"/>
  <c r="BF14" i="8"/>
  <c r="BG14" i="8" s="1"/>
  <c r="CA14" i="8" s="1"/>
  <c r="CB14" i="8" s="1"/>
  <c r="BF16" i="8"/>
  <c r="BG16" i="8" s="1"/>
  <c r="AY46" i="8"/>
  <c r="BH46" i="8" s="1"/>
  <c r="BI46" i="8" s="1"/>
  <c r="AV46" i="8"/>
  <c r="AU46" i="8"/>
  <c r="BA46" i="8"/>
  <c r="AT46" i="8"/>
  <c r="AP46" i="8"/>
  <c r="AS46" i="8"/>
  <c r="BB46" i="8"/>
  <c r="AZ46" i="8"/>
  <c r="BM14" i="8"/>
  <c r="BF40" i="8"/>
  <c r="BG40" i="8" s="1"/>
  <c r="AX46" i="8"/>
  <c r="BC41" i="8"/>
  <c r="BM24" i="8"/>
  <c r="BC15" i="8"/>
  <c r="BJ22" i="8"/>
  <c r="BK40" i="8"/>
  <c r="BN33" i="8"/>
  <c r="BN14" i="8"/>
  <c r="BM22" i="8"/>
  <c r="BC47" i="8"/>
  <c r="BJ48" i="8"/>
  <c r="BF29" i="8"/>
  <c r="BG29" i="8" s="1"/>
  <c r="BH17" i="8"/>
  <c r="BI17" i="8" s="1"/>
  <c r="BM19" i="8"/>
  <c r="BN47" i="8"/>
  <c r="BN41" i="8"/>
  <c r="BH40" i="8"/>
  <c r="BI40" i="8" s="1"/>
  <c r="BF33" i="8"/>
  <c r="BG33" i="8" s="1"/>
  <c r="BM29" i="8"/>
  <c r="BJ14" i="8"/>
  <c r="BL15" i="8"/>
  <c r="BK41" i="8"/>
  <c r="BC19" i="8"/>
  <c r="BJ15" i="8"/>
  <c r="BO15" i="8"/>
  <c r="BA28" i="8"/>
  <c r="BL48" i="8"/>
  <c r="AW28" i="8"/>
  <c r="BL37" i="8"/>
  <c r="BO47" i="8"/>
  <c r="BN15" i="8"/>
  <c r="BC29" i="8"/>
  <c r="AY28" i="8"/>
  <c r="BC20" i="8"/>
  <c r="BL40" i="8"/>
  <c r="BM40" i="8"/>
  <c r="BC24" i="8"/>
  <c r="BB34" i="8"/>
  <c r="AT34" i="8"/>
  <c r="AV34" i="8"/>
  <c r="AU34" i="8"/>
  <c r="AS34" i="8"/>
  <c r="AP34" i="8"/>
  <c r="BA34" i="8"/>
  <c r="AZ34" i="8"/>
  <c r="AY34" i="8"/>
  <c r="AX34" i="8"/>
  <c r="BL29" i="8"/>
  <c r="BO33" i="8"/>
  <c r="BK33" i="8"/>
  <c r="BM33" i="8"/>
  <c r="BJ33" i="8"/>
  <c r="BC33" i="8"/>
  <c r="BH37" i="8"/>
  <c r="BI37" i="8" s="1"/>
  <c r="BC50" i="8"/>
  <c r="AW34" i="8"/>
  <c r="BK22" i="8"/>
  <c r="BC27" i="8"/>
  <c r="BC30" i="8"/>
  <c r="BL21" i="8"/>
  <c r="BN21" i="8"/>
  <c r="BM21" i="8"/>
  <c r="BC14" i="8"/>
  <c r="BL16" i="8"/>
  <c r="BN16" i="8"/>
  <c r="BH49" i="8"/>
  <c r="BI49" i="8" s="1"/>
  <c r="BO38" i="8"/>
  <c r="BJ38" i="8"/>
  <c r="BK38" i="8"/>
  <c r="BF50" i="8"/>
  <c r="BH43" i="8"/>
  <c r="BI43" i="8" s="1"/>
  <c r="AZ39" i="8"/>
  <c r="AP39" i="8"/>
  <c r="AU39" i="8"/>
  <c r="BB39" i="8"/>
  <c r="AT39" i="8"/>
  <c r="BA39" i="8"/>
  <c r="AS39" i="8"/>
  <c r="AV39" i="8"/>
  <c r="AY39" i="8"/>
  <c r="BH39" i="8" s="1"/>
  <c r="BI39" i="8" s="1"/>
  <c r="AX39" i="8"/>
  <c r="BB25" i="8"/>
  <c r="AT25" i="8"/>
  <c r="AV25" i="8"/>
  <c r="AZ25" i="8"/>
  <c r="AP25" i="8"/>
  <c r="AX25" i="8"/>
  <c r="BA25" i="8"/>
  <c r="AY25" i="8"/>
  <c r="BH25" i="8" s="1"/>
  <c r="BI25" i="8" s="1"/>
  <c r="AS25" i="8"/>
  <c r="AU25" i="8"/>
  <c r="BK32" i="8"/>
  <c r="BJ32" i="8"/>
  <c r="BO32" i="8"/>
  <c r="BF31" i="8"/>
  <c r="AU45" i="8"/>
  <c r="AX45" i="8"/>
  <c r="AV45" i="8"/>
  <c r="BB45" i="8"/>
  <c r="AS45" i="8"/>
  <c r="AT45" i="8"/>
  <c r="AY45" i="8"/>
  <c r="BH45" i="8" s="1"/>
  <c r="BI45" i="8" s="1"/>
  <c r="BA45" i="8"/>
  <c r="AZ45" i="8"/>
  <c r="AP45" i="8"/>
  <c r="BF15" i="8"/>
  <c r="BN22" i="8"/>
  <c r="BF19" i="8"/>
  <c r="BJ40" i="8"/>
  <c r="BL22" i="8"/>
  <c r="BC44" i="8"/>
  <c r="BK49" i="8"/>
  <c r="BJ49" i="8"/>
  <c r="BO49" i="8"/>
  <c r="BN32" i="8"/>
  <c r="BL32" i="8"/>
  <c r="BJ24" i="8"/>
  <c r="BH24" i="8"/>
  <c r="BI24" i="8" s="1"/>
  <c r="BN17" i="8"/>
  <c r="BL17" i="8"/>
  <c r="BN18" i="8"/>
  <c r="BL18" i="8"/>
  <c r="BF38" i="8"/>
  <c r="BO16" i="8"/>
  <c r="BJ16" i="8"/>
  <c r="BK16" i="8"/>
  <c r="BM16" i="8"/>
  <c r="BO18" i="8"/>
  <c r="BM49" i="8"/>
  <c r="BN24" i="8"/>
  <c r="BL24" i="8"/>
  <c r="BC18" i="8"/>
  <c r="BN49" i="8"/>
  <c r="BM44" i="8"/>
  <c r="BJ20" i="8"/>
  <c r="BH20" i="8"/>
  <c r="BI20" i="8" s="1"/>
  <c r="BH16" i="8"/>
  <c r="BI16" i="8" s="1"/>
  <c r="BK18" i="8"/>
  <c r="BC40" i="8"/>
  <c r="BJ50" i="8"/>
  <c r="BK50" i="8"/>
  <c r="BO50" i="8"/>
  <c r="BC17" i="8"/>
  <c r="BC31" i="8"/>
  <c r="BL49" i="8"/>
  <c r="BJ31" i="8"/>
  <c r="BK31" i="8"/>
  <c r="BO31" i="8"/>
  <c r="BF24" i="8"/>
  <c r="BO44" i="8"/>
  <c r="BK44" i="8"/>
  <c r="BJ44" i="8"/>
  <c r="BO29" i="8"/>
  <c r="BJ29" i="8"/>
  <c r="BK29" i="8"/>
  <c r="BO37" i="8"/>
  <c r="BK37" i="8"/>
  <c r="BJ37" i="8"/>
  <c r="BC37" i="8"/>
  <c r="BM32" i="8"/>
  <c r="BC49" i="8"/>
  <c r="BN43" i="8"/>
  <c r="BL43" i="8"/>
  <c r="BO21" i="8"/>
  <c r="BK21" i="8"/>
  <c r="BJ21" i="8"/>
  <c r="BN31" i="8"/>
  <c r="BL31" i="8"/>
  <c r="BL38" i="8"/>
  <c r="BN38" i="8"/>
  <c r="BJ19" i="8"/>
  <c r="AX23" i="8"/>
  <c r="BA23" i="8"/>
  <c r="AS23" i="8"/>
  <c r="AT23" i="8"/>
  <c r="AZ23" i="8"/>
  <c r="AP23" i="8"/>
  <c r="AY23" i="8"/>
  <c r="BH23" i="8" s="1"/>
  <c r="BI23" i="8" s="1"/>
  <c r="AU23" i="8"/>
  <c r="BO23" i="8" s="1"/>
  <c r="AV23" i="8"/>
  <c r="BB23" i="8"/>
  <c r="BL44" i="8"/>
  <c r="BN44" i="8"/>
  <c r="AZ26" i="8"/>
  <c r="AP26" i="8"/>
  <c r="AU26" i="8"/>
  <c r="AV26" i="8"/>
  <c r="AY26" i="8"/>
  <c r="BB26" i="8"/>
  <c r="BA26" i="8"/>
  <c r="AX26" i="8"/>
  <c r="AT26" i="8"/>
  <c r="AS26" i="8"/>
  <c r="BN20" i="8"/>
  <c r="BL20" i="8"/>
  <c r="BH50" i="8"/>
  <c r="BI50" i="8" s="1"/>
  <c r="BC43" i="8"/>
  <c r="BN50" i="8"/>
  <c r="AZ42" i="8"/>
  <c r="AP42" i="8"/>
  <c r="AU42" i="8"/>
  <c r="BB42" i="8"/>
  <c r="AT42" i="8"/>
  <c r="BA42" i="8"/>
  <c r="AS42" i="8"/>
  <c r="AY42" i="8"/>
  <c r="BH42" i="8" s="1"/>
  <c r="BI42" i="8" s="1"/>
  <c r="AX42" i="8"/>
  <c r="AV42" i="8"/>
  <c r="BK27" i="8"/>
  <c r="BJ27" i="8"/>
  <c r="BO27" i="8"/>
  <c r="BL27" i="8"/>
  <c r="BN27" i="8"/>
  <c r="BC32" i="8"/>
  <c r="BM31" i="8"/>
  <c r="BH27" i="8"/>
  <c r="BI27" i="8" s="1"/>
  <c r="BH30" i="8"/>
  <c r="BI30" i="8" s="1"/>
  <c r="BC22" i="8"/>
  <c r="BJ17" i="8"/>
  <c r="BO17" i="8"/>
  <c r="BK17" i="8"/>
  <c r="BO22" i="8"/>
  <c r="BM37" i="8"/>
  <c r="BH29" i="8"/>
  <c r="BI29" i="8" s="1"/>
  <c r="BM20" i="8"/>
  <c r="BL50" i="8"/>
  <c r="BL30" i="8"/>
  <c r="BN30" i="8"/>
  <c r="BH21" i="8"/>
  <c r="BI21" i="8" s="1"/>
  <c r="BC16" i="8"/>
  <c r="BK24" i="8"/>
  <c r="BH47" i="8"/>
  <c r="BI47" i="8" s="1"/>
  <c r="BF47" i="8"/>
  <c r="BF41" i="8"/>
  <c r="BO30" i="8"/>
  <c r="BJ30" i="8"/>
  <c r="BK30" i="8"/>
  <c r="BC38" i="8"/>
  <c r="AZ35" i="8"/>
  <c r="AP35" i="8"/>
  <c r="AU35" i="8"/>
  <c r="BB35" i="8"/>
  <c r="AT35" i="8"/>
  <c r="BA35" i="8"/>
  <c r="AS35" i="8"/>
  <c r="AY35" i="8"/>
  <c r="BH35" i="8" s="1"/>
  <c r="BI35" i="8" s="1"/>
  <c r="AX35" i="8"/>
  <c r="AV35" i="8"/>
  <c r="BK43" i="8"/>
  <c r="BO43" i="8"/>
  <c r="BJ43" i="8"/>
  <c r="AW26" i="8"/>
  <c r="BF21" i="8"/>
  <c r="BJ36" i="8" l="1"/>
  <c r="CA18" i="8"/>
  <c r="CB18" i="8" s="1"/>
  <c r="BF36" i="8"/>
  <c r="BG36" i="8" s="1"/>
  <c r="BY30" i="8"/>
  <c r="BZ30" i="8" s="1"/>
  <c r="BN28" i="8"/>
  <c r="BX20" i="8"/>
  <c r="BY20" i="8"/>
  <c r="BZ20" i="8" s="1"/>
  <c r="BC36" i="8"/>
  <c r="BM36" i="8"/>
  <c r="CA20" i="8"/>
  <c r="CB20" i="8" s="1"/>
  <c r="CA49" i="8"/>
  <c r="CB49" i="8" s="1"/>
  <c r="CA40" i="8"/>
  <c r="CB40" i="8" s="1"/>
  <c r="BY49" i="8"/>
  <c r="BZ49" i="8" s="1"/>
  <c r="BH28" i="8"/>
  <c r="BI28" i="8" s="1"/>
  <c r="BO36" i="8"/>
  <c r="BW37" i="8"/>
  <c r="BW20" i="8"/>
  <c r="BY16" i="8"/>
  <c r="BZ16" i="8" s="1"/>
  <c r="BW49" i="8"/>
  <c r="BW17" i="8"/>
  <c r="BW30" i="8"/>
  <c r="BY43" i="8"/>
  <c r="BZ43" i="8" s="1"/>
  <c r="BW14" i="8"/>
  <c r="BL28" i="8"/>
  <c r="BK36" i="8"/>
  <c r="BY36" i="8" s="1"/>
  <c r="BZ36" i="8" s="1"/>
  <c r="BL36" i="8"/>
  <c r="BH36" i="8"/>
  <c r="BI36" i="8" s="1"/>
  <c r="BW43" i="8"/>
  <c r="BX33" i="8"/>
  <c r="BX18" i="8"/>
  <c r="BF39" i="8"/>
  <c r="BG39" i="8" s="1"/>
  <c r="BX14" i="8"/>
  <c r="BJ39" i="8"/>
  <c r="BX17" i="8"/>
  <c r="BK39" i="8"/>
  <c r="BF34" i="8"/>
  <c r="BG34" i="8" s="1"/>
  <c r="BJ46" i="8"/>
  <c r="BC46" i="8"/>
  <c r="BF46" i="8"/>
  <c r="BG46" i="8" s="1"/>
  <c r="CA43" i="8"/>
  <c r="CB43" i="8" s="1"/>
  <c r="BW33" i="8"/>
  <c r="BM35" i="8"/>
  <c r="BJ23" i="8"/>
  <c r="BW40" i="8"/>
  <c r="BM28" i="8"/>
  <c r="BO28" i="8"/>
  <c r="BK28" i="8"/>
  <c r="BY40" i="8"/>
  <c r="BZ40" i="8" s="1"/>
  <c r="BK46" i="8"/>
  <c r="BM46" i="8"/>
  <c r="BO46" i="8"/>
  <c r="BC28" i="8"/>
  <c r="BJ28" i="8"/>
  <c r="BN46" i="8"/>
  <c r="BL46" i="8"/>
  <c r="BF23" i="8"/>
  <c r="BG23" i="8" s="1"/>
  <c r="BW18" i="8"/>
  <c r="BW32" i="8"/>
  <c r="BF45" i="8"/>
  <c r="BG45" i="8" s="1"/>
  <c r="BF28" i="8"/>
  <c r="BF35" i="8"/>
  <c r="BG35" i="8" s="1"/>
  <c r="BO39" i="8"/>
  <c r="BX40" i="8"/>
  <c r="CA30" i="8"/>
  <c r="CB30" i="8" s="1"/>
  <c r="CA17" i="8"/>
  <c r="CB17" i="8" s="1"/>
  <c r="BX27" i="8"/>
  <c r="BM42" i="8"/>
  <c r="BX29" i="8"/>
  <c r="BY14" i="8"/>
  <c r="BZ14" i="8" s="1"/>
  <c r="BG48" i="8"/>
  <c r="BW48" i="8" s="1"/>
  <c r="BG19" i="8"/>
  <c r="BW19" i="8" s="1"/>
  <c r="BF25" i="8"/>
  <c r="BH34" i="8"/>
  <c r="BI34" i="8" s="1"/>
  <c r="BY18" i="8"/>
  <c r="BZ18" i="8" s="1"/>
  <c r="BG41" i="8"/>
  <c r="BW41" i="8" s="1"/>
  <c r="BW27" i="8"/>
  <c r="BF42" i="8"/>
  <c r="BF26" i="8"/>
  <c r="BW44" i="8"/>
  <c r="BX44" i="8"/>
  <c r="BC23" i="8"/>
  <c r="BW29" i="8"/>
  <c r="BL39" i="8"/>
  <c r="BN39" i="8"/>
  <c r="BY33" i="8"/>
  <c r="BZ33" i="8" s="1"/>
  <c r="CA33" i="8"/>
  <c r="CB33" i="8" s="1"/>
  <c r="BX49" i="8"/>
  <c r="BG15" i="8"/>
  <c r="BW15" i="8" s="1"/>
  <c r="BC45" i="8"/>
  <c r="BC39" i="8"/>
  <c r="BG50" i="8"/>
  <c r="BX50" i="8" s="1"/>
  <c r="CA22" i="8"/>
  <c r="CB22" i="8" s="1"/>
  <c r="BY22" i="8"/>
  <c r="BZ22" i="8" s="1"/>
  <c r="BJ26" i="8"/>
  <c r="BO26" i="8"/>
  <c r="BK26" i="8"/>
  <c r="BL35" i="8"/>
  <c r="BN35" i="8"/>
  <c r="BY37" i="8"/>
  <c r="BZ37" i="8" s="1"/>
  <c r="CA37" i="8"/>
  <c r="CB37" i="8" s="1"/>
  <c r="BH26" i="8"/>
  <c r="BI26" i="8" s="1"/>
  <c r="BL23" i="8"/>
  <c r="BN23" i="8"/>
  <c r="BY44" i="8"/>
  <c r="BZ44" i="8" s="1"/>
  <c r="CA44" i="8"/>
  <c r="CB44" i="8" s="1"/>
  <c r="BX30" i="8"/>
  <c r="BO34" i="8"/>
  <c r="BK34" i="8"/>
  <c r="BJ34" i="8"/>
  <c r="BY17" i="8"/>
  <c r="BZ17" i="8" s="1"/>
  <c r="BX37" i="8"/>
  <c r="BG47" i="8"/>
  <c r="BX47" i="8" s="1"/>
  <c r="BO35" i="8"/>
  <c r="BM23" i="8"/>
  <c r="BO42" i="8"/>
  <c r="BK23" i="8"/>
  <c r="BJ25" i="8"/>
  <c r="BW22" i="8"/>
  <c r="BX22" i="8"/>
  <c r="BN45" i="8"/>
  <c r="BL45" i="8"/>
  <c r="BL25" i="8"/>
  <c r="BN25" i="8"/>
  <c r="BW16" i="8"/>
  <c r="BJ45" i="8"/>
  <c r="BC34" i="8"/>
  <c r="BX43" i="8"/>
  <c r="BX16" i="8"/>
  <c r="BY29" i="8"/>
  <c r="BZ29" i="8" s="1"/>
  <c r="CA29" i="8"/>
  <c r="CB29" i="8" s="1"/>
  <c r="BG38" i="8"/>
  <c r="BX38" i="8" s="1"/>
  <c r="CA27" i="8"/>
  <c r="CB27" i="8" s="1"/>
  <c r="BY27" i="8"/>
  <c r="BZ27" i="8" s="1"/>
  <c r="BL26" i="8"/>
  <c r="BN26" i="8"/>
  <c r="BK35" i="8"/>
  <c r="BL42" i="8"/>
  <c r="BN42" i="8"/>
  <c r="BM26" i="8"/>
  <c r="BK42" i="8"/>
  <c r="BK25" i="8"/>
  <c r="BM25" i="8"/>
  <c r="BK45" i="8"/>
  <c r="BY32" i="8"/>
  <c r="BZ32" i="8" s="1"/>
  <c r="CA32" i="8"/>
  <c r="CB32" i="8" s="1"/>
  <c r="BM34" i="8"/>
  <c r="BG21" i="8"/>
  <c r="BW21" i="8" s="1"/>
  <c r="BC35" i="8"/>
  <c r="BJ35" i="8"/>
  <c r="BC26" i="8"/>
  <c r="BJ42" i="8"/>
  <c r="BG24" i="8"/>
  <c r="BW24" i="8" s="1"/>
  <c r="BO25" i="8"/>
  <c r="BM45" i="8"/>
  <c r="BC25" i="8"/>
  <c r="BM39" i="8"/>
  <c r="BO45" i="8"/>
  <c r="BL34" i="8"/>
  <c r="BN34" i="8"/>
  <c r="BX32" i="8"/>
  <c r="CA16" i="8"/>
  <c r="CB16" i="8" s="1"/>
  <c r="BG31" i="8"/>
  <c r="BX31" i="8" s="1"/>
  <c r="BC42" i="8"/>
  <c r="BX36" i="8" l="1"/>
  <c r="BX35" i="8"/>
  <c r="BX21" i="8"/>
  <c r="BX39" i="8"/>
  <c r="BW38" i="8"/>
  <c r="BW31" i="8"/>
  <c r="BX23" i="8"/>
  <c r="BY46" i="8"/>
  <c r="BZ46" i="8" s="1"/>
  <c r="BW36" i="8"/>
  <c r="CA46" i="8"/>
  <c r="CB46" i="8" s="1"/>
  <c r="CA36" i="8"/>
  <c r="CB36" i="8" s="1"/>
  <c r="BW39" i="8"/>
  <c r="BW46" i="8"/>
  <c r="BW50" i="8"/>
  <c r="BG28" i="8"/>
  <c r="BX28" i="8" s="1"/>
  <c r="BY48" i="8"/>
  <c r="BZ48" i="8" s="1"/>
  <c r="BX48" i="8"/>
  <c r="CA48" i="8"/>
  <c r="CB48" i="8" s="1"/>
  <c r="BW35" i="8"/>
  <c r="BW23" i="8"/>
  <c r="BW34" i="8"/>
  <c r="BW45" i="8"/>
  <c r="BX46" i="8"/>
  <c r="CA39" i="8"/>
  <c r="CB39" i="8" s="1"/>
  <c r="BY39" i="8"/>
  <c r="BZ39" i="8" s="1"/>
  <c r="BX34" i="8"/>
  <c r="BW47" i="8"/>
  <c r="CA45" i="8"/>
  <c r="CB45" i="8" s="1"/>
  <c r="BY45" i="8"/>
  <c r="BZ45" i="8" s="1"/>
  <c r="CA38" i="8"/>
  <c r="CB38" i="8" s="1"/>
  <c r="BY38" i="8"/>
  <c r="BZ38" i="8" s="1"/>
  <c r="BX45" i="8"/>
  <c r="CA41" i="8"/>
  <c r="CB41" i="8" s="1"/>
  <c r="BY41" i="8"/>
  <c r="BZ41" i="8" s="1"/>
  <c r="BX41" i="8"/>
  <c r="BY34" i="8"/>
  <c r="BZ34" i="8" s="1"/>
  <c r="CA34" i="8"/>
  <c r="CB34" i="8" s="1"/>
  <c r="CA15" i="8"/>
  <c r="CB15" i="8" s="1"/>
  <c r="BY15" i="8"/>
  <c r="BZ15" i="8" s="1"/>
  <c r="BX15" i="8"/>
  <c r="CA23" i="8"/>
  <c r="CB23" i="8" s="1"/>
  <c r="BY23" i="8"/>
  <c r="BZ23" i="8" s="1"/>
  <c r="CA47" i="8"/>
  <c r="CB47" i="8" s="1"/>
  <c r="BY47" i="8"/>
  <c r="BZ47" i="8" s="1"/>
  <c r="BY24" i="8"/>
  <c r="BZ24" i="8" s="1"/>
  <c r="CA24" i="8"/>
  <c r="CB24" i="8" s="1"/>
  <c r="BX24" i="8"/>
  <c r="CA35" i="8"/>
  <c r="CB35" i="8" s="1"/>
  <c r="BY35" i="8"/>
  <c r="BZ35" i="8" s="1"/>
  <c r="BG25" i="8"/>
  <c r="BW25" i="8" s="1"/>
  <c r="BY31" i="8"/>
  <c r="BZ31" i="8" s="1"/>
  <c r="CA31" i="8"/>
  <c r="CB31" i="8" s="1"/>
  <c r="CA21" i="8"/>
  <c r="CB21" i="8" s="1"/>
  <c r="BY21" i="8"/>
  <c r="BZ21" i="8" s="1"/>
  <c r="BG26" i="8"/>
  <c r="BW26" i="8" s="1"/>
  <c r="BY50" i="8"/>
  <c r="BZ50" i="8" s="1"/>
  <c r="CA50" i="8"/>
  <c r="CB50" i="8" s="1"/>
  <c r="BG42" i="8"/>
  <c r="BW42" i="8" s="1"/>
  <c r="BY19" i="8"/>
  <c r="BZ19" i="8" s="1"/>
  <c r="CA19" i="8"/>
  <c r="CB19" i="8" s="1"/>
  <c r="BX19" i="8"/>
  <c r="BY28" i="8" l="1"/>
  <c r="BZ28" i="8" s="1"/>
  <c r="CA28" i="8"/>
  <c r="CB28" i="8" s="1"/>
  <c r="BW28" i="8"/>
  <c r="BY26" i="8"/>
  <c r="BZ26" i="8" s="1"/>
  <c r="CA26" i="8"/>
  <c r="CB26" i="8" s="1"/>
  <c r="BY42" i="8"/>
  <c r="BZ42" i="8" s="1"/>
  <c r="CA42" i="8"/>
  <c r="CB42" i="8" s="1"/>
  <c r="BX42" i="8"/>
  <c r="BX26" i="8"/>
  <c r="BY25" i="8"/>
  <c r="BZ25" i="8" s="1"/>
  <c r="CA25" i="8"/>
  <c r="CB25" i="8" s="1"/>
  <c r="BX25" i="8"/>
  <c r="S7" i="3" l="1"/>
  <c r="S20" i="3"/>
  <c r="S19" i="3"/>
  <c r="P5" i="2" l="1"/>
  <c r="O5" i="2"/>
  <c r="S62" i="3"/>
  <c r="S61" i="3"/>
  <c r="S60" i="3"/>
  <c r="S59" i="3"/>
  <c r="S58" i="3"/>
  <c r="S39" i="3"/>
  <c r="S38" i="3"/>
  <c r="S37" i="3"/>
  <c r="S36" i="3"/>
  <c r="S35" i="3"/>
  <c r="S34" i="3"/>
  <c r="S33" i="3"/>
  <c r="S32" i="3"/>
  <c r="S31" i="3"/>
  <c r="S30" i="3"/>
  <c r="S29" i="3"/>
  <c r="S28" i="3"/>
  <c r="S27" i="3"/>
  <c r="S26" i="3"/>
  <c r="S25" i="3"/>
  <c r="S24" i="3"/>
  <c r="S23" i="3"/>
  <c r="S22" i="3"/>
  <c r="S21" i="3"/>
  <c r="S18" i="3"/>
  <c r="S17" i="3"/>
  <c r="S16" i="3"/>
  <c r="S15" i="3"/>
  <c r="S14" i="3"/>
  <c r="S13" i="3"/>
  <c r="S12" i="3"/>
  <c r="S11" i="3"/>
  <c r="S10" i="3"/>
  <c r="S9" i="3"/>
  <c r="S8" i="3"/>
  <c r="P52" i="2"/>
  <c r="O52" i="2"/>
  <c r="P51" i="2"/>
  <c r="O51" i="2"/>
  <c r="P50" i="2"/>
  <c r="O50" i="2"/>
  <c r="P48" i="2"/>
  <c r="O48" i="2"/>
  <c r="P47" i="2"/>
  <c r="O47" i="2"/>
  <c r="P46" i="2"/>
  <c r="O46" i="2"/>
  <c r="P45" i="2"/>
  <c r="O45" i="2"/>
  <c r="P49" i="2"/>
  <c r="O49" i="2"/>
  <c r="P44" i="2"/>
  <c r="O44" i="2"/>
  <c r="P43" i="2"/>
  <c r="O43" i="2"/>
  <c r="P42" i="2"/>
  <c r="O42" i="2"/>
  <c r="P41" i="2"/>
  <c r="O41" i="2"/>
  <c r="P40" i="2"/>
  <c r="O40" i="2"/>
  <c r="P39" i="2"/>
  <c r="O39" i="2"/>
  <c r="P38" i="2"/>
  <c r="O38" i="2"/>
  <c r="P37" i="2"/>
  <c r="O37" i="2"/>
  <c r="P36" i="2"/>
  <c r="O36" i="2"/>
  <c r="P35" i="2"/>
  <c r="O35" i="2"/>
  <c r="P34" i="2"/>
  <c r="O34" i="2"/>
  <c r="P33" i="2"/>
  <c r="O33" i="2"/>
  <c r="P32" i="2"/>
  <c r="O32" i="2"/>
  <c r="P31" i="2"/>
  <c r="O31" i="2"/>
  <c r="P30" i="2"/>
  <c r="O30" i="2"/>
  <c r="P29" i="2"/>
  <c r="O29" i="2"/>
  <c r="P28" i="2"/>
  <c r="O28" i="2"/>
  <c r="P27" i="2"/>
  <c r="O27" i="2"/>
  <c r="P26" i="2"/>
  <c r="O26" i="2"/>
  <c r="P25" i="2"/>
  <c r="O25" i="2"/>
  <c r="P24" i="2"/>
  <c r="O24" i="2"/>
  <c r="P23" i="2"/>
  <c r="O23" i="2"/>
  <c r="P22" i="2"/>
  <c r="O22" i="2"/>
  <c r="P21" i="2"/>
  <c r="O21" i="2"/>
  <c r="P20" i="2"/>
  <c r="O20" i="2"/>
  <c r="P19" i="2"/>
  <c r="O19" i="2"/>
  <c r="P18" i="2"/>
  <c r="O18" i="2"/>
  <c r="P17" i="2"/>
  <c r="O17" i="2"/>
  <c r="P16" i="2"/>
  <c r="O16" i="2"/>
  <c r="P15" i="2"/>
  <c r="O15" i="2"/>
  <c r="P14" i="2"/>
  <c r="O14" i="2"/>
  <c r="P13" i="2"/>
  <c r="O13" i="2"/>
  <c r="P12" i="2"/>
  <c r="O12" i="2"/>
  <c r="P11" i="2"/>
  <c r="O11" i="2"/>
  <c r="P10" i="2"/>
  <c r="O10" i="2"/>
  <c r="P9" i="2"/>
  <c r="O9" i="2"/>
  <c r="P8" i="2"/>
  <c r="O8" i="2"/>
  <c r="P7" i="2"/>
  <c r="O7" i="2"/>
  <c r="P6" i="2"/>
  <c r="O6" i="2"/>
  <c r="S5" i="1" l="1"/>
</calcChain>
</file>

<file path=xl/sharedStrings.xml><?xml version="1.0" encoding="utf-8"?>
<sst xmlns="http://schemas.openxmlformats.org/spreadsheetml/2006/main" count="1683" uniqueCount="481">
  <si>
    <t>Rock type</t>
  </si>
  <si>
    <t>Reference</t>
  </si>
  <si>
    <t>Longtitude</t>
  </si>
  <si>
    <t>Latitude</t>
  </si>
  <si>
    <t>SiO2 (wt.%)</t>
  </si>
  <si>
    <t>TiO2  (wt.%)</t>
  </si>
  <si>
    <t>Al2O3  (wt.%)</t>
  </si>
  <si>
    <t>Fe2O3-tot (wt.%)</t>
  </si>
  <si>
    <t>FeO-tot (wt.%)</t>
  </si>
  <si>
    <t>MnO (wt.%)</t>
  </si>
  <si>
    <t>MgO (wt.%)</t>
  </si>
  <si>
    <t>CaO (wt.%)</t>
  </si>
  <si>
    <t>Na2O (wt.%)</t>
  </si>
  <si>
    <t>K2O (wt.%)</t>
  </si>
  <si>
    <t>P2O5 (wt.%)</t>
  </si>
  <si>
    <t>LOI (wt.%)</t>
  </si>
  <si>
    <t>Total (wt.%)</t>
  </si>
  <si>
    <t>Sample ID</t>
  </si>
  <si>
    <t>Ba137</t>
  </si>
  <si>
    <t>Be9</t>
  </si>
  <si>
    <t>Ce140</t>
  </si>
  <si>
    <t>Co59</t>
  </si>
  <si>
    <t>Cr52</t>
  </si>
  <si>
    <t>Cs133</t>
  </si>
  <si>
    <t>Cu65</t>
  </si>
  <si>
    <t>Dy161</t>
  </si>
  <si>
    <t>Er166</t>
  </si>
  <si>
    <t>Eu151</t>
  </si>
  <si>
    <t>Gd157</t>
  </si>
  <si>
    <t>Hf179</t>
  </si>
  <si>
    <t>Ho165</t>
  </si>
  <si>
    <t>La139</t>
  </si>
  <si>
    <t>Li7</t>
  </si>
  <si>
    <t>Lu175</t>
  </si>
  <si>
    <t>Mo95</t>
  </si>
  <si>
    <t>Nb93</t>
  </si>
  <si>
    <t>Nd143</t>
  </si>
  <si>
    <t>Ni60</t>
  </si>
  <si>
    <t>Pb206</t>
  </si>
  <si>
    <t>Pr141</t>
  </si>
  <si>
    <t>Rb85</t>
  </si>
  <si>
    <t>Sc45</t>
  </si>
  <si>
    <t>Sm147</t>
  </si>
  <si>
    <t>Sr88</t>
  </si>
  <si>
    <t>Ta181</t>
  </si>
  <si>
    <t>Tb159</t>
  </si>
  <si>
    <t>Th232</t>
  </si>
  <si>
    <t>Ti49</t>
  </si>
  <si>
    <t>Tl</t>
  </si>
  <si>
    <t>Tm169</t>
  </si>
  <si>
    <t>U238</t>
  </si>
  <si>
    <t>V51</t>
  </si>
  <si>
    <t>W</t>
  </si>
  <si>
    <t>Y89</t>
  </si>
  <si>
    <t>Yb172</t>
  </si>
  <si>
    <t>Zn66</t>
  </si>
  <si>
    <t>Zr90</t>
  </si>
  <si>
    <t>Basanite</t>
  </si>
  <si>
    <t>Table S1. Composition of studied sample P-1-6 (basanite from Possesion island, Crozet bank, Indian ocean): major, trace and isotopic composition</t>
  </si>
  <si>
    <t>P-1-6</t>
  </si>
  <si>
    <t>Location</t>
  </si>
  <si>
    <t>Possesion island (Crozet Bank, Indian ocean)</t>
  </si>
  <si>
    <t>51°48'28" E</t>
  </si>
  <si>
    <t>46°23'29" S</t>
  </si>
  <si>
    <t>Method-1-Major Elements</t>
  </si>
  <si>
    <t>Method-2. Trace elements</t>
  </si>
  <si>
    <t>Method-3. Isotopes</t>
  </si>
  <si>
    <t>StDev (wt.%)</t>
  </si>
  <si>
    <t>EPMA, MSU</t>
  </si>
  <si>
    <t>Fo (mol.%)</t>
  </si>
  <si>
    <t>Analytical method</t>
  </si>
  <si>
    <t>Number of analyses</t>
  </si>
  <si>
    <t xml:space="preserve">SiO2 (wt.%)  </t>
  </si>
  <si>
    <t xml:space="preserve">TiO2  (wt.%)    </t>
  </si>
  <si>
    <t xml:space="preserve">Al2O3  (wt.%)   </t>
  </si>
  <si>
    <t xml:space="preserve">FeO  (wt.%)     </t>
  </si>
  <si>
    <t xml:space="preserve">MnO  (wt.%)    </t>
  </si>
  <si>
    <t xml:space="preserve">MgO  (wt.%)     </t>
  </si>
  <si>
    <t xml:space="preserve">CaO  (wt.%)     </t>
  </si>
  <si>
    <t xml:space="preserve">NiO  (wt.%)     </t>
  </si>
  <si>
    <t xml:space="preserve">Cr2O3  (wt.%)   </t>
  </si>
  <si>
    <t xml:space="preserve">Total  (wt.%)    </t>
  </si>
  <si>
    <t>SiO2</t>
  </si>
  <si>
    <t>TiO2</t>
  </si>
  <si>
    <t>Al2O3</t>
  </si>
  <si>
    <t>FeO-t</t>
  </si>
  <si>
    <t>MnO</t>
  </si>
  <si>
    <t>MgO</t>
  </si>
  <si>
    <t>CaO</t>
  </si>
  <si>
    <t>NiO</t>
  </si>
  <si>
    <t>CoO</t>
  </si>
  <si>
    <t>Cr2O3</t>
  </si>
  <si>
    <t>Total</t>
  </si>
  <si>
    <t>Mg# (mol%)</t>
  </si>
  <si>
    <t>Olivine</t>
  </si>
  <si>
    <t>Phenocryst with Spinel inclusion +CPx-association</t>
  </si>
  <si>
    <t>Ol-As1_1</t>
  </si>
  <si>
    <t>Thin-section P-1-6</t>
  </si>
  <si>
    <t>Ol-As1_2</t>
  </si>
  <si>
    <t>Ol-As2_1</t>
  </si>
  <si>
    <t>Ol-As3_1</t>
  </si>
  <si>
    <t>Phenocryst with Spinel inclusion</t>
  </si>
  <si>
    <t>Ol4-av</t>
  </si>
  <si>
    <t>Ol5-av</t>
  </si>
  <si>
    <t>Ol6-av</t>
  </si>
  <si>
    <t>Ol7</t>
  </si>
  <si>
    <t>Ol8-av</t>
  </si>
  <si>
    <t>Ol9-av</t>
  </si>
  <si>
    <t>Ol10-av</t>
  </si>
  <si>
    <t>Ol11</t>
  </si>
  <si>
    <t>mount2_ol01</t>
  </si>
  <si>
    <t>mount2_ol02</t>
  </si>
  <si>
    <t>mount2_ol03</t>
  </si>
  <si>
    <t>mount2_ol05</t>
  </si>
  <si>
    <t>mount2_ol06</t>
  </si>
  <si>
    <t>mount2_ol07</t>
  </si>
  <si>
    <t>mount2_ol08</t>
  </si>
  <si>
    <t>mount2_ol09</t>
  </si>
  <si>
    <t>mount2_ol10-av</t>
  </si>
  <si>
    <t>mount2_ol11</t>
  </si>
  <si>
    <t>mount2_ol12</t>
  </si>
  <si>
    <t>mount2_ol13</t>
  </si>
  <si>
    <t>mount2_ol14</t>
  </si>
  <si>
    <t>mount2_ol15</t>
  </si>
  <si>
    <t>mount2_ol16</t>
  </si>
  <si>
    <t>mount2_ol19</t>
  </si>
  <si>
    <t>mount2_ol20</t>
  </si>
  <si>
    <t>mount2_ol21</t>
  </si>
  <si>
    <t>Phenocryst</t>
  </si>
  <si>
    <t>OL-1</t>
  </si>
  <si>
    <t>TESCAN, GEOKHI RAS</t>
  </si>
  <si>
    <t>Thin-section</t>
  </si>
  <si>
    <t>OL-2</t>
  </si>
  <si>
    <t>OL-3</t>
  </si>
  <si>
    <t>Phenocryst with Spinel inclusions</t>
  </si>
  <si>
    <t>OL-4</t>
  </si>
  <si>
    <t>OL-5</t>
  </si>
  <si>
    <t>OL-6</t>
  </si>
  <si>
    <t>OL-7</t>
  </si>
  <si>
    <t>As-1-OL-1</t>
  </si>
  <si>
    <t>As-1-OL-2</t>
  </si>
  <si>
    <t>Ol inclusion in CPx phenocryst</t>
  </si>
  <si>
    <t>As-2-OL-incl-1</t>
  </si>
  <si>
    <t>As-2-OL-1</t>
  </si>
  <si>
    <t>As-2-OL-2</t>
  </si>
  <si>
    <t>As-3-OL-1</t>
  </si>
  <si>
    <t>As-3-OL-2</t>
  </si>
  <si>
    <t>Microlite - center, in groundmass</t>
  </si>
  <si>
    <t>Ol-micr-1a</t>
  </si>
  <si>
    <t>Microlite - rim, in groundmass</t>
  </si>
  <si>
    <t>Ol-micr-1b</t>
  </si>
  <si>
    <t>Microlite, in groundmass</t>
  </si>
  <si>
    <t>OL-micr-2a</t>
  </si>
  <si>
    <t>Table S2. Composition of olivine in basanite P-1-6 (Possesion island, Crozet bank, Indian ocean) determined by two different methods (EPMA and TESCAN)</t>
  </si>
  <si>
    <t>Analysis ID</t>
  </si>
  <si>
    <t>Description</t>
  </si>
  <si>
    <t>Number of analyses of one grain</t>
  </si>
  <si>
    <t>Concentration</t>
  </si>
  <si>
    <t>Method</t>
  </si>
  <si>
    <t>Equation</t>
  </si>
  <si>
    <t xml:space="preserve"> ΔQFM Ballhaus et al. (1990) </t>
  </si>
  <si>
    <t>Ballhaus C.G., Berry R.F., Green D.H. (1991) High pressure experimental calibration of the olivine-orthopyroxene-spinel oxygen geobarometer: implications for the oxidation state of the upper mantle // Contrib.Mineral.Petrol., 1991, vol. 107, pp. 27-40.</t>
  </si>
  <si>
    <r>
      <t>Δlog(f</t>
    </r>
    <r>
      <rPr>
        <b/>
        <vertAlign val="subscript"/>
        <sz val="10"/>
        <rFont val="Calibri"/>
        <family val="2"/>
        <charset val="204"/>
        <scheme val="minor"/>
      </rPr>
      <t>O2</t>
    </r>
    <r>
      <rPr>
        <b/>
        <sz val="10"/>
        <rFont val="Calibri"/>
        <family val="2"/>
        <charset val="204"/>
        <scheme val="minor"/>
      </rPr>
      <t>)FMQ= 0.27 + 2505/T- 400P/T- 6log (X</t>
    </r>
    <r>
      <rPr>
        <b/>
        <vertAlign val="subscript"/>
        <sz val="10"/>
        <rFont val="Calibri"/>
        <family val="2"/>
        <charset val="204"/>
        <scheme val="minor"/>
      </rPr>
      <t>Fe</t>
    </r>
    <r>
      <rPr>
        <b/>
        <vertAlign val="superscript"/>
        <sz val="10"/>
        <rFont val="Calibri"/>
        <family val="2"/>
        <charset val="204"/>
        <scheme val="minor"/>
      </rPr>
      <t>Oliv</t>
    </r>
    <r>
      <rPr>
        <b/>
        <sz val="10"/>
        <rFont val="Calibri"/>
        <family val="2"/>
        <charset val="204"/>
        <scheme val="minor"/>
      </rPr>
      <t>) - 3200(1 - X</t>
    </r>
    <r>
      <rPr>
        <b/>
        <vertAlign val="subscript"/>
        <sz val="10"/>
        <rFont val="Calibri"/>
        <family val="2"/>
        <charset val="204"/>
        <scheme val="minor"/>
      </rPr>
      <t>Fe</t>
    </r>
    <r>
      <rPr>
        <b/>
        <vertAlign val="superscript"/>
        <sz val="10"/>
        <rFont val="Calibri"/>
        <family val="2"/>
        <charset val="204"/>
        <scheme val="minor"/>
      </rPr>
      <t>Oliv</t>
    </r>
    <r>
      <rPr>
        <b/>
        <sz val="10"/>
        <rFont val="Calibri"/>
        <family val="2"/>
        <charset val="204"/>
        <scheme val="minor"/>
      </rPr>
      <t>)</t>
    </r>
    <r>
      <rPr>
        <b/>
        <vertAlign val="superscript"/>
        <sz val="10"/>
        <rFont val="Calibri"/>
        <family val="2"/>
        <charset val="204"/>
        <scheme val="minor"/>
      </rPr>
      <t>2</t>
    </r>
    <r>
      <rPr>
        <b/>
        <sz val="10"/>
        <rFont val="Calibri"/>
        <family val="2"/>
        <charset val="204"/>
        <scheme val="minor"/>
      </rPr>
      <t>/T + 21og(X</t>
    </r>
    <r>
      <rPr>
        <b/>
        <vertAlign val="subscript"/>
        <sz val="10"/>
        <rFont val="Calibri"/>
        <family val="2"/>
        <charset val="204"/>
        <scheme val="minor"/>
      </rPr>
      <t>Fe2+</t>
    </r>
    <r>
      <rPr>
        <b/>
        <vertAlign val="superscript"/>
        <sz val="10"/>
        <rFont val="Calibri"/>
        <family val="2"/>
        <charset val="204"/>
        <scheme val="minor"/>
      </rPr>
      <t>Spinel</t>
    </r>
    <r>
      <rPr>
        <b/>
        <sz val="10"/>
        <rFont val="Calibri"/>
        <family val="2"/>
        <charset val="204"/>
        <scheme val="minor"/>
      </rPr>
      <t>) + 4 log (X</t>
    </r>
    <r>
      <rPr>
        <b/>
        <vertAlign val="subscript"/>
        <sz val="10"/>
        <rFont val="Calibri"/>
        <family val="2"/>
        <charset val="204"/>
        <scheme val="minor"/>
      </rPr>
      <t>Fe3+</t>
    </r>
    <r>
      <rPr>
        <b/>
        <vertAlign val="superscript"/>
        <sz val="10"/>
        <rFont val="Calibri"/>
        <family val="2"/>
        <charset val="204"/>
        <scheme val="minor"/>
      </rPr>
      <t>Spinel</t>
    </r>
    <r>
      <rPr>
        <b/>
        <sz val="10"/>
        <rFont val="Calibri"/>
        <family val="2"/>
        <charset val="204"/>
        <scheme val="minor"/>
      </rPr>
      <t>) + 2630 (X</t>
    </r>
    <r>
      <rPr>
        <b/>
        <vertAlign val="subscript"/>
        <sz val="10"/>
        <rFont val="Calibri"/>
        <family val="2"/>
        <charset val="204"/>
        <scheme val="minor"/>
      </rPr>
      <t>Al</t>
    </r>
    <r>
      <rPr>
        <b/>
        <vertAlign val="superscript"/>
        <sz val="10"/>
        <rFont val="Calibri"/>
        <family val="2"/>
        <charset val="204"/>
        <scheme val="minor"/>
      </rPr>
      <t>Spinel</t>
    </r>
    <r>
      <rPr>
        <b/>
        <sz val="10"/>
        <rFont val="Calibri"/>
        <family val="2"/>
        <charset val="204"/>
        <scheme val="minor"/>
      </rPr>
      <t>)</t>
    </r>
    <r>
      <rPr>
        <b/>
        <vertAlign val="superscript"/>
        <sz val="10"/>
        <rFont val="Calibri"/>
        <family val="2"/>
        <charset val="204"/>
        <scheme val="minor"/>
      </rPr>
      <t>2</t>
    </r>
    <r>
      <rPr>
        <b/>
        <sz val="10"/>
        <rFont val="Calibri"/>
        <family val="2"/>
        <charset val="204"/>
        <scheme val="minor"/>
      </rPr>
      <t>/ T (K).</t>
    </r>
  </si>
  <si>
    <t>Ballhaus et al. (1990) Nature, No 6300 pp. 437-440</t>
  </si>
  <si>
    <r>
      <t>Δ log (f</t>
    </r>
    <r>
      <rPr>
        <b/>
        <vertAlign val="subscript"/>
        <sz val="10"/>
        <rFont val="Calibri"/>
        <family val="2"/>
        <charset val="204"/>
        <scheme val="minor"/>
      </rPr>
      <t>O2</t>
    </r>
    <r>
      <rPr>
        <b/>
        <sz val="10"/>
        <rFont val="Calibri"/>
        <family val="2"/>
        <charset val="204"/>
        <scheme val="minor"/>
      </rPr>
      <t>) FMQ= 0.27 + 2505/T- 400P/T- 6log (X</t>
    </r>
    <r>
      <rPr>
        <b/>
        <vertAlign val="subscript"/>
        <sz val="10"/>
        <rFont val="Calibri"/>
        <family val="2"/>
        <charset val="204"/>
        <scheme val="minor"/>
      </rPr>
      <t>Fe</t>
    </r>
    <r>
      <rPr>
        <b/>
        <vertAlign val="superscript"/>
        <sz val="10"/>
        <rFont val="Calibri"/>
        <family val="2"/>
        <charset val="204"/>
        <scheme val="minor"/>
      </rPr>
      <t>Oliv</t>
    </r>
    <r>
      <rPr>
        <b/>
        <sz val="10"/>
        <rFont val="Calibri"/>
        <family val="2"/>
        <charset val="204"/>
        <scheme val="minor"/>
      </rPr>
      <t>) - 3200(1 - X</t>
    </r>
    <r>
      <rPr>
        <b/>
        <vertAlign val="subscript"/>
        <sz val="10"/>
        <rFont val="Calibri"/>
        <family val="2"/>
        <charset val="204"/>
        <scheme val="minor"/>
      </rPr>
      <t>Fe</t>
    </r>
    <r>
      <rPr>
        <b/>
        <vertAlign val="superscript"/>
        <sz val="10"/>
        <rFont val="Calibri"/>
        <family val="2"/>
        <charset val="204"/>
        <scheme val="minor"/>
      </rPr>
      <t>Oliv</t>
    </r>
    <r>
      <rPr>
        <b/>
        <sz val="10"/>
        <rFont val="Calibri"/>
        <family val="2"/>
        <charset val="204"/>
        <scheme val="minor"/>
      </rPr>
      <t>)</t>
    </r>
    <r>
      <rPr>
        <b/>
        <vertAlign val="superscript"/>
        <sz val="10"/>
        <rFont val="Calibri"/>
        <family val="2"/>
        <charset val="204"/>
        <scheme val="minor"/>
      </rPr>
      <t>2</t>
    </r>
    <r>
      <rPr>
        <b/>
        <sz val="10"/>
        <rFont val="Calibri"/>
        <family val="2"/>
        <charset val="204"/>
        <scheme val="minor"/>
      </rPr>
      <t>/T + 21og(X</t>
    </r>
    <r>
      <rPr>
        <b/>
        <vertAlign val="subscript"/>
        <sz val="10"/>
        <rFont val="Calibri"/>
        <family val="2"/>
        <charset val="204"/>
        <scheme val="minor"/>
      </rPr>
      <t>Fe2+</t>
    </r>
    <r>
      <rPr>
        <b/>
        <vertAlign val="superscript"/>
        <sz val="10"/>
        <rFont val="Calibri"/>
        <family val="2"/>
        <charset val="204"/>
        <scheme val="minor"/>
      </rPr>
      <t>Spinel</t>
    </r>
    <r>
      <rPr>
        <b/>
        <sz val="10"/>
        <rFont val="Calibri"/>
        <family val="2"/>
        <charset val="204"/>
        <scheme val="minor"/>
      </rPr>
      <t>) + 4 log (X</t>
    </r>
    <r>
      <rPr>
        <b/>
        <vertAlign val="subscript"/>
        <sz val="10"/>
        <rFont val="Calibri"/>
        <family val="2"/>
        <charset val="204"/>
        <scheme val="minor"/>
      </rPr>
      <t>Fe3+</t>
    </r>
    <r>
      <rPr>
        <b/>
        <vertAlign val="superscript"/>
        <sz val="10"/>
        <rFont val="Calibri"/>
        <family val="2"/>
        <charset val="204"/>
        <scheme val="minor"/>
      </rPr>
      <t>Spinel</t>
    </r>
    <r>
      <rPr>
        <b/>
        <sz val="10"/>
        <rFont val="Calibri"/>
        <family val="2"/>
        <charset val="204"/>
        <scheme val="minor"/>
      </rPr>
      <t>) + 2630 (X</t>
    </r>
    <r>
      <rPr>
        <b/>
        <vertAlign val="subscript"/>
        <sz val="10"/>
        <rFont val="Calibri"/>
        <family val="2"/>
        <charset val="204"/>
        <scheme val="minor"/>
      </rPr>
      <t xml:space="preserve">Al </t>
    </r>
    <r>
      <rPr>
        <b/>
        <vertAlign val="superscript"/>
        <sz val="10"/>
        <rFont val="Calibri"/>
        <family val="2"/>
        <charset val="204"/>
        <scheme val="minor"/>
      </rPr>
      <t>Spinel</t>
    </r>
    <r>
      <rPr>
        <b/>
        <sz val="10"/>
        <rFont val="Calibri"/>
        <family val="2"/>
        <charset val="204"/>
        <scheme val="minor"/>
      </rPr>
      <t>)</t>
    </r>
    <r>
      <rPr>
        <b/>
        <vertAlign val="superscript"/>
        <sz val="10"/>
        <rFont val="Calibri"/>
        <family val="2"/>
        <charset val="204"/>
        <scheme val="minor"/>
      </rPr>
      <t>2</t>
    </r>
    <r>
      <rPr>
        <b/>
        <sz val="10"/>
        <rFont val="Calibri"/>
        <family val="2"/>
        <charset val="204"/>
        <scheme val="minor"/>
      </rPr>
      <t>/T.</t>
    </r>
  </si>
  <si>
    <t>log(fO2) (O'Neill 1987a)</t>
  </si>
  <si>
    <t>O'Neill H.St.C. (1987a) The quartz-fayalite-iron and quartz-fayalite-magnetite equilibria and the free energies of formation of fayalite (Fe2SiO4) and magnetite (Fe3O4). American Mineralogist, vol. 72, pp. 67-75</t>
  </si>
  <si>
    <t>lgfO2 (FMQ) = 82.75 + 0.00484*T - 30681/T - 24.45*logT + 940P/T -0.02*P</t>
  </si>
  <si>
    <t>Tclc, C (Ballhaus, 1991)</t>
  </si>
  <si>
    <t>T, C = (6530 + 280*Pressure +7000 + 108*Pressure)*(1-2*XFeOl)-1960*(XMgSp - XFe2+ Sp)+16150*XCr Sp+25150*(XFe3+ Sp+X Ti Sp))/(8.31441*LN((XMg Ol*X Fe2+ Sp)/(XFe Ol*XMg Sp))+4.705)-273</t>
  </si>
  <si>
    <t>Tclc, C (ONeill&amp;Wall, 1987)</t>
  </si>
  <si>
    <t>O'Neill H.St.C, Wall V.J. (1987) The olivine-orthopyroxene-spinel oxygen geobarometer, the nickel precipitation curve, and the oxygen fugacity of the Earth's upper mantle. Journal of Petrology, vol. 28, pp. 1169- 1191</t>
  </si>
  <si>
    <t>T, C = (6530 + 280*Pressure(Gpa) + 5000 + 108*Pressure(GPa)*(XMgOl - XFeOl) - 1960*(1 + XTi Sp)(XMgSp - XFe2+Sp) + 18620*XCrSp + 25150*(XFe3+Sp + XTiSp))/(8.31441*LN((XMgOl * XFe2+Sp)/(XFeOl * XMgSp)) +4.705) -273</t>
  </si>
  <si>
    <t xml:space="preserve"> ΔQFM (Nikolaev, Ariskin et al., 2015) </t>
  </si>
  <si>
    <t>Nikolaev G.S., Ariskin A.A., Barmina G.S., Nazarova M.A., Almeev R.R. (2016) Test of the Ballhaus–Berry–Green Ol–Opx–Sp oxybarometer and calibration of a new equation for estimating the redox state of melts saturated with olivine and spinel. Geochem. Int. 54 (4), 301–320.</t>
  </si>
  <si>
    <r>
      <t>ΔQFM log (f</t>
    </r>
    <r>
      <rPr>
        <b/>
        <vertAlign val="subscript"/>
        <sz val="10"/>
        <rFont val="Calibri"/>
        <family val="2"/>
        <charset val="204"/>
        <scheme val="minor"/>
      </rPr>
      <t>O2</t>
    </r>
    <r>
      <rPr>
        <b/>
        <sz val="10"/>
        <rFont val="Calibri"/>
        <family val="2"/>
        <charset val="204"/>
        <scheme val="minor"/>
      </rPr>
      <t>) = 4718/T(K)- 0.05*P(GPa)/T(K)- 2.697*LN ((X</t>
    </r>
    <r>
      <rPr>
        <b/>
        <vertAlign val="subscript"/>
        <sz val="10"/>
        <rFont val="Calibri"/>
        <family val="2"/>
        <charset val="204"/>
        <scheme val="minor"/>
      </rPr>
      <t>Fe2+</t>
    </r>
    <r>
      <rPr>
        <b/>
        <vertAlign val="superscript"/>
        <sz val="10"/>
        <rFont val="Calibri"/>
        <family val="2"/>
        <charset val="204"/>
        <scheme val="minor"/>
      </rPr>
      <t>Oliv)/(XFe2+Ol + XMgOl)</t>
    </r>
    <r>
      <rPr>
        <b/>
        <sz val="10"/>
        <rFont val="Calibri"/>
        <family val="2"/>
        <charset val="204"/>
        <scheme val="minor"/>
      </rPr>
      <t>) -0.914* LN((XFe2+Sp)/(XFe2+Sp + XMgSp))-1.027*(LN((XFe2+Sp)/(XFe2+Sp + XMgSp)))^</t>
    </r>
    <r>
      <rPr>
        <b/>
        <vertAlign val="superscript"/>
        <sz val="10"/>
        <rFont val="Calibri"/>
        <family val="2"/>
        <charset val="204"/>
        <scheme val="minor"/>
      </rPr>
      <t>2</t>
    </r>
    <r>
      <rPr>
        <b/>
        <sz val="10"/>
        <rFont val="Calibri"/>
        <family val="2"/>
        <charset val="204"/>
        <scheme val="minor"/>
      </rPr>
      <t xml:space="preserve"> + 1.908*LN((XFe3+Sp)/((XAlSp + XCrSp + XFe3+Sp)) + 0.116*(LN((XFe3+Sp)/((XAlSp+XCrSp + XFe3+Sp)))^2 - 4.380</t>
    </r>
  </si>
  <si>
    <t>T, °C (Coogan, 2014)</t>
  </si>
  <si>
    <t>Coogan L.A., Saunders A.D., Wilson R.N. Aluminium-in-olivine thermometry of primitive basalts: Evidence of an anomalously hot mantle source for large igneous provences // Chemical Geology, 368, pp. 1-10, 2014.</t>
  </si>
  <si>
    <t>T, °C (Wan 2008)</t>
  </si>
  <si>
    <t>Calculations by Al in Ol-Spinel</t>
  </si>
  <si>
    <t>Spinel inclusion</t>
  </si>
  <si>
    <t>Spinel composition calculated from EMPA assuming perfect stoichiometry RO:R2O3 = 1:1</t>
  </si>
  <si>
    <t>Input data</t>
  </si>
  <si>
    <t>Results of Calculation</t>
  </si>
  <si>
    <t>Mineral Phase</t>
  </si>
  <si>
    <t>Host mineral</t>
  </si>
  <si>
    <t>Mg# of host mineral</t>
  </si>
  <si>
    <t>Duplicate Analysis of TESCAN and EMPA, MSU</t>
  </si>
  <si>
    <t>Analysis number</t>
  </si>
  <si>
    <t>FeO-tot</t>
  </si>
  <si>
    <t>Fe2O3</t>
  </si>
  <si>
    <t>Na2O</t>
  </si>
  <si>
    <t>K2O</t>
  </si>
  <si>
    <t>ZnO</t>
  </si>
  <si>
    <t>V2O3</t>
  </si>
  <si>
    <t xml:space="preserve">   SiO2  </t>
  </si>
  <si>
    <t xml:space="preserve">   TiO2  </t>
  </si>
  <si>
    <t xml:space="preserve">   Al2O3 </t>
  </si>
  <si>
    <t xml:space="preserve">   FeO   </t>
  </si>
  <si>
    <t xml:space="preserve">   MnO   </t>
  </si>
  <si>
    <t xml:space="preserve">   MgO   </t>
  </si>
  <si>
    <t xml:space="preserve">   CaO   </t>
  </si>
  <si>
    <t xml:space="preserve">   NiO   </t>
  </si>
  <si>
    <t xml:space="preserve">   Cr2O3 </t>
  </si>
  <si>
    <t>FeO</t>
  </si>
  <si>
    <t>New total</t>
  </si>
  <si>
    <t>Cations</t>
  </si>
  <si>
    <t>Si</t>
  </si>
  <si>
    <t>Ti</t>
  </si>
  <si>
    <t>Al</t>
  </si>
  <si>
    <t>Cr</t>
  </si>
  <si>
    <t>Fe3</t>
  </si>
  <si>
    <t>V</t>
  </si>
  <si>
    <t>Fe2</t>
  </si>
  <si>
    <t>Mn</t>
  </si>
  <si>
    <t>Mg</t>
  </si>
  <si>
    <t>Ni</t>
  </si>
  <si>
    <t>Sum</t>
  </si>
  <si>
    <t>Oxygen</t>
  </si>
  <si>
    <t>Mg/(Mg+Fe2)</t>
  </si>
  <si>
    <t>Fe2+/(Mg+Fe2+)</t>
  </si>
  <si>
    <t>Fe2+/Fe3+</t>
  </si>
  <si>
    <t>Fe2/3 m</t>
  </si>
  <si>
    <t>Fe3+/Fe tot</t>
  </si>
  <si>
    <t>Fe3/sumR3 (Fe3+ +Cr3+ + Al3+)</t>
  </si>
  <si>
    <t>Cr/sumR3   (Fe3+ +Cr3+ + Al3+)</t>
  </si>
  <si>
    <t>Al/sumR3 (Fe3+ +Cr3+ + Al3+)</t>
  </si>
  <si>
    <t>Cr/(Cr+Al)</t>
  </si>
  <si>
    <t>Fe3+/(Al3+ Fe3+)</t>
  </si>
  <si>
    <t>T, C (for calc)</t>
  </si>
  <si>
    <t>T, K (for calc)</t>
  </si>
  <si>
    <t>P, bar for calc</t>
  </si>
  <si>
    <t>P, Gpa for calc</t>
  </si>
  <si>
    <t>X Fa</t>
  </si>
  <si>
    <t>X Fo</t>
  </si>
  <si>
    <t>Sp 16</t>
  </si>
  <si>
    <t>EPMA, Geological Faculty of the Moscow State University, Jeol JXA-8230 microprobe (V. Sherbakov, in 2023?), accelerating voltage of 20 kV and beam current of 300 nA</t>
  </si>
  <si>
    <t>Mount</t>
  </si>
  <si>
    <t>Sp 17</t>
  </si>
  <si>
    <t>Sp 18</t>
  </si>
  <si>
    <t>Sp 19</t>
  </si>
  <si>
    <t>Sp 20</t>
  </si>
  <si>
    <t>Sp 21</t>
  </si>
  <si>
    <t>mount2_ol10a</t>
  </si>
  <si>
    <t>Sp 22</t>
  </si>
  <si>
    <t>Sp 23</t>
  </si>
  <si>
    <t>Sp 24</t>
  </si>
  <si>
    <t>Sp 25</t>
  </si>
  <si>
    <t>Sp 26</t>
  </si>
  <si>
    <t>Sp 27</t>
  </si>
  <si>
    <t>P-1-6_As2_1_sp</t>
  </si>
  <si>
    <t>EPMA, Geological Faculty of the Moscow State University, Jeol JXA-8230 microprobe (Vasya Sherbakov, 21/09/2024), accelerating voltage of 20 kV and beam current of 300 nA</t>
  </si>
  <si>
    <t>P-1-6_As2_1</t>
  </si>
  <si>
    <t>P-1-6_As3_1_sp</t>
  </si>
  <si>
    <t>P-1-6_As3_1</t>
  </si>
  <si>
    <t>P-1-6_Ol4_1_sp</t>
  </si>
  <si>
    <t>P-1-6_Ol4_2_sp</t>
  </si>
  <si>
    <t>P-1-6_Ol5_1_sp</t>
  </si>
  <si>
    <t>P-1-6_Ol5_2_sp</t>
  </si>
  <si>
    <t>P-1-6_Ol6_1_sp</t>
  </si>
  <si>
    <t>P-1-6_Ol6_2_sp</t>
  </si>
  <si>
    <t>P-1-6_Ol7_1_sp</t>
  </si>
  <si>
    <t>P-1-6_Ol7_1</t>
  </si>
  <si>
    <t>P-1-6_Ol8_1_sp</t>
  </si>
  <si>
    <t>P-1-6_Ol8_2_sp</t>
  </si>
  <si>
    <t>P-1-6_Ol8_3_sp</t>
  </si>
  <si>
    <t>P-1-6_Ol9_1_sp</t>
  </si>
  <si>
    <t>P-1-6_Ol9_2_sp</t>
  </si>
  <si>
    <t>P-1-6_Ol10_1_sp</t>
  </si>
  <si>
    <t>P-1-6_Ol10_2_sp</t>
  </si>
  <si>
    <t>P-1-6_Ol10_3_sp</t>
  </si>
  <si>
    <t>P-1-6_Ol10_4_sp</t>
  </si>
  <si>
    <t>P-1-6_Ol11_1_sp</t>
  </si>
  <si>
    <t>P-1-6_Ol11_1</t>
  </si>
  <si>
    <t>As-2-Sp-1</t>
  </si>
  <si>
    <t>Spinel (Cr)</t>
  </si>
  <si>
    <t>Association-2</t>
  </si>
  <si>
    <t>Ol</t>
  </si>
  <si>
    <t>As-3-Sp-1</t>
  </si>
  <si>
    <t>Spinel (Cr+Ti)</t>
  </si>
  <si>
    <t>Association-3</t>
  </si>
  <si>
    <t>As-3-Sp-2</t>
  </si>
  <si>
    <t>Sp-4-1</t>
  </si>
  <si>
    <t>Sp-4-2</t>
  </si>
  <si>
    <t>Sp-4-3</t>
  </si>
  <si>
    <t>Sp-4-4</t>
  </si>
  <si>
    <t>Sp-5a</t>
  </si>
  <si>
    <t>Sp-5b</t>
  </si>
  <si>
    <t>Sp-6</t>
  </si>
  <si>
    <t>Sp-7</t>
  </si>
  <si>
    <t>Ti-Mt-micr-1</t>
  </si>
  <si>
    <t>Ti-Mt-microlite</t>
  </si>
  <si>
    <t>Ti-Mt - Microlite, in groundmass</t>
  </si>
  <si>
    <t>microlite in groundmass</t>
  </si>
  <si>
    <t>-</t>
  </si>
  <si>
    <t>Ti-Mt-micr-2</t>
  </si>
  <si>
    <t>Ti-Mt-micr-3</t>
  </si>
  <si>
    <t>As-1-Mt-1</t>
  </si>
  <si>
    <t>Ti-Mt</t>
  </si>
  <si>
    <t>Association-1</t>
  </si>
  <si>
    <t>P-1-6_As1_1_sp</t>
  </si>
  <si>
    <t>As-1-Mt-2</t>
  </si>
  <si>
    <t>P-1-6_As1_2_sp</t>
  </si>
  <si>
    <t>As-1-Mt-3</t>
  </si>
  <si>
    <t>Spinel (Ti-Mt) grain in CPx-phenocryst (near rim of phenocryst)</t>
  </si>
  <si>
    <t>CPx</t>
  </si>
  <si>
    <t>As-1-CPx-1</t>
  </si>
  <si>
    <t>As-1-Mt-4</t>
  </si>
  <si>
    <t>As-1-CPx-2</t>
  </si>
  <si>
    <t>As-2-Mt-1</t>
  </si>
  <si>
    <t>Spinel (Ti-Mt) - Phenocryst, Large grain near Ol and CPx phenocrysts</t>
  </si>
  <si>
    <t>Phenocryst-core</t>
  </si>
  <si>
    <t>As-2-Mt-2</t>
  </si>
  <si>
    <t>Ti-Mt- microphenocryst near co-growth of Ol-CPx-phenocrysts</t>
  </si>
  <si>
    <t>As-2-Mt-3</t>
  </si>
  <si>
    <t>MI-1-Mt-1</t>
  </si>
  <si>
    <t>Ti-Mt (MI)</t>
  </si>
  <si>
    <t>Ti-Mt (daughter phase in crystallized melt inclusion in olivine-phenocryst)</t>
  </si>
  <si>
    <t>MI-2-Mt</t>
  </si>
  <si>
    <t>Ti-Mt (daughter phase in crystallized melt inclusion in CPx-phenocryst)</t>
  </si>
  <si>
    <t>TESCAN, GEOKHI RAS (Kirill Lorentz)</t>
  </si>
  <si>
    <t>Type of preparate</t>
  </si>
  <si>
    <t>EPMA, Geological Faculty of the Moscow State University, Jeol JXA-8230 microprobe, accelerating voltage of 20 kV and beam current of 300 nA</t>
  </si>
  <si>
    <t>Spinel (Cr) inclusion in Olivine phenocryst</t>
  </si>
  <si>
    <t>Spinel (Ti-Mt) inclusion in Olivine phenocryst</t>
  </si>
  <si>
    <t>Spinel (Ti-Mt) inclusion in Olivine phenocryst (near rim of phenocryst)</t>
  </si>
  <si>
    <t>Spinel (Cr+Ti) inclusion in Olivine phenocryst</t>
  </si>
  <si>
    <t>Spinel (Cr+Ti) inclusion in Olivine phenocryst (near rim of phenocryst)</t>
  </si>
  <si>
    <t>P-1-6_Ol4-av</t>
  </si>
  <si>
    <t>P-1-6_Ol5-av</t>
  </si>
  <si>
    <t>P-1-6_Ol9-av</t>
  </si>
  <si>
    <t>P-1-6_Ol10-av</t>
  </si>
  <si>
    <t>StDev</t>
  </si>
  <si>
    <t>ppm</t>
  </si>
  <si>
    <t>Comment-1 (phenocryst/microlite/inclusion)</t>
  </si>
  <si>
    <t>Comment-2 (description)</t>
  </si>
  <si>
    <t>Preparate with CPx</t>
  </si>
  <si>
    <t>Number of analyzis</t>
  </si>
  <si>
    <t>Method for trace elements</t>
  </si>
  <si>
    <t>Mg24</t>
  </si>
  <si>
    <t>CPx-1a</t>
  </si>
  <si>
    <t>P-1-6-CPx-1a</t>
  </si>
  <si>
    <t>CPx-2a</t>
  </si>
  <si>
    <t>P-1-6-CPx-2a</t>
  </si>
  <si>
    <t>CPx-3a</t>
  </si>
  <si>
    <t>P-1-6-CPx-3a</t>
  </si>
  <si>
    <t>CPx-4a</t>
  </si>
  <si>
    <t>P-1-6-CPx-4a</t>
  </si>
  <si>
    <t>CPx-1b</t>
  </si>
  <si>
    <t>Phenocryst-rim</t>
  </si>
  <si>
    <t>P-1-6-CPx-1b</t>
  </si>
  <si>
    <t>CPx-2b</t>
  </si>
  <si>
    <t>P-1-6-CPx-2b</t>
  </si>
  <si>
    <t>CPx-3b</t>
  </si>
  <si>
    <t>P-1-6-CPx-3b</t>
  </si>
  <si>
    <t>CPx-4b</t>
  </si>
  <si>
    <t>P-1-6-CPx-4b</t>
  </si>
  <si>
    <t>CPx-1c</t>
  </si>
  <si>
    <t>CPx-5</t>
  </si>
  <si>
    <t>As-2-CPx-1b</t>
  </si>
  <si>
    <t>As-2-CPx-2</t>
  </si>
  <si>
    <t>As-3-CPx-1b</t>
  </si>
  <si>
    <t>CPx-micr-1</t>
  </si>
  <si>
    <t>Microlite in groundmass</t>
  </si>
  <si>
    <t>CPx-micr-2</t>
  </si>
  <si>
    <t>CPx-micr-3</t>
  </si>
  <si>
    <t>CPx-micr-4</t>
  </si>
  <si>
    <t>CPx-micr-5</t>
  </si>
  <si>
    <t>CPx-micr-6</t>
  </si>
  <si>
    <t>CPx-micr-7</t>
  </si>
  <si>
    <t>Profile-1 (core - rim)</t>
  </si>
  <si>
    <t>Grain P-1-6-CPx-1</t>
  </si>
  <si>
    <t>P-1-6_Cpx-1 Line 001</t>
  </si>
  <si>
    <t>P-1-6_Cpx-1 Line 002</t>
  </si>
  <si>
    <t>P-1-6_Cpx-1 Line 003</t>
  </si>
  <si>
    <t>P-1-6_Cpx-1 Line 004</t>
  </si>
  <si>
    <t>P-1-6_Cpx-1 Line 005</t>
  </si>
  <si>
    <t>P-1-6_Cpx-1 Line 006</t>
  </si>
  <si>
    <t>P-1-6_Cpx-1 Line 007</t>
  </si>
  <si>
    <t>P-1-6_Cpx-1 Line 008</t>
  </si>
  <si>
    <t>P-1-6_Cpx-1 Line 009</t>
  </si>
  <si>
    <t>P-1-6_Cpx-1 Line 010</t>
  </si>
  <si>
    <t>P-1-6_Cpx-1 Line 011</t>
  </si>
  <si>
    <t>P-1-6_Cpx-1 Line 012</t>
  </si>
  <si>
    <t>P-1-6_Cpx-1 Line 013</t>
  </si>
  <si>
    <t>P-1-6_Cpx-1 Line 014</t>
  </si>
  <si>
    <t>P-1-6_Cpx-1 Line 015</t>
  </si>
  <si>
    <t>P-1-6_Cpx-1 Line 016</t>
  </si>
  <si>
    <t>P-1-6_Cpx-1 Line 017</t>
  </si>
  <si>
    <t>P-1-6_Cpx-1 Line 018</t>
  </si>
  <si>
    <t>Profile-2 (core - rim)</t>
  </si>
  <si>
    <t>Grain P-1-6-CPx-2</t>
  </si>
  <si>
    <t>P-1-6_Cpx-2 Line 001</t>
  </si>
  <si>
    <t>P-1-6_Cpx-2 Line 002</t>
  </si>
  <si>
    <t>P-1-6_Cpx-2 Line 003</t>
  </si>
  <si>
    <t>P-1-6_Cpx-2 Line 004</t>
  </si>
  <si>
    <t>P-1-6_Cpx-2 Line 005</t>
  </si>
  <si>
    <t>P-1-6_Cpx-2 Line 006</t>
  </si>
  <si>
    <t>P-1-6_Cpx-2 Line 007</t>
  </si>
  <si>
    <t>P-1-6_Cpx-2 Line 008</t>
  </si>
  <si>
    <t>P-1-6_Cpx-2 Line 009</t>
  </si>
  <si>
    <t>P-1-6_Cpx-2 Line 010</t>
  </si>
  <si>
    <t>P-1-6_Cpx-2 Line 011</t>
  </si>
  <si>
    <t>P-1-6_Cpx-2 Line 012</t>
  </si>
  <si>
    <t>LA-ICP-MS, GEOKHI RAS</t>
  </si>
  <si>
    <t>Point of profile</t>
  </si>
  <si>
    <t>CPx analysis ID</t>
  </si>
  <si>
    <t>Comment for profile</t>
  </si>
  <si>
    <t>CPx grain</t>
  </si>
  <si>
    <t xml:space="preserve">Na2O  (wt.%)   </t>
  </si>
  <si>
    <t xml:space="preserve">V2O3  (wt.%)   </t>
  </si>
  <si>
    <t xml:space="preserve">Total    (wt.%)   </t>
  </si>
  <si>
    <t>CPx Composition ID</t>
  </si>
  <si>
    <t>Pb208</t>
  </si>
  <si>
    <t>Nd146</t>
  </si>
  <si>
    <t>Hf178</t>
  </si>
  <si>
    <t>Dy163</t>
  </si>
  <si>
    <t>Er167</t>
  </si>
  <si>
    <t>Yb173</t>
  </si>
  <si>
    <t>Ni62</t>
  </si>
  <si>
    <t>Fe57</t>
  </si>
  <si>
    <t>Al27</t>
  </si>
  <si>
    <t>Si29</t>
  </si>
  <si>
    <t>CPx Analysis number (LA-ICP-MS)</t>
  </si>
  <si>
    <t>phenocryst-core, (higher-Fe)</t>
  </si>
  <si>
    <t>Phenocryst, Higher-Fe zone</t>
  </si>
  <si>
    <t>phenocryst - rim, (higher Mg#, type-1)</t>
  </si>
  <si>
    <t>phenocryst - rim, (higher Mg#)</t>
  </si>
  <si>
    <t>Phenocryst, Higher-Mg zone</t>
  </si>
  <si>
    <t>phenocryst - rim, (higher Mg#, type-2)</t>
  </si>
  <si>
    <t>Phenocryst (with crystallized Melt inclusion)</t>
  </si>
  <si>
    <t>Phenocryst (association with Mt-inclusion and co-growth with Ol phenocryst)</t>
  </si>
  <si>
    <t>Phenocryst with Ol-inclusion, co-growth with large Ti-Mt and Olivine phenocryst</t>
  </si>
  <si>
    <t>Phenocryst (co-growth with Ol phenocryst)</t>
  </si>
  <si>
    <t>As-2-CPx-1a</t>
  </si>
  <si>
    <t>wt.%</t>
  </si>
  <si>
    <t>Plag-micr-1</t>
  </si>
  <si>
    <t>Plag-microlite</t>
  </si>
  <si>
    <t>Plag-micr-2</t>
  </si>
  <si>
    <t>Plag-micr-3</t>
  </si>
  <si>
    <t>Plag-micr-4</t>
  </si>
  <si>
    <t>MI-2-Plag</t>
  </si>
  <si>
    <t>Plagioclase (MI)</t>
  </si>
  <si>
    <t>Daughter phase in crystallized melt inclusion in CPx-phenocryst</t>
  </si>
  <si>
    <t>Association</t>
  </si>
  <si>
    <t>mol%</t>
  </si>
  <si>
    <t xml:space="preserve">An </t>
  </si>
  <si>
    <t xml:space="preserve"> ΔQFM (Nikolaev, Ariskin et al., 2016) </t>
  </si>
  <si>
    <t>XRF</t>
  </si>
  <si>
    <t>ICP-MS, ГЕОХИ</t>
  </si>
  <si>
    <t>Description of the analytycal methods see in the main text of the article</t>
  </si>
  <si>
    <r>
      <rPr>
        <b/>
        <vertAlign val="superscript"/>
        <sz val="10"/>
        <rFont val="Calibri"/>
        <family val="2"/>
        <charset val="204"/>
        <scheme val="minor"/>
      </rPr>
      <t>207</t>
    </r>
    <r>
      <rPr>
        <b/>
        <sz val="10"/>
        <rFont val="Calibri"/>
        <family val="2"/>
        <charset val="204"/>
        <scheme val="minor"/>
      </rPr>
      <t>Pb/</t>
    </r>
    <r>
      <rPr>
        <b/>
        <vertAlign val="superscript"/>
        <sz val="10"/>
        <rFont val="Calibri"/>
        <family val="2"/>
        <charset val="204"/>
        <scheme val="minor"/>
      </rPr>
      <t>204</t>
    </r>
    <r>
      <rPr>
        <b/>
        <sz val="10"/>
        <rFont val="Calibri"/>
        <family val="2"/>
        <charset val="204"/>
        <scheme val="minor"/>
      </rPr>
      <t>Pb</t>
    </r>
  </si>
  <si>
    <r>
      <rPr>
        <b/>
        <vertAlign val="superscript"/>
        <sz val="10"/>
        <rFont val="Calibri"/>
        <family val="2"/>
        <charset val="204"/>
        <scheme val="minor"/>
      </rPr>
      <t>208</t>
    </r>
    <r>
      <rPr>
        <b/>
        <sz val="10"/>
        <rFont val="Calibri"/>
        <family val="2"/>
        <charset val="204"/>
        <scheme val="minor"/>
      </rPr>
      <t>Pb/</t>
    </r>
    <r>
      <rPr>
        <b/>
        <vertAlign val="superscript"/>
        <sz val="10"/>
        <rFont val="Calibri"/>
        <family val="2"/>
        <charset val="204"/>
        <scheme val="minor"/>
      </rPr>
      <t>204</t>
    </r>
    <r>
      <rPr>
        <b/>
        <sz val="10"/>
        <rFont val="Calibri"/>
        <family val="2"/>
        <charset val="204"/>
        <scheme val="minor"/>
      </rPr>
      <t>Pb</t>
    </r>
  </si>
  <si>
    <t>Table S3. Composition of clinopyroxene in basanite P-1-6 (Possesion island, Crozet bank, Indian ocean)</t>
  </si>
  <si>
    <t>Table S4. Compositional profiles of two clinopyroxene phenocrysts (profile from core to rim) in basanite P-1-6 (Possesion island, Crozet bank, Indian ocean) determined by EPMA, MSU Lomonosov</t>
  </si>
  <si>
    <t>Table S5. Composition of spinel group minerals in basanite P-1-6 (Possesion island, Crozet bank, Indian ocean) determined by two different methods (EPMA and TESCAN)</t>
  </si>
  <si>
    <t xml:space="preserve">Table S6. Plagioclase microliths in groundmass of the basanite P-1-6 (Possesion island, Crozet bank, Indian ocean) </t>
  </si>
  <si>
    <r>
      <t>Y</t>
    </r>
    <r>
      <rPr>
        <b/>
        <vertAlign val="subscript"/>
        <sz val="10"/>
        <rFont val="Calibri"/>
        <family val="2"/>
        <charset val="204"/>
        <scheme val="minor"/>
      </rPr>
      <t>Cr</t>
    </r>
    <r>
      <rPr>
        <b/>
        <vertAlign val="superscript"/>
        <sz val="10"/>
        <rFont val="Calibri"/>
        <family val="2"/>
        <charset val="204"/>
        <scheme val="minor"/>
      </rPr>
      <t>Sp</t>
    </r>
  </si>
  <si>
    <r>
      <t>K</t>
    </r>
    <r>
      <rPr>
        <b/>
        <vertAlign val="subscript"/>
        <sz val="10"/>
        <rFont val="Calibri"/>
        <family val="2"/>
        <charset val="204"/>
        <scheme val="minor"/>
      </rPr>
      <t>D</t>
    </r>
    <r>
      <rPr>
        <b/>
        <vertAlign val="superscript"/>
        <sz val="10"/>
        <rFont val="Calibri"/>
        <family val="2"/>
        <charset val="204"/>
        <scheme val="minor"/>
      </rPr>
      <t>Al2O3</t>
    </r>
  </si>
  <si>
    <t>Olivine-host</t>
  </si>
  <si>
    <t>100*CaO/Al2O3</t>
  </si>
  <si>
    <t>Association of minerals</t>
  </si>
  <si>
    <t>Table S7. Compositions of spinel-olivine pairs in basanite of Possesion island and results of calculation of temperature and redox conditions using various geothermometers and oxybarometers</t>
  </si>
  <si>
    <t xml:space="preserve"> ΔQFM Ballhaus et al. (1991) </t>
  </si>
  <si>
    <t>Id analysis number for Spinel</t>
  </si>
  <si>
    <t>Spinel description</t>
  </si>
  <si>
    <t>Wan, Z., Coogan, L.A., Canil, D., 2008. Experimental calibration of aluminum partitioning between olivine and spinel as a geothermometer. Am. Mineral. 93, 1142–1147.</t>
  </si>
  <si>
    <t>Rb, ppm</t>
  </si>
  <si>
    <t>Sr, ppm</t>
  </si>
  <si>
    <r>
      <rPr>
        <b/>
        <vertAlign val="superscript"/>
        <sz val="10"/>
        <color theme="1"/>
        <rFont val="Calibri"/>
        <family val="2"/>
        <charset val="204"/>
        <scheme val="minor"/>
      </rPr>
      <t>87</t>
    </r>
    <r>
      <rPr>
        <b/>
        <sz val="10"/>
        <color theme="1"/>
        <rFont val="Calibri"/>
        <family val="2"/>
        <charset val="204"/>
        <scheme val="minor"/>
      </rPr>
      <t>Rb/</t>
    </r>
    <r>
      <rPr>
        <b/>
        <vertAlign val="superscript"/>
        <sz val="10"/>
        <color theme="1"/>
        <rFont val="Calibri"/>
        <family val="2"/>
        <charset val="204"/>
        <scheme val="minor"/>
      </rPr>
      <t>86</t>
    </r>
    <r>
      <rPr>
        <b/>
        <sz val="10"/>
        <color theme="1"/>
        <rFont val="Calibri"/>
        <family val="2"/>
        <charset val="204"/>
        <scheme val="minor"/>
      </rPr>
      <t>Sr</t>
    </r>
  </si>
  <si>
    <t>±2σ %</t>
  </si>
  <si>
    <r>
      <rPr>
        <b/>
        <vertAlign val="superscript"/>
        <sz val="10"/>
        <color theme="1"/>
        <rFont val="Calibri"/>
        <family val="2"/>
        <charset val="204"/>
        <scheme val="minor"/>
      </rPr>
      <t>87</t>
    </r>
    <r>
      <rPr>
        <b/>
        <sz val="10"/>
        <color theme="1"/>
        <rFont val="Calibri"/>
        <family val="2"/>
        <charset val="204"/>
        <scheme val="minor"/>
      </rPr>
      <t>Sr/</t>
    </r>
    <r>
      <rPr>
        <b/>
        <vertAlign val="superscript"/>
        <sz val="10"/>
        <color theme="1"/>
        <rFont val="Calibri"/>
        <family val="2"/>
        <charset val="204"/>
        <scheme val="minor"/>
      </rPr>
      <t>86</t>
    </r>
    <r>
      <rPr>
        <b/>
        <sz val="10"/>
        <color theme="1"/>
        <rFont val="Calibri"/>
        <family val="2"/>
        <charset val="204"/>
        <scheme val="minor"/>
      </rPr>
      <t>Sr</t>
    </r>
  </si>
  <si>
    <t>±2σ abs.</t>
  </si>
  <si>
    <t>Sm, ppm</t>
  </si>
  <si>
    <t>Nd, ppm</t>
  </si>
  <si>
    <r>
      <rPr>
        <b/>
        <vertAlign val="superscript"/>
        <sz val="10"/>
        <color theme="1"/>
        <rFont val="Calibri"/>
        <family val="2"/>
        <charset val="204"/>
        <scheme val="minor"/>
      </rPr>
      <t>147</t>
    </r>
    <r>
      <rPr>
        <b/>
        <sz val="10"/>
        <color theme="1"/>
        <rFont val="Calibri"/>
        <family val="2"/>
        <charset val="204"/>
        <scheme val="minor"/>
      </rPr>
      <t>Sm/</t>
    </r>
    <r>
      <rPr>
        <b/>
        <vertAlign val="superscript"/>
        <sz val="10"/>
        <color theme="1"/>
        <rFont val="Calibri"/>
        <family val="2"/>
        <charset val="204"/>
        <scheme val="minor"/>
      </rPr>
      <t>144</t>
    </r>
    <r>
      <rPr>
        <b/>
        <sz val="10"/>
        <color theme="1"/>
        <rFont val="Calibri"/>
        <family val="2"/>
        <charset val="204"/>
        <scheme val="minor"/>
      </rPr>
      <t>Nd</t>
    </r>
  </si>
  <si>
    <r>
      <rPr>
        <b/>
        <vertAlign val="superscript"/>
        <sz val="10"/>
        <color theme="1"/>
        <rFont val="Calibri"/>
        <family val="2"/>
        <charset val="204"/>
        <scheme val="minor"/>
      </rPr>
      <t>143</t>
    </r>
    <r>
      <rPr>
        <b/>
        <sz val="10"/>
        <color theme="1"/>
        <rFont val="Calibri"/>
        <family val="2"/>
        <charset val="204"/>
        <scheme val="minor"/>
      </rPr>
      <t>Nd/</t>
    </r>
    <r>
      <rPr>
        <b/>
        <vertAlign val="superscript"/>
        <sz val="10"/>
        <color theme="1"/>
        <rFont val="Calibri"/>
        <family val="2"/>
        <charset val="204"/>
        <scheme val="minor"/>
      </rPr>
      <t>144</t>
    </r>
    <r>
      <rPr>
        <b/>
        <sz val="10"/>
        <color theme="1"/>
        <rFont val="Calibri"/>
        <family val="2"/>
        <charset val="204"/>
        <scheme val="minor"/>
      </rPr>
      <t>Nd</t>
    </r>
  </si>
  <si>
    <r>
      <rPr>
        <b/>
        <vertAlign val="superscript"/>
        <sz val="10"/>
        <rFont val="Calibri"/>
        <family val="2"/>
        <charset val="204"/>
        <scheme val="minor"/>
      </rPr>
      <t>206</t>
    </r>
    <r>
      <rPr>
        <b/>
        <sz val="10"/>
        <rFont val="Calibri"/>
        <family val="2"/>
        <charset val="204"/>
        <scheme val="minor"/>
      </rPr>
      <t>Pb/</t>
    </r>
    <r>
      <rPr>
        <b/>
        <vertAlign val="superscript"/>
        <sz val="10"/>
        <rFont val="Calibri"/>
        <family val="2"/>
        <charset val="204"/>
        <scheme val="minor"/>
      </rPr>
      <t>204</t>
    </r>
    <r>
      <rPr>
        <b/>
        <sz val="10"/>
        <rFont val="Calibri"/>
        <family val="2"/>
        <charset val="204"/>
        <scheme val="minor"/>
      </rPr>
      <t>Pb</t>
    </r>
  </si>
  <si>
    <t>P1-6</t>
  </si>
  <si>
    <t>Sample</t>
  </si>
  <si>
    <t>Sample mass, gram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</si>
</sst>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7">
    <numFmt numFmtId="164" formatCode="0.000"/>
    <numFmt numFmtId="165" formatCode="0.00000"/>
    <numFmt numFmtId="166" formatCode="0.000000"/>
    <numFmt numFmtId="167" formatCode="0.0000"/>
    <numFmt numFmtId="168" formatCode="0.0"/>
    <numFmt numFmtId="169" formatCode="0.00000000"/>
    <numFmt numFmtId="170" formatCode="[$$-409]\ #,##0"/>
  </numFmts>
  <fonts count="22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i/>
      <sz val="10"/>
      <color rgb="FF0000FF"/>
      <name val="Arial"/>
      <family val="2"/>
      <charset val="204"/>
    </font>
    <font>
      <sz val="10"/>
      <name val="Calibri"/>
      <family val="2"/>
      <charset val="204"/>
      <scheme val="minor"/>
    </font>
    <font>
      <b/>
      <sz val="10"/>
      <name val="Calibri"/>
      <family val="2"/>
      <charset val="204"/>
      <scheme val="minor"/>
    </font>
    <font>
      <b/>
      <i/>
      <sz val="10"/>
      <color rgb="FF0000FF"/>
      <name val="Calibri"/>
      <family val="2"/>
      <charset val="204"/>
      <scheme val="minor"/>
    </font>
    <font>
      <b/>
      <sz val="10"/>
      <color indexed="8"/>
      <name val="Calibri"/>
      <family val="2"/>
      <charset val="204"/>
      <scheme val="minor"/>
    </font>
    <font>
      <b/>
      <i/>
      <sz val="11"/>
      <color rgb="FF0000FF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i/>
      <sz val="10"/>
      <color rgb="FF0000FF"/>
      <name val="Calibri"/>
      <family val="2"/>
      <charset val="204"/>
      <scheme val="minor"/>
    </font>
    <font>
      <b/>
      <sz val="10"/>
      <color theme="1"/>
      <name val="Calibri"/>
      <family val="2"/>
      <charset val="204"/>
      <scheme val="minor"/>
    </font>
    <font>
      <sz val="10"/>
      <color rgb="FF0000FF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b/>
      <vertAlign val="subscript"/>
      <sz val="10"/>
      <name val="Calibri"/>
      <family val="2"/>
      <charset val="204"/>
      <scheme val="minor"/>
    </font>
    <font>
      <b/>
      <vertAlign val="superscript"/>
      <sz val="10"/>
      <name val="Calibri"/>
      <family val="2"/>
      <charset val="204"/>
      <scheme val="minor"/>
    </font>
    <font>
      <b/>
      <u/>
      <sz val="10"/>
      <name val="Calibri"/>
      <family val="2"/>
      <charset val="204"/>
      <scheme val="minor"/>
    </font>
    <font>
      <sz val="9"/>
      <name val="Geneva"/>
    </font>
    <font>
      <b/>
      <vertAlign val="superscript"/>
      <sz val="10"/>
      <color theme="1"/>
      <name val="Calibri"/>
      <family val="2"/>
      <charset val="204"/>
      <scheme val="minor"/>
    </font>
    <font>
      <sz val="10"/>
      <color rgb="FF000000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rgb="FFDDDDDD"/>
        <bgColor indexed="64"/>
      </patternFill>
    </fill>
    <fill>
      <patternFill patternType="solid">
        <fgColor theme="0" tint="-0.34998626667073579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double">
        <color auto="1"/>
      </left>
      <right style="double">
        <color auto="1"/>
      </right>
      <top style="double">
        <color auto="1"/>
      </top>
      <bottom style="double">
        <color auto="1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 style="double">
        <color auto="1"/>
      </right>
      <top style="double">
        <color auto="1"/>
      </top>
      <bottom style="double">
        <color auto="1"/>
      </bottom>
      <diagonal/>
    </border>
    <border>
      <left style="double">
        <color auto="1"/>
      </left>
      <right/>
      <top/>
      <bottom style="double">
        <color auto="1"/>
      </bottom>
      <diagonal/>
    </border>
    <border>
      <left/>
      <right/>
      <top/>
      <bottom style="double">
        <color auto="1"/>
      </bottom>
      <diagonal/>
    </border>
    <border>
      <left/>
      <right style="double">
        <color auto="1"/>
      </right>
      <top/>
      <bottom style="double">
        <color auto="1"/>
      </bottom>
      <diagonal/>
    </border>
  </borders>
  <cellStyleXfs count="3">
    <xf numFmtId="0" fontId="0" fillId="0" borderId="0"/>
    <xf numFmtId="0" fontId="19" fillId="0" borderId="0"/>
    <xf numFmtId="170" fontId="1" fillId="0" borderId="0"/>
  </cellStyleXfs>
  <cellXfs count="329">
    <xf numFmtId="0" fontId="0" fillId="0" borderId="0" xfId="0"/>
    <xf numFmtId="0" fontId="0" fillId="0" borderId="0" xfId="0" applyBorder="1"/>
    <xf numFmtId="0" fontId="0" fillId="0" borderId="0" xfId="0" applyFill="1" applyBorder="1" applyAlignment="1">
      <alignment horizontal="left" vertical="top"/>
    </xf>
    <xf numFmtId="0" fontId="0" fillId="0" borderId="0" xfId="0" applyFill="1"/>
    <xf numFmtId="0" fontId="4" fillId="0" borderId="0" xfId="0" applyFont="1" applyFill="1" applyAlignment="1">
      <alignment vertical="top"/>
    </xf>
    <xf numFmtId="0" fontId="4" fillId="0" borderId="0" xfId="0" applyFont="1" applyFill="1"/>
    <xf numFmtId="0" fontId="5" fillId="0" borderId="0" xfId="0" applyFont="1" applyFill="1"/>
    <xf numFmtId="0" fontId="5" fillId="0" borderId="0" xfId="0" applyFont="1" applyFill="1" applyBorder="1" applyAlignment="1">
      <alignment vertical="top" wrapText="1"/>
    </xf>
    <xf numFmtId="0" fontId="4" fillId="0" borderId="7" xfId="0" applyFont="1" applyFill="1" applyBorder="1" applyAlignment="1">
      <alignment vertical="top"/>
    </xf>
    <xf numFmtId="167" fontId="4" fillId="0" borderId="7" xfId="0" applyNumberFormat="1" applyFont="1" applyFill="1" applyBorder="1"/>
    <xf numFmtId="0" fontId="0" fillId="0" borderId="0" xfId="0" applyFont="1" applyBorder="1"/>
    <xf numFmtId="0" fontId="5" fillId="0" borderId="0" xfId="0" applyFont="1" applyBorder="1"/>
    <xf numFmtId="0" fontId="5" fillId="0" borderId="0" xfId="0" applyFont="1" applyFill="1" applyBorder="1" applyAlignment="1">
      <alignment horizontal="left" vertical="top" wrapText="1"/>
    </xf>
    <xf numFmtId="0" fontId="5" fillId="0" borderId="2" xfId="0" applyFont="1" applyFill="1" applyBorder="1" applyAlignment="1">
      <alignment horizontal="left" vertical="top"/>
    </xf>
    <xf numFmtId="0" fontId="4" fillId="0" borderId="2" xfId="0" applyFont="1" applyFill="1" applyBorder="1" applyAlignment="1">
      <alignment horizontal="left" vertical="top"/>
    </xf>
    <xf numFmtId="2" fontId="4" fillId="0" borderId="2" xfId="0" applyNumberFormat="1" applyFont="1" applyFill="1" applyBorder="1" applyAlignment="1">
      <alignment horizontal="left" vertical="top"/>
    </xf>
    <xf numFmtId="164" fontId="4" fillId="0" borderId="2" xfId="0" applyNumberFormat="1" applyFont="1" applyFill="1" applyBorder="1" applyAlignment="1">
      <alignment horizontal="left" vertical="top"/>
    </xf>
    <xf numFmtId="0" fontId="4" fillId="0" borderId="0" xfId="0" applyFont="1" applyFill="1" applyBorder="1" applyAlignment="1">
      <alignment horizontal="left" vertical="top"/>
    </xf>
    <xf numFmtId="0" fontId="14" fillId="0" borderId="0" xfId="0" applyFont="1" applyBorder="1"/>
    <xf numFmtId="0" fontId="0" fillId="0" borderId="0" xfId="0" applyAlignment="1">
      <alignment horizontal="left" vertical="top"/>
    </xf>
    <xf numFmtId="0" fontId="5" fillId="0" borderId="0" xfId="0" applyFont="1" applyFill="1" applyBorder="1" applyAlignment="1">
      <alignment horizontal="center" vertical="top" wrapText="1"/>
    </xf>
    <xf numFmtId="0" fontId="5" fillId="0" borderId="0" xfId="0" applyFont="1" applyFill="1" applyBorder="1" applyAlignment="1">
      <alignment horizontal="center" vertical="top"/>
    </xf>
    <xf numFmtId="4" fontId="5" fillId="0" borderId="0" xfId="0" applyNumberFormat="1" applyFont="1" applyFill="1" applyBorder="1" applyAlignment="1">
      <alignment horizontal="center" vertical="top"/>
    </xf>
    <xf numFmtId="0" fontId="8" fillId="0" borderId="2" xfId="0" applyFont="1" applyFill="1" applyBorder="1" applyAlignment="1">
      <alignment horizontal="center" vertical="top" wrapText="1"/>
    </xf>
    <xf numFmtId="0" fontId="4" fillId="0" borderId="0" xfId="0" applyFont="1" applyFill="1" applyBorder="1" applyAlignment="1">
      <alignment vertical="top"/>
    </xf>
    <xf numFmtId="2" fontId="4" fillId="0" borderId="0" xfId="0" applyNumberFormat="1" applyFont="1" applyFill="1" applyAlignment="1">
      <alignment horizontal="center" vertical="top"/>
    </xf>
    <xf numFmtId="168" fontId="5" fillId="0" borderId="0" xfId="0" applyNumberFormat="1" applyFont="1" applyFill="1" applyAlignment="1">
      <alignment horizontal="center" vertical="top"/>
    </xf>
    <xf numFmtId="2" fontId="4" fillId="0" borderId="7" xfId="0" applyNumberFormat="1" applyFont="1" applyFill="1" applyBorder="1" applyAlignment="1">
      <alignment horizontal="center" vertical="top"/>
    </xf>
    <xf numFmtId="168" fontId="5" fillId="0" borderId="7" xfId="0" applyNumberFormat="1" applyFont="1" applyFill="1" applyBorder="1" applyAlignment="1">
      <alignment horizontal="center" vertical="top"/>
    </xf>
    <xf numFmtId="0" fontId="4" fillId="0" borderId="7" xfId="0" applyFont="1" applyFill="1" applyBorder="1"/>
    <xf numFmtId="168" fontId="11" fillId="0" borderId="4" xfId="0" applyNumberFormat="1" applyFont="1" applyFill="1" applyBorder="1" applyAlignment="1">
      <alignment horizontal="center" vertical="top"/>
    </xf>
    <xf numFmtId="167" fontId="12" fillId="0" borderId="4" xfId="0" applyNumberFormat="1" applyFont="1" applyFill="1" applyBorder="1"/>
    <xf numFmtId="0" fontId="10" fillId="0" borderId="2" xfId="0" applyFont="1" applyFill="1" applyBorder="1" applyAlignment="1">
      <alignment vertical="top"/>
    </xf>
    <xf numFmtId="167" fontId="10" fillId="0" borderId="2" xfId="0" applyNumberFormat="1" applyFont="1" applyFill="1" applyBorder="1"/>
    <xf numFmtId="0" fontId="7" fillId="0" borderId="2" xfId="0" applyFont="1" applyFill="1" applyBorder="1" applyAlignment="1">
      <alignment horizontal="center" vertical="top" wrapText="1"/>
    </xf>
    <xf numFmtId="0" fontId="5" fillId="0" borderId="2" xfId="0" applyFont="1" applyFill="1" applyBorder="1" applyAlignment="1">
      <alignment horizontal="center" vertical="top" wrapText="1"/>
    </xf>
    <xf numFmtId="4" fontId="5" fillId="0" borderId="2" xfId="0" applyNumberFormat="1" applyFont="1" applyFill="1" applyBorder="1" applyAlignment="1">
      <alignment horizontal="center" vertical="top" wrapText="1"/>
    </xf>
    <xf numFmtId="0" fontId="4" fillId="0" borderId="2" xfId="0" applyFont="1" applyFill="1" applyBorder="1" applyAlignment="1">
      <alignment vertical="top"/>
    </xf>
    <xf numFmtId="0" fontId="4" fillId="0" borderId="2" xfId="0" applyFont="1" applyFill="1" applyBorder="1" applyAlignment="1">
      <alignment horizontal="center" vertical="top"/>
    </xf>
    <xf numFmtId="2" fontId="4" fillId="0" borderId="2" xfId="0" applyNumberFormat="1" applyFont="1" applyFill="1" applyBorder="1" applyAlignment="1">
      <alignment horizontal="center" vertical="top"/>
    </xf>
    <xf numFmtId="168" fontId="5" fillId="0" borderId="2" xfId="0" applyNumberFormat="1" applyFont="1" applyFill="1" applyBorder="1" applyAlignment="1">
      <alignment horizontal="center" vertical="top"/>
    </xf>
    <xf numFmtId="0" fontId="4" fillId="0" borderId="2" xfId="0" applyFont="1" applyFill="1" applyBorder="1"/>
    <xf numFmtId="1" fontId="4" fillId="0" borderId="2" xfId="0" applyNumberFormat="1" applyFont="1" applyFill="1" applyBorder="1" applyAlignment="1">
      <alignment horizontal="center" vertical="top"/>
    </xf>
    <xf numFmtId="168" fontId="11" fillId="0" borderId="2" xfId="0" applyNumberFormat="1" applyFont="1" applyFill="1" applyBorder="1" applyAlignment="1">
      <alignment horizontal="center" vertical="top"/>
    </xf>
    <xf numFmtId="0" fontId="0" fillId="0" borderId="0" xfId="0" applyBorder="1" applyAlignment="1">
      <alignment horizontal="left" vertical="top"/>
    </xf>
    <xf numFmtId="0" fontId="0" fillId="0" borderId="0" xfId="0" applyBorder="1" applyAlignment="1">
      <alignment horizontal="center" vertical="top"/>
    </xf>
    <xf numFmtId="0" fontId="3" fillId="0" borderId="0" xfId="0" applyFont="1" applyBorder="1"/>
    <xf numFmtId="0" fontId="0" fillId="0" borderId="0" xfId="0" applyFill="1" applyBorder="1"/>
    <xf numFmtId="0" fontId="4" fillId="0" borderId="0" xfId="0" applyFont="1" applyFill="1" applyBorder="1"/>
    <xf numFmtId="0" fontId="5" fillId="0" borderId="0" xfId="0" applyFont="1" applyFill="1" applyBorder="1"/>
    <xf numFmtId="4" fontId="4" fillId="0" borderId="0" xfId="0" applyNumberFormat="1" applyFont="1" applyFill="1" applyBorder="1" applyAlignment="1">
      <alignment horizontal="center" vertical="top"/>
    </xf>
    <xf numFmtId="2" fontId="4" fillId="0" borderId="0" xfId="0" applyNumberFormat="1" applyFont="1" applyFill="1" applyBorder="1" applyAlignment="1">
      <alignment horizontal="center" vertical="top"/>
    </xf>
    <xf numFmtId="168" fontId="11" fillId="0" borderId="0" xfId="0" applyNumberFormat="1" applyFont="1" applyFill="1" applyBorder="1" applyAlignment="1">
      <alignment horizontal="center" vertical="top"/>
    </xf>
    <xf numFmtId="167" fontId="12" fillId="0" borderId="0" xfId="0" applyNumberFormat="1" applyFont="1" applyFill="1" applyBorder="1"/>
    <xf numFmtId="167" fontId="4" fillId="0" borderId="0" xfId="0" applyNumberFormat="1" applyFont="1" applyFill="1" applyBorder="1"/>
    <xf numFmtId="0" fontId="6" fillId="0" borderId="2" xfId="0" applyFont="1" applyFill="1" applyBorder="1"/>
    <xf numFmtId="0" fontId="4" fillId="0" borderId="5" xfId="0" applyFont="1" applyFill="1" applyBorder="1"/>
    <xf numFmtId="1" fontId="4" fillId="0" borderId="5" xfId="0" applyNumberFormat="1" applyFont="1" applyFill="1" applyBorder="1" applyAlignment="1">
      <alignment horizontal="center" vertical="top"/>
    </xf>
    <xf numFmtId="2" fontId="4" fillId="0" borderId="5" xfId="0" applyNumberFormat="1" applyFont="1" applyFill="1" applyBorder="1" applyAlignment="1">
      <alignment horizontal="center" vertical="top"/>
    </xf>
    <xf numFmtId="168" fontId="11" fillId="0" borderId="5" xfId="0" applyNumberFormat="1" applyFont="1" applyFill="1" applyBorder="1" applyAlignment="1">
      <alignment horizontal="center" vertical="top"/>
    </xf>
    <xf numFmtId="0" fontId="4" fillId="0" borderId="6" xfId="0" applyFont="1" applyFill="1" applyBorder="1" applyAlignment="1">
      <alignment vertical="top"/>
    </xf>
    <xf numFmtId="0" fontId="4" fillId="0" borderId="6" xfId="0" applyFont="1" applyFill="1" applyBorder="1" applyAlignment="1">
      <alignment horizontal="center" vertical="top"/>
    </xf>
    <xf numFmtId="2" fontId="4" fillId="0" borderId="6" xfId="0" applyNumberFormat="1" applyFont="1" applyFill="1" applyBorder="1" applyAlignment="1">
      <alignment horizontal="center" vertical="top"/>
    </xf>
    <xf numFmtId="168" fontId="5" fillId="0" borderId="6" xfId="0" applyNumberFormat="1" applyFont="1" applyFill="1" applyBorder="1" applyAlignment="1">
      <alignment horizontal="center" vertical="top"/>
    </xf>
    <xf numFmtId="0" fontId="4" fillId="0" borderId="4" xfId="0" applyFont="1" applyFill="1" applyBorder="1" applyAlignment="1">
      <alignment vertical="top"/>
    </xf>
    <xf numFmtId="167" fontId="10" fillId="0" borderId="5" xfId="0" applyNumberFormat="1" applyFont="1" applyFill="1" applyBorder="1"/>
    <xf numFmtId="0" fontId="4" fillId="0" borderId="6" xfId="0" applyFont="1" applyFill="1" applyBorder="1"/>
    <xf numFmtId="1" fontId="4" fillId="0" borderId="6" xfId="0" applyNumberFormat="1" applyFont="1" applyFill="1" applyBorder="1" applyAlignment="1">
      <alignment horizontal="center" vertical="top"/>
    </xf>
    <xf numFmtId="168" fontId="11" fillId="0" borderId="6" xfId="0" applyNumberFormat="1" applyFont="1" applyFill="1" applyBorder="1" applyAlignment="1">
      <alignment horizontal="center" vertical="top"/>
    </xf>
    <xf numFmtId="0" fontId="4" fillId="0" borderId="8" xfId="0" applyFont="1" applyFill="1" applyBorder="1"/>
    <xf numFmtId="1" fontId="4" fillId="0" borderId="8" xfId="0" applyNumberFormat="1" applyFont="1" applyFill="1" applyBorder="1" applyAlignment="1">
      <alignment horizontal="center" vertical="top"/>
    </xf>
    <xf numFmtId="2" fontId="4" fillId="0" borderId="8" xfId="0" applyNumberFormat="1" applyFont="1" applyFill="1" applyBorder="1" applyAlignment="1">
      <alignment horizontal="center" vertical="top"/>
    </xf>
    <xf numFmtId="168" fontId="11" fillId="0" borderId="8" xfId="0" applyNumberFormat="1" applyFont="1" applyFill="1" applyBorder="1" applyAlignment="1">
      <alignment horizontal="center" vertical="top"/>
    </xf>
    <xf numFmtId="167" fontId="12" fillId="0" borderId="3" xfId="0" applyNumberFormat="1" applyFont="1" applyFill="1" applyBorder="1"/>
    <xf numFmtId="0" fontId="5" fillId="0" borderId="6" xfId="0" applyFont="1" applyFill="1" applyBorder="1" applyAlignment="1">
      <alignment horizontal="left" vertical="top"/>
    </xf>
    <xf numFmtId="0" fontId="5" fillId="0" borderId="5" xfId="0" applyFont="1" applyFill="1" applyBorder="1" applyAlignment="1">
      <alignment horizontal="left" vertical="top"/>
    </xf>
    <xf numFmtId="0" fontId="5" fillId="0" borderId="8" xfId="0" applyFont="1" applyFill="1" applyBorder="1" applyAlignment="1">
      <alignment horizontal="left" vertical="top"/>
    </xf>
    <xf numFmtId="0" fontId="5" fillId="0" borderId="9" xfId="0" applyFont="1" applyFill="1" applyBorder="1" applyAlignment="1">
      <alignment vertical="top"/>
    </xf>
    <xf numFmtId="0" fontId="5" fillId="0" borderId="9" xfId="0" applyFont="1" applyFill="1" applyBorder="1"/>
    <xf numFmtId="0" fontId="5" fillId="0" borderId="0" xfId="0" applyFont="1" applyFill="1" applyAlignment="1">
      <alignment vertical="top"/>
    </xf>
    <xf numFmtId="0" fontId="11" fillId="0" borderId="2" xfId="0" applyFont="1" applyFill="1" applyBorder="1" applyAlignment="1">
      <alignment horizontal="left" vertical="top" wrapText="1"/>
    </xf>
    <xf numFmtId="2" fontId="4" fillId="0" borderId="0" xfId="0" applyNumberFormat="1" applyFont="1" applyFill="1"/>
    <xf numFmtId="1" fontId="4" fillId="0" borderId="0" xfId="0" applyNumberFormat="1" applyFont="1" applyFill="1" applyBorder="1"/>
    <xf numFmtId="164" fontId="4" fillId="0" borderId="0" xfId="0" applyNumberFormat="1" applyFont="1" applyFill="1" applyBorder="1"/>
    <xf numFmtId="2" fontId="4" fillId="0" borderId="0" xfId="0" applyNumberFormat="1" applyFont="1" applyFill="1" applyBorder="1"/>
    <xf numFmtId="2" fontId="5" fillId="0" borderId="0" xfId="0" applyNumberFormat="1" applyFont="1" applyFill="1" applyBorder="1"/>
    <xf numFmtId="164" fontId="4" fillId="0" borderId="0" xfId="0" applyNumberFormat="1" applyFont="1" applyFill="1"/>
    <xf numFmtId="2" fontId="9" fillId="0" borderId="0" xfId="0" applyNumberFormat="1" applyFont="1" applyFill="1" applyAlignment="1">
      <alignment horizontal="center" vertical="top"/>
    </xf>
    <xf numFmtId="2" fontId="4" fillId="0" borderId="7" xfId="0" applyNumberFormat="1" applyFont="1" applyFill="1" applyBorder="1"/>
    <xf numFmtId="1" fontId="4" fillId="0" borderId="7" xfId="0" applyNumberFormat="1" applyFont="1" applyFill="1" applyBorder="1"/>
    <xf numFmtId="164" fontId="4" fillId="0" borderId="7" xfId="0" applyNumberFormat="1" applyFont="1" applyFill="1" applyBorder="1"/>
    <xf numFmtId="0" fontId="11" fillId="0" borderId="0" xfId="0" applyFont="1" applyFill="1" applyAlignment="1">
      <alignment horizontal="left" vertical="top"/>
    </xf>
    <xf numFmtId="0" fontId="11" fillId="0" borderId="0" xfId="0" applyFont="1" applyFill="1" applyAlignment="1">
      <alignment horizontal="center" vertical="top"/>
    </xf>
    <xf numFmtId="0" fontId="2" fillId="0" borderId="0" xfId="0" applyFont="1" applyAlignment="1">
      <alignment horizontal="center" vertical="top"/>
    </xf>
    <xf numFmtId="0" fontId="9" fillId="0" borderId="0" xfId="0" applyFont="1" applyFill="1" applyAlignment="1">
      <alignment horizontal="left" vertical="top"/>
    </xf>
    <xf numFmtId="0" fontId="9" fillId="0" borderId="0" xfId="0" applyFont="1" applyFill="1" applyAlignment="1">
      <alignment horizontal="center" vertical="top"/>
    </xf>
    <xf numFmtId="0" fontId="5" fillId="0" borderId="0" xfId="0" applyFont="1" applyBorder="1" applyAlignment="1">
      <alignment horizontal="center" vertical="top"/>
    </xf>
    <xf numFmtId="0" fontId="4" fillId="0" borderId="0" xfId="0" applyFont="1" applyBorder="1"/>
    <xf numFmtId="2" fontId="5" fillId="0" borderId="0" xfId="0" applyNumberFormat="1" applyFont="1" applyFill="1" applyBorder="1" applyAlignment="1">
      <alignment vertical="top" wrapText="1"/>
    </xf>
    <xf numFmtId="2" fontId="18" fillId="0" borderId="0" xfId="0" applyNumberFormat="1" applyFont="1" applyFill="1" applyBorder="1" applyAlignment="1">
      <alignment vertical="top" wrapText="1"/>
    </xf>
    <xf numFmtId="0" fontId="14" fillId="0" borderId="0" xfId="0" applyFont="1" applyFill="1" applyBorder="1"/>
    <xf numFmtId="0" fontId="15" fillId="0" borderId="0" xfId="0" applyFont="1" applyFill="1" applyBorder="1"/>
    <xf numFmtId="0" fontId="14" fillId="0" borderId="0" xfId="0" applyFont="1" applyFill="1" applyBorder="1" applyAlignment="1">
      <alignment horizontal="center" vertical="top"/>
    </xf>
    <xf numFmtId="0" fontId="5" fillId="0" borderId="0" xfId="0" applyFont="1" applyFill="1" applyBorder="1" applyAlignment="1">
      <alignment vertical="top"/>
    </xf>
    <xf numFmtId="0" fontId="5" fillId="0" borderId="2" xfId="0" applyFont="1" applyFill="1" applyBorder="1" applyAlignment="1">
      <alignment vertical="top" wrapText="1"/>
    </xf>
    <xf numFmtId="0" fontId="5" fillId="0" borderId="2" xfId="0" applyFont="1" applyFill="1" applyBorder="1" applyAlignment="1">
      <alignment horizontal="left" vertical="top" wrapText="1"/>
    </xf>
    <xf numFmtId="2" fontId="5" fillId="0" borderId="2" xfId="0" applyNumberFormat="1" applyFont="1" applyFill="1" applyBorder="1" applyAlignment="1">
      <alignment vertical="top" wrapText="1"/>
    </xf>
    <xf numFmtId="2" fontId="18" fillId="0" borderId="2" xfId="0" applyNumberFormat="1" applyFont="1" applyFill="1" applyBorder="1" applyAlignment="1">
      <alignment vertical="top" wrapText="1"/>
    </xf>
    <xf numFmtId="0" fontId="5" fillId="0" borderId="2" xfId="0" applyFont="1" applyFill="1" applyBorder="1" applyAlignment="1">
      <alignment horizontal="center" vertical="top"/>
    </xf>
    <xf numFmtId="2" fontId="4" fillId="0" borderId="2" xfId="0" applyNumberFormat="1" applyFont="1" applyFill="1" applyBorder="1"/>
    <xf numFmtId="2" fontId="4" fillId="0" borderId="2" xfId="0" applyNumberFormat="1" applyFont="1" applyFill="1" applyBorder="1" applyAlignment="1">
      <alignment horizontal="center"/>
    </xf>
    <xf numFmtId="2" fontId="5" fillId="0" borderId="2" xfId="0" applyNumberFormat="1" applyFont="1" applyFill="1" applyBorder="1" applyAlignment="1">
      <alignment horizontal="center"/>
    </xf>
    <xf numFmtId="2" fontId="5" fillId="0" borderId="2" xfId="0" applyNumberFormat="1" applyFont="1" applyFill="1" applyBorder="1"/>
    <xf numFmtId="167" fontId="4" fillId="0" borderId="2" xfId="0" applyNumberFormat="1" applyFont="1" applyFill="1" applyBorder="1"/>
    <xf numFmtId="1" fontId="4" fillId="0" borderId="2" xfId="0" applyNumberFormat="1" applyFont="1" applyFill="1" applyBorder="1"/>
    <xf numFmtId="0" fontId="15" fillId="0" borderId="2" xfId="0" applyFont="1" applyFill="1" applyBorder="1"/>
    <xf numFmtId="169" fontId="4" fillId="0" borderId="2" xfId="0" applyNumberFormat="1" applyFont="1" applyFill="1" applyBorder="1" applyAlignment="1">
      <alignment horizontal="center" vertical="top"/>
    </xf>
    <xf numFmtId="164" fontId="5" fillId="0" borderId="2" xfId="0" applyNumberFormat="1" applyFont="1" applyFill="1" applyBorder="1" applyAlignment="1">
      <alignment horizontal="center" vertical="top"/>
    </xf>
    <xf numFmtId="2" fontId="4" fillId="0" borderId="2" xfId="0" applyNumberFormat="1" applyFont="1" applyFill="1" applyBorder="1" applyAlignment="1">
      <alignment horizontal="right"/>
    </xf>
    <xf numFmtId="0" fontId="14" fillId="0" borderId="2" xfId="0" applyFont="1" applyFill="1" applyBorder="1" applyAlignment="1">
      <alignment horizontal="center" vertical="top"/>
    </xf>
    <xf numFmtId="168" fontId="14" fillId="0" borderId="2" xfId="0" applyNumberFormat="1" applyFont="1" applyFill="1" applyBorder="1" applyAlignment="1">
      <alignment horizontal="center" vertical="top"/>
    </xf>
    <xf numFmtId="0" fontId="15" fillId="0" borderId="2" xfId="0" applyFont="1" applyFill="1" applyBorder="1" applyAlignment="1">
      <alignment horizontal="center" vertical="top"/>
    </xf>
    <xf numFmtId="168" fontId="15" fillId="0" borderId="2" xfId="0" applyNumberFormat="1" applyFont="1" applyFill="1" applyBorder="1" applyAlignment="1">
      <alignment horizontal="center" vertical="top"/>
    </xf>
    <xf numFmtId="2" fontId="15" fillId="0" borderId="2" xfId="0" applyNumberFormat="1" applyFont="1" applyFill="1" applyBorder="1" applyAlignment="1">
      <alignment horizontal="center" vertical="top"/>
    </xf>
    <xf numFmtId="0" fontId="14" fillId="0" borderId="5" xfId="0" applyFont="1" applyFill="1" applyBorder="1" applyAlignment="1">
      <alignment horizontal="center" vertical="top"/>
    </xf>
    <xf numFmtId="168" fontId="14" fillId="0" borderId="5" xfId="0" applyNumberFormat="1" applyFont="1" applyFill="1" applyBorder="1" applyAlignment="1">
      <alignment horizontal="center" vertical="top"/>
    </xf>
    <xf numFmtId="0" fontId="15" fillId="0" borderId="5" xfId="0" applyFont="1" applyFill="1" applyBorder="1"/>
    <xf numFmtId="0" fontId="15" fillId="0" borderId="5" xfId="0" applyFont="1" applyFill="1" applyBorder="1" applyAlignment="1">
      <alignment horizontal="center" vertical="top"/>
    </xf>
    <xf numFmtId="168" fontId="15" fillId="0" borderId="5" xfId="0" applyNumberFormat="1" applyFont="1" applyFill="1" applyBorder="1" applyAlignment="1">
      <alignment horizontal="center" vertical="top"/>
    </xf>
    <xf numFmtId="2" fontId="4" fillId="0" borderId="5" xfId="0" applyNumberFormat="1" applyFont="1" applyFill="1" applyBorder="1" applyAlignment="1">
      <alignment horizontal="center"/>
    </xf>
    <xf numFmtId="2" fontId="5" fillId="0" borderId="5" xfId="0" applyNumberFormat="1" applyFont="1" applyFill="1" applyBorder="1" applyAlignment="1">
      <alignment horizontal="center"/>
    </xf>
    <xf numFmtId="167" fontId="4" fillId="0" borderId="5" xfId="0" applyNumberFormat="1" applyFont="1" applyFill="1" applyBorder="1"/>
    <xf numFmtId="1" fontId="4" fillId="0" borderId="5" xfId="0" applyNumberFormat="1" applyFont="1" applyFill="1" applyBorder="1"/>
    <xf numFmtId="164" fontId="5" fillId="0" borderId="6" xfId="0" applyNumberFormat="1" applyFont="1" applyFill="1" applyBorder="1" applyAlignment="1">
      <alignment horizontal="center" vertical="top"/>
    </xf>
    <xf numFmtId="0" fontId="5" fillId="0" borderId="6" xfId="0" applyFont="1" applyFill="1" applyBorder="1" applyAlignment="1">
      <alignment horizontal="center" vertical="top"/>
    </xf>
    <xf numFmtId="2" fontId="4" fillId="0" borderId="6" xfId="0" applyNumberFormat="1" applyFont="1" applyFill="1" applyBorder="1" applyAlignment="1">
      <alignment horizontal="right"/>
    </xf>
    <xf numFmtId="2" fontId="4" fillId="0" borderId="6" xfId="0" applyNumberFormat="1" applyFont="1" applyFill="1" applyBorder="1" applyAlignment="1">
      <alignment horizontal="center"/>
    </xf>
    <xf numFmtId="2" fontId="5" fillId="0" borderId="6" xfId="0" applyNumberFormat="1" applyFont="1" applyFill="1" applyBorder="1" applyAlignment="1">
      <alignment horizontal="center"/>
    </xf>
    <xf numFmtId="167" fontId="4" fillId="0" borderId="6" xfId="0" applyNumberFormat="1" applyFont="1" applyFill="1" applyBorder="1"/>
    <xf numFmtId="1" fontId="4" fillId="0" borderId="6" xfId="0" applyNumberFormat="1" applyFont="1" applyFill="1" applyBorder="1"/>
    <xf numFmtId="0" fontId="14" fillId="0" borderId="6" xfId="0" applyFont="1" applyFill="1" applyBorder="1" applyAlignment="1">
      <alignment horizontal="center" vertical="top"/>
    </xf>
    <xf numFmtId="0" fontId="15" fillId="0" borderId="6" xfId="0" applyFont="1" applyFill="1" applyBorder="1"/>
    <xf numFmtId="168" fontId="14" fillId="0" borderId="6" xfId="0" applyNumberFormat="1" applyFont="1" applyFill="1" applyBorder="1" applyAlignment="1">
      <alignment horizontal="center" vertical="top"/>
    </xf>
    <xf numFmtId="0" fontId="15" fillId="0" borderId="6" xfId="0" applyFont="1" applyFill="1" applyBorder="1" applyAlignment="1">
      <alignment horizontal="center" vertical="top"/>
    </xf>
    <xf numFmtId="168" fontId="15" fillId="0" borderId="6" xfId="0" applyNumberFormat="1" applyFont="1" applyFill="1" applyBorder="1" applyAlignment="1">
      <alignment horizontal="center" vertical="top"/>
    </xf>
    <xf numFmtId="2" fontId="15" fillId="0" borderId="5" xfId="0" applyNumberFormat="1" applyFont="1" applyFill="1" applyBorder="1" applyAlignment="1">
      <alignment horizontal="center" vertical="top"/>
    </xf>
    <xf numFmtId="0" fontId="14" fillId="0" borderId="2" xfId="0" applyFont="1" applyFill="1" applyBorder="1" applyAlignment="1">
      <alignment vertical="top"/>
    </xf>
    <xf numFmtId="0" fontId="15" fillId="0" borderId="2" xfId="0" applyFont="1" applyFill="1" applyBorder="1" applyAlignment="1">
      <alignment vertical="top"/>
    </xf>
    <xf numFmtId="14" fontId="4" fillId="0" borderId="5" xfId="0" applyNumberFormat="1" applyFont="1" applyFill="1" applyBorder="1" applyAlignment="1">
      <alignment vertical="top"/>
    </xf>
    <xf numFmtId="14" fontId="4" fillId="0" borderId="2" xfId="0" applyNumberFormat="1" applyFont="1" applyFill="1" applyBorder="1" applyAlignment="1">
      <alignment vertical="top"/>
    </xf>
    <xf numFmtId="0" fontId="15" fillId="0" borderId="6" xfId="0" applyFont="1" applyFill="1" applyBorder="1" applyAlignment="1">
      <alignment vertical="top"/>
    </xf>
    <xf numFmtId="14" fontId="4" fillId="0" borderId="6" xfId="0" applyNumberFormat="1" applyFont="1" applyFill="1" applyBorder="1" applyAlignment="1">
      <alignment vertical="top"/>
    </xf>
    <xf numFmtId="0" fontId="14" fillId="0" borderId="6" xfId="0" applyFont="1" applyFill="1" applyBorder="1" applyAlignment="1">
      <alignment vertical="top"/>
    </xf>
    <xf numFmtId="0" fontId="14" fillId="0" borderId="5" xfId="0" applyFont="1" applyFill="1" applyBorder="1" applyAlignment="1">
      <alignment vertical="top"/>
    </xf>
    <xf numFmtId="0" fontId="15" fillId="0" borderId="5" xfId="0" applyFont="1" applyFill="1" applyBorder="1" applyAlignment="1">
      <alignment vertical="top"/>
    </xf>
    <xf numFmtId="2" fontId="15" fillId="0" borderId="6" xfId="0" applyNumberFormat="1" applyFont="1" applyFill="1" applyBorder="1" applyAlignment="1">
      <alignment horizontal="center" vertical="top"/>
    </xf>
    <xf numFmtId="164" fontId="10" fillId="0" borderId="2" xfId="0" applyNumberFormat="1" applyFont="1" applyFill="1" applyBorder="1" applyAlignment="1">
      <alignment vertical="top"/>
    </xf>
    <xf numFmtId="164" fontId="10" fillId="0" borderId="6" xfId="0" applyNumberFormat="1" applyFont="1" applyFill="1" applyBorder="1" applyAlignment="1">
      <alignment vertical="top"/>
    </xf>
    <xf numFmtId="164" fontId="10" fillId="0" borderId="5" xfId="0" applyNumberFormat="1" applyFont="1" applyFill="1" applyBorder="1"/>
    <xf numFmtId="164" fontId="10" fillId="0" borderId="2" xfId="0" applyNumberFormat="1" applyFont="1" applyFill="1" applyBorder="1"/>
    <xf numFmtId="164" fontId="10" fillId="0" borderId="6" xfId="0" applyNumberFormat="1" applyFont="1" applyFill="1" applyBorder="1"/>
    <xf numFmtId="164" fontId="10" fillId="0" borderId="8" xfId="0" applyNumberFormat="1" applyFont="1" applyFill="1" applyBorder="1"/>
    <xf numFmtId="2" fontId="9" fillId="0" borderId="0" xfId="0" applyNumberFormat="1" applyFont="1" applyFill="1" applyBorder="1" applyAlignment="1">
      <alignment horizontal="center" vertical="top"/>
    </xf>
    <xf numFmtId="0" fontId="9" fillId="0" borderId="0" xfId="0" applyFont="1" applyFill="1" applyBorder="1" applyAlignment="1">
      <alignment horizontal="center" vertical="top"/>
    </xf>
    <xf numFmtId="0" fontId="9" fillId="0" borderId="0" xfId="0" applyFont="1" applyFill="1" applyBorder="1" applyAlignment="1">
      <alignment vertical="top"/>
    </xf>
    <xf numFmtId="2" fontId="5" fillId="0" borderId="0" xfId="0" applyNumberFormat="1" applyFont="1" applyFill="1" applyBorder="1" applyAlignment="1">
      <alignment horizontal="center" vertical="top"/>
    </xf>
    <xf numFmtId="0" fontId="9" fillId="0" borderId="2" xfId="0" applyFont="1" applyFill="1" applyBorder="1" applyAlignment="1">
      <alignment horizontal="center" vertical="top"/>
    </xf>
    <xf numFmtId="0" fontId="2" fillId="0" borderId="2" xfId="0" applyFont="1" applyFill="1" applyBorder="1" applyAlignment="1">
      <alignment horizontal="left"/>
    </xf>
    <xf numFmtId="0" fontId="0" fillId="0" borderId="2" xfId="0" applyFont="1" applyFill="1" applyBorder="1" applyAlignment="1">
      <alignment horizontal="left"/>
    </xf>
    <xf numFmtId="0" fontId="9" fillId="0" borderId="4" xfId="0" applyFont="1" applyFill="1" applyBorder="1" applyAlignment="1">
      <alignment horizontal="center" vertical="top"/>
    </xf>
    <xf numFmtId="2" fontId="5" fillId="0" borderId="7" xfId="0" applyNumberFormat="1" applyFont="1" applyFill="1" applyBorder="1" applyAlignment="1">
      <alignment horizontal="center" vertical="top"/>
    </xf>
    <xf numFmtId="0" fontId="9" fillId="0" borderId="0" xfId="0" applyFont="1" applyFill="1" applyBorder="1" applyAlignment="1">
      <alignment horizontal="left" vertical="top"/>
    </xf>
    <xf numFmtId="0" fontId="9" fillId="0" borderId="0" xfId="0" applyFont="1" applyFill="1"/>
    <xf numFmtId="1" fontId="9" fillId="0" borderId="0" xfId="0" applyNumberFormat="1" applyFont="1" applyFill="1" applyAlignment="1">
      <alignment horizontal="left" vertical="top"/>
    </xf>
    <xf numFmtId="2" fontId="9" fillId="0" borderId="0" xfId="0" applyNumberFormat="1" applyFont="1" applyFill="1" applyBorder="1" applyAlignment="1">
      <alignment horizontal="left" vertical="top"/>
    </xf>
    <xf numFmtId="168" fontId="9" fillId="0" borderId="0" xfId="0" applyNumberFormat="1" applyFont="1" applyFill="1" applyBorder="1" applyAlignment="1">
      <alignment horizontal="left" vertical="top"/>
    </xf>
    <xf numFmtId="0" fontId="9" fillId="0" borderId="4" xfId="0" applyFont="1" applyFill="1" applyBorder="1" applyAlignment="1">
      <alignment horizontal="left" vertical="top"/>
    </xf>
    <xf numFmtId="1" fontId="9" fillId="0" borderId="4" xfId="0" applyNumberFormat="1" applyFont="1" applyFill="1" applyBorder="1" applyAlignment="1">
      <alignment horizontal="left" vertical="top"/>
    </xf>
    <xf numFmtId="2" fontId="9" fillId="0" borderId="4" xfId="0" applyNumberFormat="1" applyFont="1" applyFill="1" applyBorder="1" applyAlignment="1">
      <alignment horizontal="left" vertical="top"/>
    </xf>
    <xf numFmtId="168" fontId="9" fillId="0" borderId="4" xfId="0" applyNumberFormat="1" applyFont="1" applyFill="1" applyBorder="1" applyAlignment="1">
      <alignment horizontal="left" vertical="top"/>
    </xf>
    <xf numFmtId="0" fontId="9" fillId="0" borderId="4" xfId="0" applyFont="1" applyFill="1" applyBorder="1"/>
    <xf numFmtId="0" fontId="9" fillId="0" borderId="0" xfId="0" applyFont="1" applyBorder="1" applyAlignment="1">
      <alignment horizontal="left" vertical="top"/>
    </xf>
    <xf numFmtId="0" fontId="13" fillId="0" borderId="0" xfId="0" applyFont="1" applyBorder="1" applyAlignment="1">
      <alignment horizontal="left" vertical="top" wrapText="1"/>
    </xf>
    <xf numFmtId="0" fontId="9" fillId="0" borderId="0" xfId="0" applyFont="1" applyBorder="1"/>
    <xf numFmtId="0" fontId="9" fillId="0" borderId="0" xfId="0" applyFont="1" applyFill="1" applyBorder="1"/>
    <xf numFmtId="1" fontId="9" fillId="0" borderId="0" xfId="0" applyNumberFormat="1" applyFont="1" applyFill="1" applyBorder="1" applyAlignment="1">
      <alignment horizontal="left" vertical="top"/>
    </xf>
    <xf numFmtId="0" fontId="9" fillId="0" borderId="0" xfId="0" applyFont="1" applyFill="1" applyBorder="1" applyAlignment="1">
      <alignment horizontal="left" vertical="center"/>
    </xf>
    <xf numFmtId="167" fontId="9" fillId="0" borderId="0" xfId="0" applyNumberFormat="1" applyFont="1" applyFill="1" applyBorder="1" applyAlignment="1">
      <alignment horizontal="center" vertical="top"/>
    </xf>
    <xf numFmtId="0" fontId="9" fillId="0" borderId="4" xfId="0" applyFont="1" applyFill="1" applyBorder="1" applyAlignment="1">
      <alignment horizontal="left" vertical="center"/>
    </xf>
    <xf numFmtId="0" fontId="9" fillId="0" borderId="4" xfId="0" applyFont="1" applyFill="1" applyBorder="1" applyAlignment="1">
      <alignment vertical="top"/>
    </xf>
    <xf numFmtId="2" fontId="9" fillId="0" borderId="4" xfId="0" applyNumberFormat="1" applyFont="1" applyFill="1" applyBorder="1" applyAlignment="1">
      <alignment horizontal="center" vertical="top"/>
    </xf>
    <xf numFmtId="167" fontId="9" fillId="0" borderId="4" xfId="0" applyNumberFormat="1" applyFont="1" applyFill="1" applyBorder="1" applyAlignment="1">
      <alignment horizontal="center" vertical="top"/>
    </xf>
    <xf numFmtId="2" fontId="9" fillId="0" borderId="0" xfId="0" applyNumberFormat="1" applyFont="1" applyFill="1" applyAlignment="1">
      <alignment horizontal="left" vertical="top"/>
    </xf>
    <xf numFmtId="168" fontId="9" fillId="0" borderId="0" xfId="0" applyNumberFormat="1" applyFont="1" applyFill="1" applyAlignment="1">
      <alignment horizontal="left" vertical="top"/>
    </xf>
    <xf numFmtId="0" fontId="0" fillId="0" borderId="0" xfId="0" applyFill="1" applyAlignment="1">
      <alignment horizontal="left" vertical="top"/>
    </xf>
    <xf numFmtId="0" fontId="5" fillId="0" borderId="0" xfId="1" applyFont="1" applyFill="1" applyBorder="1" applyAlignment="1">
      <alignment horizontal="left" vertical="top" wrapText="1"/>
    </xf>
    <xf numFmtId="0" fontId="10" fillId="0" borderId="0" xfId="0" applyFont="1" applyFill="1" applyAlignment="1">
      <alignment horizontal="center" vertical="top"/>
    </xf>
    <xf numFmtId="1" fontId="9" fillId="0" borderId="0" xfId="0" applyNumberFormat="1" applyFont="1" applyFill="1" applyAlignment="1">
      <alignment horizontal="center" vertical="top"/>
    </xf>
    <xf numFmtId="168" fontId="9" fillId="0" borderId="0" xfId="0" applyNumberFormat="1" applyFont="1" applyFill="1" applyAlignment="1">
      <alignment horizontal="center" vertical="top"/>
    </xf>
    <xf numFmtId="0" fontId="9" fillId="0" borderId="0" xfId="0" applyFont="1" applyFill="1" applyAlignment="1">
      <alignment vertical="top"/>
    </xf>
    <xf numFmtId="1" fontId="9" fillId="0" borderId="4" xfId="0" applyNumberFormat="1" applyFont="1" applyFill="1" applyBorder="1" applyAlignment="1">
      <alignment horizontal="center" vertical="top"/>
    </xf>
    <xf numFmtId="168" fontId="9" fillId="0" borderId="4" xfId="0" applyNumberFormat="1" applyFont="1" applyFill="1" applyBorder="1" applyAlignment="1">
      <alignment horizontal="center" vertical="top"/>
    </xf>
    <xf numFmtId="2" fontId="10" fillId="0" borderId="4" xfId="0" applyNumberFormat="1" applyFont="1" applyFill="1" applyBorder="1" applyAlignment="1">
      <alignment horizontal="center" vertical="top"/>
    </xf>
    <xf numFmtId="0" fontId="10" fillId="0" borderId="4" xfId="0" applyFont="1" applyFill="1" applyBorder="1" applyAlignment="1">
      <alignment horizontal="center" vertical="top"/>
    </xf>
    <xf numFmtId="0" fontId="11" fillId="0" borderId="4" xfId="0" applyFont="1" applyFill="1" applyBorder="1" applyAlignment="1">
      <alignment horizontal="left" vertical="top"/>
    </xf>
    <xf numFmtId="1" fontId="9" fillId="0" borderId="0" xfId="0" applyNumberFormat="1" applyFont="1" applyFill="1" applyBorder="1" applyAlignment="1">
      <alignment horizontal="center" vertical="top"/>
    </xf>
    <xf numFmtId="168" fontId="9" fillId="0" borderId="0" xfId="0" applyNumberFormat="1" applyFont="1" applyFill="1" applyBorder="1" applyAlignment="1">
      <alignment horizontal="center" vertical="top"/>
    </xf>
    <xf numFmtId="2" fontId="10" fillId="0" borderId="0" xfId="0" applyNumberFormat="1" applyFont="1" applyFill="1" applyBorder="1" applyAlignment="1">
      <alignment horizontal="center" vertical="top"/>
    </xf>
    <xf numFmtId="0" fontId="10" fillId="0" borderId="0" xfId="0" applyFont="1" applyFill="1" applyBorder="1" applyAlignment="1">
      <alignment horizontal="center" vertical="top"/>
    </xf>
    <xf numFmtId="2" fontId="10" fillId="0" borderId="9" xfId="0" applyNumberFormat="1" applyFont="1" applyFill="1" applyBorder="1" applyAlignment="1">
      <alignment horizontal="center" vertical="top"/>
    </xf>
    <xf numFmtId="2" fontId="10" fillId="0" borderId="11" xfId="0" applyNumberFormat="1" applyFont="1" applyFill="1" applyBorder="1" applyAlignment="1">
      <alignment horizontal="center" vertical="top"/>
    </xf>
    <xf numFmtId="0" fontId="10" fillId="0" borderId="9" xfId="0" applyFont="1" applyFill="1" applyBorder="1" applyAlignment="1">
      <alignment horizontal="center" vertical="top"/>
    </xf>
    <xf numFmtId="0" fontId="6" fillId="0" borderId="1" xfId="0" applyFont="1" applyFill="1" applyBorder="1" applyAlignment="1">
      <alignment horizontal="center" vertical="top" wrapText="1"/>
    </xf>
    <xf numFmtId="2" fontId="10" fillId="0" borderId="12" xfId="0" applyNumberFormat="1" applyFont="1" applyFill="1" applyBorder="1" applyAlignment="1">
      <alignment horizontal="center" vertical="top"/>
    </xf>
    <xf numFmtId="2" fontId="10" fillId="0" borderId="13" xfId="0" applyNumberFormat="1" applyFont="1" applyFill="1" applyBorder="1" applyAlignment="1">
      <alignment horizontal="center" vertical="top"/>
    </xf>
    <xf numFmtId="0" fontId="10" fillId="0" borderId="11" xfId="0" applyFont="1" applyFill="1" applyBorder="1" applyAlignment="1">
      <alignment horizontal="center" vertical="top"/>
    </xf>
    <xf numFmtId="0" fontId="5" fillId="0" borderId="4" xfId="0" applyFont="1" applyFill="1" applyBorder="1" applyAlignment="1">
      <alignment horizontal="left" vertical="top" wrapText="1"/>
    </xf>
    <xf numFmtId="0" fontId="11" fillId="0" borderId="4" xfId="0" applyFont="1" applyFill="1" applyBorder="1" applyAlignment="1">
      <alignment horizontal="left" vertical="top" wrapText="1"/>
    </xf>
    <xf numFmtId="0" fontId="11" fillId="0" borderId="0" xfId="0" applyFont="1" applyFill="1" applyAlignment="1">
      <alignment horizontal="left" vertical="top" wrapText="1"/>
    </xf>
    <xf numFmtId="0" fontId="2" fillId="0" borderId="0" xfId="0" applyFont="1" applyFill="1" applyAlignment="1">
      <alignment horizontal="left"/>
    </xf>
    <xf numFmtId="0" fontId="2" fillId="0" borderId="0" xfId="0" applyFont="1" applyFill="1" applyAlignment="1">
      <alignment horizontal="center" vertical="top"/>
    </xf>
    <xf numFmtId="0" fontId="0" fillId="0" borderId="0" xfId="0" applyFont="1" applyFill="1" applyAlignment="1">
      <alignment horizontal="left" vertical="top"/>
    </xf>
    <xf numFmtId="0" fontId="2" fillId="0" borderId="2" xfId="0" applyFont="1" applyFill="1" applyBorder="1" applyAlignment="1">
      <alignment vertical="top" wrapText="1"/>
    </xf>
    <xf numFmtId="0" fontId="2" fillId="0" borderId="0" xfId="0" applyFont="1" applyFill="1" applyAlignment="1">
      <alignment vertical="top" wrapText="1"/>
    </xf>
    <xf numFmtId="0" fontId="0" fillId="0" borderId="2" xfId="0" applyFont="1" applyFill="1" applyBorder="1" applyAlignment="1">
      <alignment horizontal="center"/>
    </xf>
    <xf numFmtId="0" fontId="0" fillId="0" borderId="2" xfId="0" applyFont="1" applyFill="1" applyBorder="1" applyAlignment="1">
      <alignment horizontal="left" vertical="top"/>
    </xf>
    <xf numFmtId="0" fontId="0" fillId="0" borderId="2" xfId="0" applyFill="1" applyBorder="1"/>
    <xf numFmtId="168" fontId="2" fillId="0" borderId="2" xfId="0" applyNumberFormat="1" applyFont="1" applyFill="1" applyBorder="1"/>
    <xf numFmtId="168" fontId="2" fillId="0" borderId="2" xfId="0" applyNumberFormat="1" applyFont="1" applyFill="1" applyBorder="1" applyAlignment="1">
      <alignment horizontal="center" vertical="top"/>
    </xf>
    <xf numFmtId="168" fontId="15" fillId="0" borderId="0" xfId="0" applyNumberFormat="1" applyFont="1" applyFill="1" applyBorder="1"/>
    <xf numFmtId="2" fontId="9" fillId="0" borderId="2" xfId="0" applyNumberFormat="1" applyFont="1" applyFill="1" applyBorder="1" applyAlignment="1">
      <alignment horizontal="center" vertical="top"/>
    </xf>
    <xf numFmtId="1" fontId="4" fillId="0" borderId="2" xfId="0" applyNumberFormat="1" applyFont="1" applyFill="1" applyBorder="1" applyAlignment="1">
      <alignment horizontal="left" vertical="top"/>
    </xf>
    <xf numFmtId="0" fontId="4" fillId="0" borderId="0" xfId="0" applyFont="1" applyFill="1" applyAlignment="1">
      <alignment horizontal="left"/>
    </xf>
    <xf numFmtId="0" fontId="4" fillId="0" borderId="0" xfId="0" applyFont="1" applyFill="1" applyAlignment="1">
      <alignment horizontal="left" vertical="top"/>
    </xf>
    <xf numFmtId="0" fontId="5" fillId="0" borderId="4" xfId="0" applyFont="1" applyFill="1" applyBorder="1"/>
    <xf numFmtId="0" fontId="5" fillId="0" borderId="0" xfId="0" applyFont="1" applyFill="1" applyAlignment="1">
      <alignment horizontal="center" vertical="top"/>
    </xf>
    <xf numFmtId="0" fontId="5" fillId="0" borderId="7" xfId="0" applyFont="1" applyFill="1" applyBorder="1" applyAlignment="1">
      <alignment horizontal="center" vertical="top"/>
    </xf>
    <xf numFmtId="14" fontId="4" fillId="0" borderId="0" xfId="0" applyNumberFormat="1" applyFont="1" applyFill="1"/>
    <xf numFmtId="0" fontId="4" fillId="0" borderId="0" xfId="0" applyFont="1" applyFill="1" applyAlignment="1"/>
    <xf numFmtId="1" fontId="4" fillId="0" borderId="0" xfId="0" applyNumberFormat="1" applyFont="1" applyFill="1" applyAlignment="1">
      <alignment horizontal="center"/>
    </xf>
    <xf numFmtId="14" fontId="4" fillId="0" borderId="0" xfId="0" applyNumberFormat="1" applyFont="1" applyFill="1" applyBorder="1"/>
    <xf numFmtId="0" fontId="4" fillId="0" borderId="0" xfId="0" applyFont="1" applyFill="1" applyBorder="1" applyAlignment="1"/>
    <xf numFmtId="1" fontId="4" fillId="0" borderId="0" xfId="0" applyNumberFormat="1" applyFont="1" applyFill="1" applyBorder="1" applyAlignment="1">
      <alignment horizontal="center"/>
    </xf>
    <xf numFmtId="14" fontId="4" fillId="0" borderId="7" xfId="0" applyNumberFormat="1" applyFont="1" applyFill="1" applyBorder="1"/>
    <xf numFmtId="0" fontId="4" fillId="0" borderId="7" xfId="0" applyFont="1" applyFill="1" applyBorder="1" applyAlignment="1"/>
    <xf numFmtId="1" fontId="4" fillId="0" borderId="7" xfId="0" applyNumberFormat="1" applyFont="1" applyFill="1" applyBorder="1" applyAlignment="1">
      <alignment horizontal="center"/>
    </xf>
    <xf numFmtId="0" fontId="5" fillId="0" borderId="0" xfId="0" applyFont="1" applyFill="1" applyAlignment="1">
      <alignment horizontal="left" vertical="top"/>
    </xf>
    <xf numFmtId="0" fontId="4" fillId="0" borderId="0" xfId="0" applyFont="1" applyFill="1" applyBorder="1" applyAlignment="1">
      <alignment horizontal="center" vertical="top"/>
    </xf>
    <xf numFmtId="0" fontId="4" fillId="0" borderId="7" xfId="0" applyFont="1" applyFill="1" applyBorder="1" applyAlignment="1">
      <alignment horizontal="left" vertical="top"/>
    </xf>
    <xf numFmtId="0" fontId="4" fillId="0" borderId="7" xfId="0" applyFont="1" applyFill="1" applyBorder="1" applyAlignment="1">
      <alignment horizontal="left"/>
    </xf>
    <xf numFmtId="0" fontId="4" fillId="0" borderId="4" xfId="0" applyFont="1" applyFill="1" applyBorder="1" applyAlignment="1">
      <alignment horizontal="center" vertical="top"/>
    </xf>
    <xf numFmtId="164" fontId="4" fillId="0" borderId="0" xfId="0" applyNumberFormat="1" applyFont="1" applyFill="1" applyAlignment="1">
      <alignment horizontal="left" vertical="top"/>
    </xf>
    <xf numFmtId="2" fontId="4" fillId="0" borderId="0" xfId="0" applyNumberFormat="1" applyFont="1" applyFill="1" applyAlignment="1">
      <alignment horizontal="right"/>
    </xf>
    <xf numFmtId="164" fontId="4" fillId="0" borderId="7" xfId="0" applyNumberFormat="1" applyFont="1" applyFill="1" applyBorder="1" applyAlignment="1">
      <alignment horizontal="left" vertical="top"/>
    </xf>
    <xf numFmtId="2" fontId="4" fillId="0" borderId="7" xfId="0" applyNumberFormat="1" applyFont="1" applyFill="1" applyBorder="1" applyAlignment="1">
      <alignment horizontal="right"/>
    </xf>
    <xf numFmtId="0" fontId="4" fillId="0" borderId="7" xfId="0" applyFont="1" applyFill="1" applyBorder="1" applyAlignment="1">
      <alignment horizontal="center" vertical="top"/>
    </xf>
    <xf numFmtId="168" fontId="5" fillId="0" borderId="0" xfId="0" applyNumberFormat="1" applyFont="1" applyFill="1" applyBorder="1" applyAlignment="1">
      <alignment horizontal="center" vertical="top"/>
    </xf>
    <xf numFmtId="0" fontId="15" fillId="0" borderId="0" xfId="0" applyFont="1" applyAlignment="1">
      <alignment horizontal="left" vertical="top"/>
    </xf>
    <xf numFmtId="0" fontId="15" fillId="0" borderId="0" xfId="0" applyFont="1"/>
    <xf numFmtId="1" fontId="0" fillId="0" borderId="0" xfId="0" applyNumberFormat="1" applyFill="1" applyBorder="1"/>
    <xf numFmtId="0" fontId="4" fillId="0" borderId="5" xfId="0" applyFont="1" applyFill="1" applyBorder="1" applyAlignment="1">
      <alignment horizontal="center"/>
    </xf>
    <xf numFmtId="0" fontId="4" fillId="0" borderId="2" xfId="0" applyFont="1" applyFill="1" applyBorder="1" applyAlignment="1">
      <alignment horizontal="center"/>
    </xf>
    <xf numFmtId="0" fontId="4" fillId="0" borderId="6" xfId="0" applyFont="1" applyFill="1" applyBorder="1" applyAlignment="1">
      <alignment horizontal="center"/>
    </xf>
    <xf numFmtId="0" fontId="4" fillId="0" borderId="8" xfId="0" applyFont="1" applyFill="1" applyBorder="1" applyAlignment="1">
      <alignment horizontal="center"/>
    </xf>
    <xf numFmtId="0" fontId="4" fillId="0" borderId="0" xfId="0" applyFont="1" applyBorder="1" applyAlignment="1">
      <alignment horizontal="center"/>
    </xf>
    <xf numFmtId="0" fontId="4" fillId="0" borderId="0" xfId="0" applyFont="1" applyFill="1" applyBorder="1" applyAlignment="1">
      <alignment horizontal="center"/>
    </xf>
    <xf numFmtId="0" fontId="15" fillId="0" borderId="0" xfId="0" applyFont="1" applyFill="1" applyBorder="1" applyAlignment="1">
      <alignment horizontal="center"/>
    </xf>
    <xf numFmtId="0" fontId="0" fillId="0" borderId="0" xfId="0" applyAlignment="1">
      <alignment horizontal="center"/>
    </xf>
    <xf numFmtId="0" fontId="4" fillId="0" borderId="0" xfId="0" applyFont="1" applyFill="1" applyAlignment="1">
      <alignment horizontal="center" vertical="top"/>
    </xf>
    <xf numFmtId="0" fontId="4" fillId="0" borderId="0" xfId="0" applyFont="1" applyFill="1" applyAlignment="1">
      <alignment horizontal="center"/>
    </xf>
    <xf numFmtId="0" fontId="4" fillId="0" borderId="7" xfId="0" applyFont="1" applyFill="1" applyBorder="1" applyAlignment="1">
      <alignment horizontal="center"/>
    </xf>
    <xf numFmtId="0" fontId="5" fillId="0" borderId="11" xfId="0" applyFont="1" applyFill="1" applyBorder="1"/>
    <xf numFmtId="0" fontId="4" fillId="0" borderId="9" xfId="0" applyFont="1" applyFill="1" applyBorder="1"/>
    <xf numFmtId="0" fontId="5" fillId="2" borderId="0" xfId="0" applyFont="1" applyFill="1"/>
    <xf numFmtId="0" fontId="4" fillId="2" borderId="0" xfId="0" applyFont="1" applyFill="1"/>
    <xf numFmtId="0" fontId="5" fillId="3" borderId="9" xfId="0" applyFont="1" applyFill="1" applyBorder="1"/>
    <xf numFmtId="0" fontId="5" fillId="3" borderId="0" xfId="0" applyFont="1" applyFill="1"/>
    <xf numFmtId="0" fontId="4" fillId="3" borderId="0" xfId="0" applyFont="1" applyFill="1" applyAlignment="1">
      <alignment vertical="top"/>
    </xf>
    <xf numFmtId="0" fontId="5" fillId="3" borderId="0" xfId="0" applyFont="1" applyFill="1" applyAlignment="1">
      <alignment vertical="top"/>
    </xf>
    <xf numFmtId="0" fontId="5" fillId="0" borderId="0" xfId="0" applyFont="1" applyFill="1" applyAlignment="1">
      <alignment horizontal="center" vertical="top" wrapText="1"/>
    </xf>
    <xf numFmtId="2" fontId="5" fillId="0" borderId="2" xfId="0" applyNumberFormat="1" applyFont="1" applyFill="1" applyBorder="1" applyAlignment="1">
      <alignment horizontal="center" vertical="top" wrapText="1"/>
    </xf>
    <xf numFmtId="2" fontId="18" fillId="0" borderId="2" xfId="0" applyNumberFormat="1" applyFont="1" applyFill="1" applyBorder="1" applyAlignment="1">
      <alignment horizontal="center" vertical="top" wrapText="1"/>
    </xf>
    <xf numFmtId="2" fontId="18" fillId="0" borderId="10" xfId="0" applyNumberFormat="1" applyFont="1" applyFill="1" applyBorder="1" applyAlignment="1">
      <alignment horizontal="center" vertical="top" wrapText="1"/>
    </xf>
    <xf numFmtId="2" fontId="5" fillId="0" borderId="10" xfId="0" applyNumberFormat="1" applyFont="1" applyFill="1" applyBorder="1" applyAlignment="1">
      <alignment horizontal="center" vertical="top" wrapText="1"/>
    </xf>
    <xf numFmtId="0" fontId="5" fillId="2" borderId="2" xfId="0" applyFont="1" applyFill="1" applyBorder="1" applyAlignment="1">
      <alignment horizontal="center" vertical="top" wrapText="1"/>
    </xf>
    <xf numFmtId="0" fontId="5" fillId="2" borderId="14" xfId="0" applyFont="1" applyFill="1" applyBorder="1" applyAlignment="1">
      <alignment horizontal="center" vertical="top" wrapText="1"/>
    </xf>
    <xf numFmtId="0" fontId="5" fillId="3" borderId="2" xfId="0" applyFont="1" applyFill="1" applyBorder="1" applyAlignment="1">
      <alignment horizontal="center" vertical="top" wrapText="1"/>
    </xf>
    <xf numFmtId="0" fontId="5" fillId="3" borderId="0" xfId="0" applyFont="1" applyFill="1" applyAlignment="1">
      <alignment horizontal="center" vertical="top" wrapText="1"/>
    </xf>
    <xf numFmtId="0" fontId="0" fillId="0" borderId="0" xfId="0" applyFill="1" applyAlignment="1">
      <alignment vertical="top"/>
    </xf>
    <xf numFmtId="1" fontId="4" fillId="2" borderId="0" xfId="0" applyNumberFormat="1" applyFont="1" applyFill="1" applyBorder="1"/>
    <xf numFmtId="168" fontId="5" fillId="2" borderId="0" xfId="0" applyNumberFormat="1" applyFont="1" applyFill="1"/>
    <xf numFmtId="1" fontId="4" fillId="2" borderId="0" xfId="0" applyNumberFormat="1" applyFont="1" applyFill="1"/>
    <xf numFmtId="164" fontId="4" fillId="2" borderId="0" xfId="0" applyNumberFormat="1" applyFont="1" applyFill="1" applyBorder="1"/>
    <xf numFmtId="1" fontId="4" fillId="3" borderId="9" xfId="0" applyNumberFormat="1" applyFont="1" applyFill="1" applyBorder="1"/>
    <xf numFmtId="1" fontId="4" fillId="3" borderId="0" xfId="0" applyNumberFormat="1" applyFont="1" applyFill="1"/>
    <xf numFmtId="2" fontId="4" fillId="3" borderId="0" xfId="0" applyNumberFormat="1" applyFont="1" applyFill="1"/>
    <xf numFmtId="0" fontId="4" fillId="3" borderId="0" xfId="0" applyFont="1" applyFill="1"/>
    <xf numFmtId="167" fontId="4" fillId="3" borderId="0" xfId="0" applyNumberFormat="1" applyFont="1" applyFill="1"/>
    <xf numFmtId="0" fontId="0" fillId="0" borderId="7" xfId="0" applyFill="1" applyBorder="1" applyAlignment="1">
      <alignment vertical="top"/>
    </xf>
    <xf numFmtId="1" fontId="4" fillId="2" borderId="7" xfId="0" applyNumberFormat="1" applyFont="1" applyFill="1" applyBorder="1"/>
    <xf numFmtId="168" fontId="5" fillId="2" borderId="7" xfId="0" applyNumberFormat="1" applyFont="1" applyFill="1" applyBorder="1"/>
    <xf numFmtId="164" fontId="4" fillId="2" borderId="7" xfId="0" applyNumberFormat="1" applyFont="1" applyFill="1" applyBorder="1"/>
    <xf numFmtId="1" fontId="4" fillId="3" borderId="15" xfId="0" applyNumberFormat="1" applyFont="1" applyFill="1" applyBorder="1"/>
    <xf numFmtId="1" fontId="4" fillId="3" borderId="7" xfId="0" applyNumberFormat="1" applyFont="1" applyFill="1" applyBorder="1"/>
    <xf numFmtId="2" fontId="4" fillId="3" borderId="7" xfId="0" applyNumberFormat="1" applyFont="1" applyFill="1" applyBorder="1"/>
    <xf numFmtId="0" fontId="4" fillId="3" borderId="7" xfId="0" applyFont="1" applyFill="1" applyBorder="1"/>
    <xf numFmtId="167" fontId="4" fillId="3" borderId="7" xfId="0" applyNumberFormat="1" applyFont="1" applyFill="1" applyBorder="1"/>
    <xf numFmtId="0" fontId="4" fillId="0" borderId="0" xfId="0" applyFont="1" applyFill="1" applyBorder="1" applyAlignment="1">
      <alignment horizontal="left"/>
    </xf>
    <xf numFmtId="168" fontId="5" fillId="2" borderId="0" xfId="0" applyNumberFormat="1" applyFont="1" applyFill="1" applyBorder="1"/>
    <xf numFmtId="1" fontId="4" fillId="3" borderId="0" xfId="0" applyNumberFormat="1" applyFont="1" applyFill="1" applyBorder="1"/>
    <xf numFmtId="2" fontId="4" fillId="3" borderId="0" xfId="0" applyNumberFormat="1" applyFont="1" applyFill="1" applyBorder="1"/>
    <xf numFmtId="0" fontId="4" fillId="3" borderId="0" xfId="0" applyFont="1" applyFill="1" applyBorder="1"/>
    <xf numFmtId="167" fontId="4" fillId="3" borderId="0" xfId="0" applyNumberFormat="1" applyFont="1" applyFill="1" applyBorder="1"/>
    <xf numFmtId="49" fontId="5" fillId="0" borderId="16" xfId="0" applyNumberFormat="1" applyFont="1" applyBorder="1" applyAlignment="1">
      <alignment horizontal="center" vertical="top"/>
    </xf>
    <xf numFmtId="0" fontId="11" fillId="0" borderId="17" xfId="0" applyFont="1" applyBorder="1" applyAlignment="1">
      <alignment horizontal="center" vertical="top"/>
    </xf>
    <xf numFmtId="0" fontId="11" fillId="0" borderId="18" xfId="0" applyFont="1" applyBorder="1" applyAlignment="1">
      <alignment horizontal="center" vertical="top"/>
    </xf>
    <xf numFmtId="0" fontId="5" fillId="0" borderId="17" xfId="0" applyFont="1" applyBorder="1" applyAlignment="1">
      <alignment horizontal="center" vertical="top"/>
    </xf>
    <xf numFmtId="49" fontId="21" fillId="0" borderId="19" xfId="0" applyNumberFormat="1" applyFont="1" applyBorder="1"/>
    <xf numFmtId="165" fontId="4" fillId="0" borderId="20" xfId="0" applyNumberFormat="1" applyFont="1" applyBorder="1" applyAlignment="1">
      <alignment horizontal="center"/>
    </xf>
    <xf numFmtId="168" fontId="4" fillId="0" borderId="20" xfId="0" applyNumberFormat="1" applyFont="1" applyBorder="1" applyAlignment="1">
      <alignment horizontal="center"/>
    </xf>
    <xf numFmtId="1" fontId="21" fillId="0" borderId="20" xfId="0" applyNumberFormat="1" applyFont="1" applyBorder="1" applyAlignment="1">
      <alignment horizontal="center"/>
    </xf>
    <xf numFmtId="167" fontId="4" fillId="0" borderId="20" xfId="0" applyNumberFormat="1" applyFont="1" applyBorder="1" applyAlignment="1">
      <alignment horizontal="center"/>
    </xf>
    <xf numFmtId="164" fontId="21" fillId="0" borderId="20" xfId="0" applyNumberFormat="1" applyFont="1" applyBorder="1" applyAlignment="1">
      <alignment horizontal="center"/>
    </xf>
    <xf numFmtId="166" fontId="21" fillId="0" borderId="20" xfId="0" applyNumberFormat="1" applyFont="1" applyBorder="1" applyAlignment="1">
      <alignment horizontal="center"/>
    </xf>
    <xf numFmtId="167" fontId="21" fillId="0" borderId="20" xfId="0" applyNumberFormat="1" applyFont="1" applyBorder="1" applyAlignment="1">
      <alignment horizontal="center"/>
    </xf>
    <xf numFmtId="168" fontId="21" fillId="0" borderId="20" xfId="0" applyNumberFormat="1" applyFont="1" applyBorder="1" applyAlignment="1">
      <alignment horizontal="center"/>
    </xf>
    <xf numFmtId="165" fontId="21" fillId="0" borderId="20" xfId="0" applyNumberFormat="1" applyFont="1" applyBorder="1" applyAlignment="1">
      <alignment horizontal="center"/>
    </xf>
    <xf numFmtId="167" fontId="4" fillId="0" borderId="21" xfId="0" applyNumberFormat="1" applyFont="1" applyBorder="1" applyAlignment="1">
      <alignment horizontal="center"/>
    </xf>
    <xf numFmtId="0" fontId="11" fillId="0" borderId="16" xfId="0" applyFont="1" applyBorder="1" applyAlignment="1">
      <alignment horizontal="center" vertical="top" wrapText="1"/>
    </xf>
  </cellXfs>
  <cellStyles count="3">
    <cellStyle name="Normal 2" xfId="1"/>
    <cellStyle name="Обычный" xfId="0" builtinId="0"/>
    <cellStyle name="Обычный 6" xfId="2"/>
  </cellStyles>
  <dxfs count="0"/>
  <tableStyles count="0" defaultTableStyle="TableStyleMedium2" defaultPivotStyle="PivotStyleLight16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86592</xdr:colOff>
      <xdr:row>54</xdr:row>
      <xdr:rowOff>112568</xdr:rowOff>
    </xdr:from>
    <xdr:to>
      <xdr:col>4</xdr:col>
      <xdr:colOff>545524</xdr:colOff>
      <xdr:row>62</xdr:row>
      <xdr:rowOff>149369</xdr:rowOff>
    </xdr:to>
    <xdr:sp macro="" textlink="">
      <xdr:nvSpPr>
        <xdr:cNvPr id="2" name="TextBox 1"/>
        <xdr:cNvSpPr txBox="1"/>
      </xdr:nvSpPr>
      <xdr:spPr>
        <a:xfrm>
          <a:off x="86592" y="9741477"/>
          <a:ext cx="4476750" cy="1491528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US" sz="1100" b="1" u="sng"/>
            <a:t>Footnotes</a:t>
          </a:r>
          <a:r>
            <a:rPr lang="en-US" sz="1100" b="1" u="sng" baseline="0"/>
            <a:t> to Table S2.</a:t>
          </a:r>
        </a:p>
        <a:p>
          <a:r>
            <a:rPr lang="en-US" sz="1100" baseline="0"/>
            <a:t> - Major elemets concentrations were determined by  EPMA (Geological Faculty, Lomonosov MSU) and TESCAN (GEOKHI RAS); </a:t>
          </a:r>
        </a:p>
        <a:p>
          <a:r>
            <a:rPr lang="en-US" sz="1100" baseline="0"/>
            <a:t> - for detailes of methodology see section Analytical methods in the Article;</a:t>
          </a:r>
        </a:p>
        <a:p>
          <a:r>
            <a:rPr lang="en-US" sz="1100" baseline="0"/>
            <a:t> - Empty cells - below detection limit.</a:t>
          </a:r>
        </a:p>
        <a:p>
          <a:r>
            <a:rPr lang="en-US" sz="1100" baseline="0"/>
            <a:t> - Average values and Standard Deviations were calculated for multiple analyses of the same grain; in other cases single analyses are presented.</a:t>
          </a:r>
          <a:endParaRPr lang="ru-RU" sz="1100" baseline="0"/>
        </a:p>
        <a:p>
          <a:r>
            <a:rPr lang="ru-RU" sz="1100" baseline="0"/>
            <a:t> - </a:t>
          </a:r>
          <a:r>
            <a:rPr lang="en-US" sz="1100" baseline="0"/>
            <a:t>Associations of minerals are demonstrated in Electronic supplementary-2, Figure S3.</a:t>
          </a:r>
          <a:endParaRPr lang="ru-RU" sz="1100"/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273844</xdr:colOff>
      <xdr:row>32</xdr:row>
      <xdr:rowOff>93086</xdr:rowOff>
    </xdr:from>
    <xdr:to>
      <xdr:col>4</xdr:col>
      <xdr:colOff>389658</xdr:colOff>
      <xdr:row>41</xdr:row>
      <xdr:rowOff>149679</xdr:rowOff>
    </xdr:to>
    <xdr:sp macro="" textlink="">
      <xdr:nvSpPr>
        <xdr:cNvPr id="2" name="TextBox 1"/>
        <xdr:cNvSpPr txBox="1"/>
      </xdr:nvSpPr>
      <xdr:spPr>
        <a:xfrm>
          <a:off x="273844" y="7053140"/>
          <a:ext cx="4993975" cy="170986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US" sz="1100" b="1" u="sng"/>
            <a:t>Footnotes</a:t>
          </a:r>
          <a:r>
            <a:rPr lang="en-US" sz="1100" b="1" u="sng" baseline="0"/>
            <a:t> to Table S3.</a:t>
          </a:r>
        </a:p>
        <a:p>
          <a:r>
            <a:rPr lang="en-US" sz="1100" baseline="0"/>
            <a:t> - Major elemets concentrations were determined by TESCAN (GEOKHI RAS );</a:t>
          </a:r>
        </a:p>
        <a:p>
          <a:r>
            <a:rPr lang="en-US" sz="1100" baseline="0"/>
            <a:t> - Trace elements were analysed by LA-ICP-MS (GEOKHI RAS);</a:t>
          </a:r>
        </a:p>
        <a:p>
          <a:r>
            <a:rPr lang="en-US" sz="1100" baseline="0"/>
            <a:t> - for detailes of methodology see section Analytical methods in the Article;</a:t>
          </a:r>
        </a:p>
        <a:p>
          <a:r>
            <a:rPr lang="en-US" sz="1100" baseline="0"/>
            <a:t> - Empty cells - below detection limit.</a:t>
          </a:r>
        </a:p>
        <a:p>
          <a:pPr marL="0" marR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n-US" sz="110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- Average values and Standard Deviations were calculated for multiple analyses of the same grain; in other cases single analyses are presented.</a:t>
          </a:r>
        </a:p>
        <a:p>
          <a:pPr marL="0" marR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ru-RU" sz="110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- </a:t>
          </a:r>
          <a:r>
            <a:rPr lang="en-US" sz="110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Associations of minerals are demonstrated in Electronic supplementary-2, Figure S3.</a:t>
          </a:r>
          <a:endParaRPr lang="ru-RU">
            <a:effectLst/>
          </a:endParaRPr>
        </a:p>
        <a:p>
          <a:pPr marL="0" marR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lang="ru-RU">
            <a:effectLst/>
          </a:endParaRPr>
        </a:p>
        <a:p>
          <a:endParaRPr lang="ru-RU" sz="1100"/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155863</xdr:colOff>
      <xdr:row>35</xdr:row>
      <xdr:rowOff>95250</xdr:rowOff>
    </xdr:from>
    <xdr:to>
      <xdr:col>4</xdr:col>
      <xdr:colOff>268432</xdr:colOff>
      <xdr:row>46</xdr:row>
      <xdr:rowOff>112568</xdr:rowOff>
    </xdr:to>
    <xdr:sp macro="" textlink="">
      <xdr:nvSpPr>
        <xdr:cNvPr id="2" name="TextBox 1"/>
        <xdr:cNvSpPr txBox="1"/>
      </xdr:nvSpPr>
      <xdr:spPr>
        <a:xfrm>
          <a:off x="155863" y="7091795"/>
          <a:ext cx="4857751" cy="2017569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US" sz="1100" b="1" u="sng"/>
            <a:t>Note</a:t>
          </a:r>
          <a:r>
            <a:rPr lang="en-US" sz="1100" b="1" u="sng" baseline="0"/>
            <a:t> to Table S4.</a:t>
          </a:r>
        </a:p>
        <a:p>
          <a:r>
            <a:rPr lang="en-US" sz="1100" baseline="0"/>
            <a:t> - Profiles were made by EPMA at Geological department of Lomonosov Moscow State University (for detailes see section Analytical methods in the Article).</a:t>
          </a:r>
        </a:p>
        <a:p>
          <a:r>
            <a:rPr lang="en-US" sz="1100" baseline="0"/>
            <a:t> - Foto of the grains with points of profile analyses  are provided at the </a:t>
          </a:r>
          <a:r>
            <a:rPr lang="en-US" sz="1100" b="1" i="1" u="sng" baseline="0"/>
            <a:t>Electronic supplementary-2</a:t>
          </a:r>
          <a:r>
            <a:rPr lang="ru-RU" sz="1100" b="1" i="1" u="sng" baseline="0"/>
            <a:t>, </a:t>
          </a:r>
          <a:r>
            <a:rPr lang="en-US" sz="1100" b="1" i="1" u="sng" baseline="0"/>
            <a:t>Fig. S5</a:t>
          </a:r>
          <a:r>
            <a:rPr lang="en-US" sz="1100" baseline="0"/>
            <a:t>.</a:t>
          </a:r>
        </a:p>
        <a:p>
          <a:r>
            <a:rPr lang="en-US" sz="1100" baseline="0"/>
            <a:t> - Empty cells - below detection limit.</a:t>
          </a:r>
          <a:endParaRPr lang="ru-RU" sz="1100"/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857252</xdr:colOff>
      <xdr:row>66</xdr:row>
      <xdr:rowOff>59532</xdr:rowOff>
    </xdr:from>
    <xdr:to>
      <xdr:col>3</xdr:col>
      <xdr:colOff>391886</xdr:colOff>
      <xdr:row>76</xdr:row>
      <xdr:rowOff>173181</xdr:rowOff>
    </xdr:to>
    <xdr:sp macro="" textlink="">
      <xdr:nvSpPr>
        <xdr:cNvPr id="2" name="TextBox 1"/>
        <xdr:cNvSpPr txBox="1"/>
      </xdr:nvSpPr>
      <xdr:spPr>
        <a:xfrm>
          <a:off x="857252" y="12935601"/>
          <a:ext cx="4470316" cy="1932058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US" sz="1100" b="1" u="sng"/>
            <a:t>Footnotes</a:t>
          </a:r>
          <a:r>
            <a:rPr lang="en-US" sz="1100" b="1" u="sng" baseline="0"/>
            <a:t> to Table S5.</a:t>
          </a:r>
        </a:p>
        <a:p>
          <a:r>
            <a:rPr lang="en-US" sz="110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- Major elemets concentrations were determined by  EPMA (Geological Faculty, Lomonosov MSU) and TESCAN (GEOKHI RAS); </a:t>
          </a:r>
          <a:endParaRPr lang="ru-RU">
            <a:effectLst/>
          </a:endParaRPr>
        </a:p>
        <a:p>
          <a:r>
            <a:rPr lang="en-US" sz="1100" baseline="0"/>
            <a:t> - for details of methodology see section Analytical methods in the Article;</a:t>
          </a:r>
        </a:p>
        <a:p>
          <a:r>
            <a:rPr lang="en-US" sz="1100" baseline="0"/>
            <a:t> - Empty cells - below detection limit.</a:t>
          </a:r>
        </a:p>
        <a:p>
          <a:pPr marL="0" marR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ru-RU" sz="110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- </a:t>
          </a:r>
          <a:r>
            <a:rPr lang="en-US" sz="110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Associations of minerals are demonstrated in Electronic supplementary-2, Figure S3.</a:t>
          </a:r>
          <a:endParaRPr lang="ru-RU">
            <a:effectLst/>
          </a:endParaRPr>
        </a:p>
        <a:p>
          <a:r>
            <a:rPr lang="en-US" sz="1100" baseline="0"/>
            <a:t>Ol - olivine, CPx - clinopyroxene.</a:t>
          </a:r>
        </a:p>
        <a:p>
          <a:r>
            <a:rPr lang="en-US" sz="1100" baseline="0"/>
            <a:t>(Cr, Ti) Spinel - spinel grains relatively enriched with Ti or Cr.</a:t>
          </a:r>
        </a:p>
        <a:p>
          <a:r>
            <a:rPr lang="en-US" sz="1100" baseline="0"/>
            <a:t>Ti-Mt - titanium magnetite. </a:t>
          </a:r>
          <a:endParaRPr lang="ru-RU" sz="1100"/>
        </a:p>
      </xdr:txBody>
    </xdr:sp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312964</xdr:colOff>
      <xdr:row>14</xdr:row>
      <xdr:rowOff>95250</xdr:rowOff>
    </xdr:from>
    <xdr:to>
      <xdr:col>4</xdr:col>
      <xdr:colOff>541347</xdr:colOff>
      <xdr:row>22</xdr:row>
      <xdr:rowOff>117206</xdr:rowOff>
    </xdr:to>
    <xdr:sp macro="" textlink="">
      <xdr:nvSpPr>
        <xdr:cNvPr id="2" name="TextBox 1"/>
        <xdr:cNvSpPr txBox="1"/>
      </xdr:nvSpPr>
      <xdr:spPr>
        <a:xfrm>
          <a:off x="312964" y="3326947"/>
          <a:ext cx="4990883" cy="1491528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US" sz="1100" b="1" u="sng"/>
            <a:t>Footnotes</a:t>
          </a:r>
          <a:r>
            <a:rPr lang="en-US" sz="1100" b="1" u="sng" baseline="0"/>
            <a:t> to Table S6.</a:t>
          </a:r>
        </a:p>
        <a:p>
          <a:r>
            <a:rPr lang="en-US" sz="1100" baseline="0"/>
            <a:t> - Major elemets concentrations were determined by TESCAN (GEOKHI RAS );</a:t>
          </a:r>
        </a:p>
        <a:p>
          <a:r>
            <a:rPr lang="en-US" sz="1100" baseline="0"/>
            <a:t> - for detailes of methodology see section Analytical methods in the Article;</a:t>
          </a:r>
        </a:p>
        <a:p>
          <a:r>
            <a:rPr lang="en-US" sz="1100" baseline="0"/>
            <a:t> - Empty cells - below detection limit.</a:t>
          </a:r>
          <a:endParaRPr lang="ru-RU" sz="1100" baseline="0"/>
        </a:p>
        <a:p>
          <a:r>
            <a:rPr lang="en-US" sz="1100" baseline="0"/>
            <a:t>Plag - plagioclase.</a:t>
          </a:r>
        </a:p>
        <a:p>
          <a:endParaRPr lang="en-US" sz="1100" baseline="0"/>
        </a:p>
        <a:p>
          <a:r>
            <a:rPr lang="en-US" sz="1100" baseline="0"/>
            <a:t> </a:t>
          </a:r>
        </a:p>
      </xdr:txBody>
    </xdr:sp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95248</xdr:colOff>
      <xdr:row>52</xdr:row>
      <xdr:rowOff>112569</xdr:rowOff>
    </xdr:from>
    <xdr:to>
      <xdr:col>7</xdr:col>
      <xdr:colOff>476249</xdr:colOff>
      <xdr:row>68</xdr:row>
      <xdr:rowOff>60613</xdr:rowOff>
    </xdr:to>
    <xdr:sp macro="" textlink="">
      <xdr:nvSpPr>
        <xdr:cNvPr id="2" name="TextBox 1"/>
        <xdr:cNvSpPr txBox="1"/>
      </xdr:nvSpPr>
      <xdr:spPr>
        <a:xfrm>
          <a:off x="95248" y="10685320"/>
          <a:ext cx="4805797" cy="2857498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US" sz="1100" b="1" u="sng"/>
            <a:t>Footnotes</a:t>
          </a:r>
          <a:r>
            <a:rPr lang="en-US" sz="1100" b="1" u="sng" baseline="0"/>
            <a:t> to Table S</a:t>
          </a:r>
          <a:r>
            <a:rPr lang="ru-RU" sz="1100" b="1" u="sng" baseline="0"/>
            <a:t>7</a:t>
          </a:r>
          <a:r>
            <a:rPr lang="en-US" sz="1100" b="1" u="sng" baseline="0"/>
            <a:t>.</a:t>
          </a:r>
        </a:p>
        <a:p>
          <a:r>
            <a:rPr lang="en-US" sz="110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- Major elemets concentrations were determined by  EPMA (Geological Faculty, Lomonosov MSU) and TESCAN (GEOKHI RAS); </a:t>
          </a:r>
          <a:endParaRPr lang="ru-RU">
            <a:effectLst/>
          </a:endParaRPr>
        </a:p>
        <a:p>
          <a:r>
            <a:rPr lang="en-US" sz="1100" baseline="0"/>
            <a:t> - for details of methodology see section Analytical methods in the Article;</a:t>
          </a:r>
        </a:p>
        <a:p>
          <a:r>
            <a:rPr lang="en-US" sz="1100" baseline="0"/>
            <a:t> - Empty cells - below detection limit</a:t>
          </a:r>
          <a:r>
            <a:rPr lang="ru-RU" sz="1100" baseline="0"/>
            <a:t> </a:t>
          </a:r>
          <a:r>
            <a:rPr lang="en-US" sz="1100" baseline="0"/>
            <a:t>or not analyzed.</a:t>
          </a:r>
        </a:p>
        <a:p>
          <a:pPr marL="0" marR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ru-RU" sz="110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- </a:t>
          </a:r>
          <a:r>
            <a:rPr lang="en-US" sz="110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Associations of minerals are demonstrated in Electronic supplementary-2, Figure S3.</a:t>
          </a:r>
          <a:endParaRPr lang="ru-RU" sz="1100" baseline="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pPr marL="0" marR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ru-RU" sz="110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- </a:t>
          </a:r>
          <a:r>
            <a:rPr lang="en-US" sz="110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Calculation models are presented in cells BV2 and further.</a:t>
          </a:r>
          <a:endParaRPr lang="ru-RU" sz="1100" baseline="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pPr marL="0" marR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lang="ru-RU" sz="1100" baseline="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pPr marL="0" marR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n-US" sz="110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Ol - olivine; </a:t>
          </a:r>
        </a:p>
        <a:p>
          <a:pPr marL="0" marR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n-US" sz="110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Fo -</a:t>
          </a:r>
          <a:r>
            <a:rPr lang="ru-RU" sz="110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</a:t>
          </a:r>
          <a:r>
            <a:rPr lang="en-US" sz="110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olivine magnesian number (mol.%)</a:t>
          </a:r>
          <a:endParaRPr lang="ru-RU">
            <a:effectLst/>
          </a:endParaRPr>
        </a:p>
        <a:p>
          <a:endParaRPr lang="ru-RU" sz="1100"/>
        </a:p>
      </xdr:txBody>
    </xdr:sp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E6"/>
  <sheetViews>
    <sheetView tabSelected="1" zoomScale="55" zoomScaleNormal="55" workbookViewId="0">
      <pane xSplit="3" ySplit="4" topLeftCell="D5" activePane="bottomRight" state="frozen"/>
      <selection pane="topRight" activeCell="D1" sqref="D1"/>
      <selection pane="bottomLeft" activeCell="A4" sqref="A4"/>
      <selection pane="bottomRight" activeCell="G25" sqref="G25"/>
    </sheetView>
  </sheetViews>
  <sheetFormatPr defaultRowHeight="14.25"/>
  <cols>
    <col min="1" max="1" width="9.46484375" customWidth="1"/>
    <col min="3" max="3" width="18.46484375" customWidth="1"/>
    <col min="4" max="4" width="14.1328125" customWidth="1"/>
    <col min="5" max="5" width="11.46484375" customWidth="1"/>
  </cols>
  <sheetData>
    <row r="1" spans="1:83" s="48" customFormat="1" ht="13.15">
      <c r="A1" s="49" t="s">
        <v>58</v>
      </c>
      <c r="B1" s="49"/>
      <c r="D1" s="49"/>
      <c r="E1" s="49"/>
    </row>
    <row r="2" spans="1:83" s="48" customFormat="1" ht="13.15">
      <c r="A2" s="49" t="s">
        <v>450</v>
      </c>
      <c r="B2" s="49"/>
      <c r="D2" s="49"/>
      <c r="E2" s="49"/>
    </row>
    <row r="3" spans="1:83" s="12" customFormat="1" ht="13.5" thickBot="1">
      <c r="V3" s="12" t="s">
        <v>333</v>
      </c>
      <c r="W3" s="12" t="s">
        <v>333</v>
      </c>
      <c r="X3" s="12" t="s">
        <v>333</v>
      </c>
      <c r="Y3" s="12" t="s">
        <v>333</v>
      </c>
      <c r="Z3" s="12" t="s">
        <v>333</v>
      </c>
      <c r="AA3" s="12" t="s">
        <v>333</v>
      </c>
      <c r="AB3" s="12" t="s">
        <v>333</v>
      </c>
      <c r="AC3" s="12" t="s">
        <v>333</v>
      </c>
      <c r="AD3" s="12" t="s">
        <v>333</v>
      </c>
      <c r="AE3" s="12" t="s">
        <v>333</v>
      </c>
      <c r="AF3" s="12" t="s">
        <v>333</v>
      </c>
      <c r="AG3" s="12" t="s">
        <v>333</v>
      </c>
      <c r="AH3" s="12" t="s">
        <v>333</v>
      </c>
      <c r="AI3" s="12" t="s">
        <v>333</v>
      </c>
      <c r="AJ3" s="12" t="s">
        <v>333</v>
      </c>
      <c r="AK3" s="12" t="s">
        <v>333</v>
      </c>
      <c r="AL3" s="12" t="s">
        <v>333</v>
      </c>
      <c r="AM3" s="12" t="s">
        <v>333</v>
      </c>
      <c r="AN3" s="12" t="s">
        <v>333</v>
      </c>
      <c r="AO3" s="12" t="s">
        <v>333</v>
      </c>
      <c r="AP3" s="12" t="s">
        <v>333</v>
      </c>
      <c r="AQ3" s="12" t="s">
        <v>333</v>
      </c>
      <c r="AR3" s="12" t="s">
        <v>333</v>
      </c>
      <c r="AS3" s="12" t="s">
        <v>333</v>
      </c>
      <c r="AT3" s="12" t="s">
        <v>333</v>
      </c>
      <c r="AU3" s="12" t="s">
        <v>333</v>
      </c>
      <c r="AV3" s="12" t="s">
        <v>333</v>
      </c>
      <c r="AW3" s="12" t="s">
        <v>333</v>
      </c>
      <c r="AX3" s="12" t="s">
        <v>333</v>
      </c>
      <c r="AY3" s="12" t="s">
        <v>333</v>
      </c>
      <c r="AZ3" s="12" t="s">
        <v>333</v>
      </c>
      <c r="BA3" s="12" t="s">
        <v>333</v>
      </c>
      <c r="BB3" s="12" t="s">
        <v>333</v>
      </c>
      <c r="BC3" s="12" t="s">
        <v>333</v>
      </c>
      <c r="BD3" s="12" t="s">
        <v>333</v>
      </c>
      <c r="BE3" s="12" t="s">
        <v>333</v>
      </c>
      <c r="BF3" s="12" t="s">
        <v>333</v>
      </c>
      <c r="BG3" s="12" t="s">
        <v>333</v>
      </c>
    </row>
    <row r="4" spans="1:83" s="12" customFormat="1" ht="40.15" thickTop="1" thickBot="1">
      <c r="A4" s="105" t="s">
        <v>17</v>
      </c>
      <c r="B4" s="105" t="s">
        <v>0</v>
      </c>
      <c r="C4" s="105" t="s">
        <v>60</v>
      </c>
      <c r="D4" s="105" t="s">
        <v>2</v>
      </c>
      <c r="E4" s="105" t="s">
        <v>3</v>
      </c>
      <c r="F4" s="105" t="s">
        <v>64</v>
      </c>
      <c r="G4" s="105" t="s">
        <v>4</v>
      </c>
      <c r="H4" s="105" t="s">
        <v>5</v>
      </c>
      <c r="I4" s="105" t="s">
        <v>6</v>
      </c>
      <c r="J4" s="105" t="s">
        <v>7</v>
      </c>
      <c r="K4" s="105" t="s">
        <v>8</v>
      </c>
      <c r="L4" s="105" t="s">
        <v>9</v>
      </c>
      <c r="M4" s="105" t="s">
        <v>10</v>
      </c>
      <c r="N4" s="105" t="s">
        <v>11</v>
      </c>
      <c r="O4" s="105" t="s">
        <v>12</v>
      </c>
      <c r="P4" s="105" t="s">
        <v>13</v>
      </c>
      <c r="Q4" s="105" t="s">
        <v>14</v>
      </c>
      <c r="R4" s="105" t="s">
        <v>15</v>
      </c>
      <c r="S4" s="105" t="s">
        <v>16</v>
      </c>
      <c r="T4" s="105"/>
      <c r="U4" s="105" t="s">
        <v>65</v>
      </c>
      <c r="V4" s="13" t="s">
        <v>18</v>
      </c>
      <c r="W4" s="13" t="s">
        <v>19</v>
      </c>
      <c r="X4" s="13" t="s">
        <v>20</v>
      </c>
      <c r="Y4" s="13" t="s">
        <v>21</v>
      </c>
      <c r="Z4" s="13" t="s">
        <v>22</v>
      </c>
      <c r="AA4" s="13" t="s">
        <v>23</v>
      </c>
      <c r="AB4" s="13" t="s">
        <v>24</v>
      </c>
      <c r="AC4" s="13" t="s">
        <v>25</v>
      </c>
      <c r="AD4" s="13" t="s">
        <v>26</v>
      </c>
      <c r="AE4" s="13" t="s">
        <v>27</v>
      </c>
      <c r="AF4" s="13" t="s">
        <v>28</v>
      </c>
      <c r="AG4" s="13" t="s">
        <v>29</v>
      </c>
      <c r="AH4" s="13" t="s">
        <v>30</v>
      </c>
      <c r="AI4" s="13" t="s">
        <v>31</v>
      </c>
      <c r="AJ4" s="13" t="s">
        <v>32</v>
      </c>
      <c r="AK4" s="13" t="s">
        <v>33</v>
      </c>
      <c r="AL4" s="13" t="s">
        <v>34</v>
      </c>
      <c r="AM4" s="13" t="s">
        <v>35</v>
      </c>
      <c r="AN4" s="13" t="s">
        <v>36</v>
      </c>
      <c r="AO4" s="13" t="s">
        <v>37</v>
      </c>
      <c r="AP4" s="13" t="s">
        <v>38</v>
      </c>
      <c r="AQ4" s="13" t="s">
        <v>39</v>
      </c>
      <c r="AR4" s="13" t="s">
        <v>40</v>
      </c>
      <c r="AS4" s="13" t="s">
        <v>41</v>
      </c>
      <c r="AT4" s="13" t="s">
        <v>42</v>
      </c>
      <c r="AU4" s="13" t="s">
        <v>43</v>
      </c>
      <c r="AV4" s="13" t="s">
        <v>44</v>
      </c>
      <c r="AW4" s="13" t="s">
        <v>45</v>
      </c>
      <c r="AX4" s="13" t="s">
        <v>46</v>
      </c>
      <c r="AY4" s="13" t="s">
        <v>48</v>
      </c>
      <c r="AZ4" s="13" t="s">
        <v>49</v>
      </c>
      <c r="BA4" s="13" t="s">
        <v>50</v>
      </c>
      <c r="BB4" s="13" t="s">
        <v>51</v>
      </c>
      <c r="BC4" s="105" t="s">
        <v>52</v>
      </c>
      <c r="BD4" s="13" t="s">
        <v>53</v>
      </c>
      <c r="BE4" s="13" t="s">
        <v>54</v>
      </c>
      <c r="BF4" s="13" t="s">
        <v>55</v>
      </c>
      <c r="BG4" s="13" t="s">
        <v>56</v>
      </c>
      <c r="BH4" s="105"/>
      <c r="BI4" s="105" t="s">
        <v>66</v>
      </c>
      <c r="BJ4" s="313" t="s">
        <v>479</v>
      </c>
      <c r="BK4" s="328" t="s">
        <v>480</v>
      </c>
      <c r="BL4" s="314" t="s">
        <v>467</v>
      </c>
      <c r="BM4" s="314" t="s">
        <v>468</v>
      </c>
      <c r="BN4" s="314" t="s">
        <v>469</v>
      </c>
      <c r="BO4" s="314" t="s">
        <v>470</v>
      </c>
      <c r="BP4" s="314" t="s">
        <v>471</v>
      </c>
      <c r="BQ4" s="314" t="s">
        <v>470</v>
      </c>
      <c r="BR4" s="314" t="s">
        <v>472</v>
      </c>
      <c r="BS4" s="314" t="s">
        <v>473</v>
      </c>
      <c r="BT4" s="314" t="s">
        <v>474</v>
      </c>
      <c r="BU4" s="314" t="s">
        <v>475</v>
      </c>
      <c r="BV4" s="314" t="s">
        <v>470</v>
      </c>
      <c r="BW4" s="314" t="s">
        <v>476</v>
      </c>
      <c r="BX4" s="314" t="s">
        <v>470</v>
      </c>
      <c r="BY4" s="315" t="s">
        <v>472</v>
      </c>
      <c r="BZ4" s="316" t="s">
        <v>477</v>
      </c>
      <c r="CA4" s="314" t="s">
        <v>472</v>
      </c>
      <c r="CB4" s="316" t="s">
        <v>451</v>
      </c>
      <c r="CC4" s="314" t="s">
        <v>472</v>
      </c>
      <c r="CD4" s="316" t="s">
        <v>452</v>
      </c>
      <c r="CE4" s="315" t="s">
        <v>472</v>
      </c>
    </row>
    <row r="5" spans="1:83" s="17" customFormat="1" ht="13.9" thickTop="1" thickBot="1">
      <c r="A5" s="13" t="s">
        <v>59</v>
      </c>
      <c r="B5" s="13" t="s">
        <v>57</v>
      </c>
      <c r="C5" s="13" t="s">
        <v>61</v>
      </c>
      <c r="D5" s="14" t="s">
        <v>62</v>
      </c>
      <c r="E5" s="14" t="s">
        <v>63</v>
      </c>
      <c r="F5" s="13" t="s">
        <v>448</v>
      </c>
      <c r="G5" s="15">
        <v>42.04</v>
      </c>
      <c r="H5" s="15">
        <v>3.34</v>
      </c>
      <c r="I5" s="15">
        <v>11.81</v>
      </c>
      <c r="J5" s="15">
        <v>14.44</v>
      </c>
      <c r="K5" s="15">
        <v>12.993260065002159</v>
      </c>
      <c r="L5" s="16">
        <v>0.19600000000000001</v>
      </c>
      <c r="M5" s="15">
        <v>10.68</v>
      </c>
      <c r="N5" s="15">
        <v>12.07</v>
      </c>
      <c r="O5" s="15">
        <v>2.97</v>
      </c>
      <c r="P5" s="15">
        <v>1.29</v>
      </c>
      <c r="Q5" s="15">
        <v>0.67</v>
      </c>
      <c r="R5" s="15">
        <v>0.3</v>
      </c>
      <c r="S5" s="15">
        <f>SUM(G5:I5,K5:R5)</f>
        <v>98.359260065002147</v>
      </c>
      <c r="T5" s="15"/>
      <c r="U5" s="13" t="s">
        <v>449</v>
      </c>
      <c r="V5" s="14">
        <v>426.63231705579301</v>
      </c>
      <c r="W5" s="14"/>
      <c r="X5" s="14">
        <v>110.22395135131976</v>
      </c>
      <c r="Y5" s="15">
        <v>47.682957734398265</v>
      </c>
      <c r="Z5" s="15">
        <v>360.76040863574997</v>
      </c>
      <c r="AA5" s="15">
        <v>0.56334734509554574</v>
      </c>
      <c r="AB5" s="15">
        <v>83.726703403737716</v>
      </c>
      <c r="AC5" s="15">
        <v>6.1340655636286767</v>
      </c>
      <c r="AD5" s="15">
        <v>2.45959503360349</v>
      </c>
      <c r="AE5" s="15">
        <v>3.1455291815508328</v>
      </c>
      <c r="AF5" s="15">
        <v>9.8641113263271922</v>
      </c>
      <c r="AG5" s="15">
        <v>8.4191971905174796</v>
      </c>
      <c r="AH5" s="15">
        <v>0.96860104837685057</v>
      </c>
      <c r="AI5" s="15">
        <v>51.319504095790805</v>
      </c>
      <c r="AJ5" s="15">
        <v>5.6345523984066492</v>
      </c>
      <c r="AK5" s="15">
        <v>0.21800773510648441</v>
      </c>
      <c r="AL5" s="15">
        <v>2.2333061166799619</v>
      </c>
      <c r="AM5" s="15">
        <v>61.45585400327009</v>
      </c>
      <c r="AN5" s="15">
        <v>52.700673994864516</v>
      </c>
      <c r="AO5" s="231">
        <v>164.15595857160162</v>
      </c>
      <c r="AP5" s="15">
        <v>3.5997388042261864</v>
      </c>
      <c r="AQ5" s="15">
        <v>13.40552016020542</v>
      </c>
      <c r="AR5" s="15">
        <v>32.819452245797294</v>
      </c>
      <c r="AS5" s="15">
        <v>22.72161498311138</v>
      </c>
      <c r="AT5" s="15">
        <v>10.092729929088481</v>
      </c>
      <c r="AU5" s="15">
        <v>740.73574704419934</v>
      </c>
      <c r="AV5" s="15">
        <v>5.406906568617682</v>
      </c>
      <c r="AW5" s="15">
        <v>1.2815365691753815</v>
      </c>
      <c r="AX5" s="15">
        <v>6.8836163721580359</v>
      </c>
      <c r="AY5" s="15">
        <v>3.2847389714265728E-2</v>
      </c>
      <c r="AZ5" s="15">
        <v>0.27323320205252349</v>
      </c>
      <c r="BA5" s="15">
        <v>1.7179466338400253</v>
      </c>
      <c r="BB5" s="15">
        <v>243.67759853657191</v>
      </c>
      <c r="BC5" s="15">
        <v>0.80115678030560833</v>
      </c>
      <c r="BD5" s="15">
        <v>27.442498159815834</v>
      </c>
      <c r="BE5" s="15">
        <v>1.6727887333321736</v>
      </c>
      <c r="BF5" s="231">
        <v>136.12491098504245</v>
      </c>
      <c r="BG5" s="231">
        <v>326.5464803037342</v>
      </c>
      <c r="BH5" s="14"/>
      <c r="BI5" s="15"/>
      <c r="BJ5" s="317" t="s">
        <v>478</v>
      </c>
      <c r="BK5" s="318">
        <v>0.10600999999999999</v>
      </c>
      <c r="BL5" s="319">
        <v>35.600533779221408</v>
      </c>
      <c r="BM5" s="320">
        <v>781.04006120915142</v>
      </c>
      <c r="BN5" s="321">
        <v>0.1318398287801591</v>
      </c>
      <c r="BO5" s="322">
        <v>0.14826982615557632</v>
      </c>
      <c r="BP5" s="323">
        <v>0.70400023</v>
      </c>
      <c r="BQ5" s="324">
        <v>6.3699999999999998E-4</v>
      </c>
      <c r="BR5" s="323">
        <v>4.4844814650999999E-6</v>
      </c>
      <c r="BS5" s="325">
        <v>11.219939846385786</v>
      </c>
      <c r="BT5" s="325">
        <v>58.272828224942565</v>
      </c>
      <c r="BU5" s="326">
        <v>0.11637965481267053</v>
      </c>
      <c r="BV5" s="322">
        <v>0.78828841279138384</v>
      </c>
      <c r="BW5" s="323">
        <v>0.51285144999999999</v>
      </c>
      <c r="BX5" s="324">
        <v>8.4099999999999995E-4</v>
      </c>
      <c r="BY5" s="323">
        <v>4.3130806945000001E-6</v>
      </c>
      <c r="BZ5" s="321">
        <v>18.847416477005822</v>
      </c>
      <c r="CA5" s="321">
        <v>3.0000000000000001E-3</v>
      </c>
      <c r="CB5" s="321">
        <v>15.620119686220146</v>
      </c>
      <c r="CC5" s="321">
        <v>2.3999999999999998E-3</v>
      </c>
      <c r="CD5" s="321">
        <v>39.079338228366517</v>
      </c>
      <c r="CE5" s="327">
        <v>5.4999999999999997E-3</v>
      </c>
    </row>
    <row r="6" spans="1:83" ht="14.65" thickTop="1"/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C55"/>
  <sheetViews>
    <sheetView zoomScale="40" zoomScaleNormal="40" workbookViewId="0">
      <pane xSplit="5" ySplit="4" topLeftCell="F5" activePane="bottomRight" state="frozen"/>
      <selection pane="topRight" activeCell="E1" sqref="E1"/>
      <selection pane="bottomLeft" activeCell="A5" sqref="A5"/>
      <selection pane="bottomRight" activeCell="P92" sqref="P92"/>
    </sheetView>
  </sheetViews>
  <sheetFormatPr defaultRowHeight="14.25"/>
  <cols>
    <col min="1" max="1" width="11.6640625" style="19" customWidth="1"/>
    <col min="2" max="2" width="35.53125" customWidth="1"/>
  </cols>
  <sheetData>
    <row r="1" spans="1:29" s="10" customFormat="1">
      <c r="A1" s="11" t="s">
        <v>153</v>
      </c>
    </row>
    <row r="2" spans="1:29" s="1" customFormat="1">
      <c r="A2" s="44"/>
      <c r="O2" s="45"/>
      <c r="P2" s="45"/>
      <c r="R2" s="46"/>
      <c r="S2" s="46"/>
      <c r="T2" s="46"/>
      <c r="U2" s="46"/>
      <c r="V2" s="46"/>
      <c r="W2" s="46"/>
      <c r="X2" s="46"/>
      <c r="Y2" s="46"/>
      <c r="Z2" s="46"/>
      <c r="AA2" s="46"/>
      <c r="AB2" s="46"/>
      <c r="AC2" s="47"/>
    </row>
    <row r="3" spans="1:29" s="48" customFormat="1" ht="13.15">
      <c r="A3" s="17"/>
      <c r="F3" s="49" t="s">
        <v>157</v>
      </c>
      <c r="G3" s="49" t="s">
        <v>157</v>
      </c>
      <c r="H3" s="49" t="s">
        <v>157</v>
      </c>
      <c r="I3" s="49" t="s">
        <v>157</v>
      </c>
      <c r="J3" s="49" t="s">
        <v>157</v>
      </c>
      <c r="K3" s="49" t="s">
        <v>157</v>
      </c>
      <c r="L3" s="49" t="s">
        <v>157</v>
      </c>
      <c r="M3" s="49" t="s">
        <v>157</v>
      </c>
      <c r="N3" s="49" t="s">
        <v>157</v>
      </c>
      <c r="O3" s="50"/>
      <c r="P3" s="22"/>
      <c r="R3" s="55" t="s">
        <v>67</v>
      </c>
      <c r="S3" s="55" t="s">
        <v>67</v>
      </c>
      <c r="T3" s="55" t="s">
        <v>67</v>
      </c>
      <c r="U3" s="55" t="s">
        <v>67</v>
      </c>
      <c r="V3" s="55" t="s">
        <v>67</v>
      </c>
      <c r="W3" s="55" t="s">
        <v>67</v>
      </c>
      <c r="X3" s="55" t="s">
        <v>67</v>
      </c>
      <c r="Y3" s="55" t="s">
        <v>67</v>
      </c>
      <c r="Z3" s="55" t="s">
        <v>67</v>
      </c>
      <c r="AA3" s="55" t="s">
        <v>67</v>
      </c>
      <c r="AB3" s="55" t="s">
        <v>67</v>
      </c>
    </row>
    <row r="4" spans="1:29" s="20" customFormat="1" ht="64.25" customHeight="1">
      <c r="A4" s="34" t="s">
        <v>154</v>
      </c>
      <c r="B4" s="35" t="s">
        <v>155</v>
      </c>
      <c r="C4" s="34" t="s">
        <v>70</v>
      </c>
      <c r="D4" s="34" t="s">
        <v>461</v>
      </c>
      <c r="E4" s="35" t="s">
        <v>156</v>
      </c>
      <c r="F4" s="35" t="s">
        <v>72</v>
      </c>
      <c r="G4" s="35" t="s">
        <v>73</v>
      </c>
      <c r="H4" s="35" t="s">
        <v>74</v>
      </c>
      <c r="I4" s="35" t="s">
        <v>75</v>
      </c>
      <c r="J4" s="35" t="s">
        <v>76</v>
      </c>
      <c r="K4" s="35" t="s">
        <v>77</v>
      </c>
      <c r="L4" s="35" t="s">
        <v>78</v>
      </c>
      <c r="M4" s="35" t="s">
        <v>79</v>
      </c>
      <c r="N4" s="35" t="s">
        <v>80</v>
      </c>
      <c r="O4" s="36" t="s">
        <v>81</v>
      </c>
      <c r="P4" s="36" t="s">
        <v>69</v>
      </c>
      <c r="R4" s="23" t="s">
        <v>82</v>
      </c>
      <c r="S4" s="23" t="s">
        <v>83</v>
      </c>
      <c r="T4" s="23" t="s">
        <v>84</v>
      </c>
      <c r="U4" s="23" t="s">
        <v>85</v>
      </c>
      <c r="V4" s="23" t="s">
        <v>86</v>
      </c>
      <c r="W4" s="23" t="s">
        <v>87</v>
      </c>
      <c r="X4" s="23" t="s">
        <v>88</v>
      </c>
      <c r="Y4" s="23" t="s">
        <v>89</v>
      </c>
      <c r="Z4" s="23" t="s">
        <v>91</v>
      </c>
      <c r="AA4" s="23" t="s">
        <v>92</v>
      </c>
      <c r="AB4" s="23" t="s">
        <v>93</v>
      </c>
    </row>
    <row r="5" spans="1:29" s="24" customFormat="1" ht="13.15">
      <c r="A5" s="13" t="s">
        <v>96</v>
      </c>
      <c r="B5" s="37" t="s">
        <v>95</v>
      </c>
      <c r="C5" s="37" t="s">
        <v>68</v>
      </c>
      <c r="D5" s="38">
        <v>1</v>
      </c>
      <c r="E5" s="38">
        <v>1</v>
      </c>
      <c r="F5" s="39">
        <v>38.47</v>
      </c>
      <c r="G5" s="39">
        <v>1.46E-2</v>
      </c>
      <c r="H5" s="39"/>
      <c r="I5" s="39">
        <v>20.07</v>
      </c>
      <c r="J5" s="39">
        <v>0.39319999999999999</v>
      </c>
      <c r="K5" s="39">
        <v>39.71</v>
      </c>
      <c r="L5" s="39">
        <v>0.27239999999999998</v>
      </c>
      <c r="M5" s="39">
        <v>8.6499999999999994E-2</v>
      </c>
      <c r="N5" s="39">
        <v>2E-3</v>
      </c>
      <c r="O5" s="39">
        <f t="shared" ref="O5:O52" si="0">SUM(F5:N5)</f>
        <v>99.01870000000001</v>
      </c>
      <c r="P5" s="40">
        <f t="shared" ref="P5:P45" si="1">100*(K5/40.3/(K5/40.3+I5/71.85))</f>
        <v>77.91304141238173</v>
      </c>
      <c r="R5" s="32"/>
      <c r="S5" s="32"/>
      <c r="T5" s="32"/>
      <c r="U5" s="32"/>
      <c r="V5" s="32"/>
      <c r="W5" s="32"/>
      <c r="X5" s="32"/>
      <c r="Y5" s="32"/>
      <c r="Z5" s="32"/>
      <c r="AA5" s="32"/>
      <c r="AB5" s="32"/>
    </row>
    <row r="6" spans="1:29" s="24" customFormat="1" ht="13.15">
      <c r="A6" s="13" t="s">
        <v>98</v>
      </c>
      <c r="B6" s="37" t="s">
        <v>95</v>
      </c>
      <c r="C6" s="37" t="s">
        <v>68</v>
      </c>
      <c r="D6" s="38">
        <v>1</v>
      </c>
      <c r="E6" s="38">
        <v>1</v>
      </c>
      <c r="F6" s="39">
        <v>38.31</v>
      </c>
      <c r="G6" s="39">
        <v>1.77E-2</v>
      </c>
      <c r="H6" s="39">
        <v>3.9E-2</v>
      </c>
      <c r="I6" s="39">
        <v>20.12</v>
      </c>
      <c r="J6" s="39">
        <v>0.39300000000000002</v>
      </c>
      <c r="K6" s="39">
        <v>39.71</v>
      </c>
      <c r="L6" s="39">
        <v>0.25519999999999998</v>
      </c>
      <c r="M6" s="39">
        <v>8.6400000000000005E-2</v>
      </c>
      <c r="N6" s="39">
        <v>2.2000000000000001E-3</v>
      </c>
      <c r="O6" s="39">
        <f t="shared" si="0"/>
        <v>98.933499999999995</v>
      </c>
      <c r="P6" s="40">
        <f t="shared" si="1"/>
        <v>77.870193486653037</v>
      </c>
      <c r="R6" s="32"/>
      <c r="S6" s="32"/>
      <c r="T6" s="32"/>
      <c r="U6" s="32"/>
      <c r="V6" s="32"/>
      <c r="W6" s="32"/>
      <c r="X6" s="32"/>
      <c r="Y6" s="32"/>
      <c r="Z6" s="32"/>
      <c r="AA6" s="32"/>
      <c r="AB6" s="32"/>
    </row>
    <row r="7" spans="1:29" s="24" customFormat="1" ht="13.15">
      <c r="A7" s="13" t="s">
        <v>99</v>
      </c>
      <c r="B7" s="37" t="s">
        <v>95</v>
      </c>
      <c r="C7" s="37" t="s">
        <v>68</v>
      </c>
      <c r="D7" s="38">
        <v>2</v>
      </c>
      <c r="E7" s="38">
        <v>1</v>
      </c>
      <c r="F7" s="39">
        <v>38.4</v>
      </c>
      <c r="G7" s="39">
        <v>1.9E-2</v>
      </c>
      <c r="H7" s="39">
        <v>3.5299999999999998E-2</v>
      </c>
      <c r="I7" s="39">
        <v>19.95</v>
      </c>
      <c r="J7" s="39">
        <v>0.41560000000000002</v>
      </c>
      <c r="K7" s="39">
        <v>39.94</v>
      </c>
      <c r="L7" s="39">
        <v>0.28839999999999999</v>
      </c>
      <c r="M7" s="39">
        <v>8.0799999999999997E-2</v>
      </c>
      <c r="N7" s="39">
        <v>5.1999999999999998E-3</v>
      </c>
      <c r="O7" s="39">
        <f t="shared" si="0"/>
        <v>99.134299999999982</v>
      </c>
      <c r="P7" s="40">
        <f t="shared" si="1"/>
        <v>78.114960663357706</v>
      </c>
      <c r="R7" s="32"/>
      <c r="S7" s="32"/>
      <c r="T7" s="32"/>
      <c r="U7" s="32"/>
      <c r="V7" s="32"/>
      <c r="W7" s="32"/>
      <c r="X7" s="32"/>
      <c r="Y7" s="32"/>
      <c r="Z7" s="32"/>
      <c r="AA7" s="32"/>
      <c r="AB7" s="32"/>
    </row>
    <row r="8" spans="1:29" s="24" customFormat="1" ht="13.15">
      <c r="A8" s="13" t="s">
        <v>100</v>
      </c>
      <c r="B8" s="37" t="s">
        <v>95</v>
      </c>
      <c r="C8" s="37" t="s">
        <v>68</v>
      </c>
      <c r="D8" s="38">
        <v>3</v>
      </c>
      <c r="E8" s="38">
        <v>1</v>
      </c>
      <c r="F8" s="39">
        <v>38.880000000000003</v>
      </c>
      <c r="G8" s="39">
        <v>1.7999999999999999E-2</v>
      </c>
      <c r="H8" s="39">
        <v>3.7600000000000001E-2</v>
      </c>
      <c r="I8" s="39">
        <v>16.98</v>
      </c>
      <c r="J8" s="39">
        <v>0.25569999999999998</v>
      </c>
      <c r="K8" s="39">
        <v>42.28</v>
      </c>
      <c r="L8" s="39">
        <v>0.36180000000000001</v>
      </c>
      <c r="M8" s="39">
        <v>0.1646</v>
      </c>
      <c r="N8" s="39">
        <v>1.2800000000000001E-2</v>
      </c>
      <c r="O8" s="39">
        <f t="shared" si="0"/>
        <v>98.990499999999997</v>
      </c>
      <c r="P8" s="40">
        <f t="shared" si="1"/>
        <v>81.615437686990603</v>
      </c>
      <c r="R8" s="32"/>
      <c r="S8" s="32"/>
      <c r="T8" s="32"/>
      <c r="U8" s="32"/>
      <c r="V8" s="32"/>
      <c r="W8" s="32"/>
      <c r="X8" s="32"/>
      <c r="Y8" s="32"/>
      <c r="Z8" s="32"/>
      <c r="AA8" s="32"/>
      <c r="AB8" s="32"/>
    </row>
    <row r="9" spans="1:29" s="24" customFormat="1" ht="13.15">
      <c r="A9" s="13" t="s">
        <v>102</v>
      </c>
      <c r="B9" s="37" t="s">
        <v>101</v>
      </c>
      <c r="C9" s="37" t="s">
        <v>68</v>
      </c>
      <c r="D9" s="38" t="s">
        <v>294</v>
      </c>
      <c r="E9" s="38">
        <v>2</v>
      </c>
      <c r="F9" s="39">
        <v>39.364999999999995</v>
      </c>
      <c r="G9" s="39">
        <v>1.6E-2</v>
      </c>
      <c r="H9" s="39">
        <v>3.4200000000000001E-2</v>
      </c>
      <c r="I9" s="39">
        <v>16.405000000000001</v>
      </c>
      <c r="J9" s="39">
        <v>0.26249999999999996</v>
      </c>
      <c r="K9" s="39">
        <v>43.085000000000001</v>
      </c>
      <c r="L9" s="39">
        <v>0.36495</v>
      </c>
      <c r="M9" s="39">
        <v>0.16505</v>
      </c>
      <c r="N9" s="39">
        <v>2.1749999999999999E-2</v>
      </c>
      <c r="O9" s="39">
        <f t="shared" si="0"/>
        <v>99.719449999999981</v>
      </c>
      <c r="P9" s="40">
        <f t="shared" si="1"/>
        <v>82.401904823380931</v>
      </c>
      <c r="R9" s="156">
        <v>7.0710678118640685E-3</v>
      </c>
      <c r="S9" s="156">
        <v>3.6769552621700456E-3</v>
      </c>
      <c r="T9" s="156">
        <v>1.0889444430272835E-2</v>
      </c>
      <c r="U9" s="156">
        <v>3.5355339059327882E-2</v>
      </c>
      <c r="V9" s="156">
        <v>1.4707821048680177E-2</v>
      </c>
      <c r="W9" s="156">
        <v>7.0710678118690922E-3</v>
      </c>
      <c r="X9" s="156">
        <v>2.0011121907579289E-2</v>
      </c>
      <c r="Y9" s="156">
        <v>1.2232947314527259E-2</v>
      </c>
      <c r="Z9" s="156">
        <v>2.8991378028648471E-3</v>
      </c>
      <c r="AA9" s="156">
        <v>4.7729707730088743E-2</v>
      </c>
      <c r="AB9" s="156">
        <v>3.3647369800123228E-2</v>
      </c>
    </row>
    <row r="10" spans="1:29" s="24" customFormat="1" ht="13.15">
      <c r="A10" s="13" t="s">
        <v>103</v>
      </c>
      <c r="B10" s="37" t="s">
        <v>101</v>
      </c>
      <c r="C10" s="37" t="s">
        <v>68</v>
      </c>
      <c r="D10" s="38" t="s">
        <v>294</v>
      </c>
      <c r="E10" s="38">
        <v>2</v>
      </c>
      <c r="F10" s="39">
        <v>39.254999999999995</v>
      </c>
      <c r="G10" s="39">
        <v>1.49E-2</v>
      </c>
      <c r="H10" s="39">
        <v>3.1149999999999997E-2</v>
      </c>
      <c r="I10" s="39">
        <v>16.420000000000002</v>
      </c>
      <c r="J10" s="39">
        <v>0.25595000000000001</v>
      </c>
      <c r="K10" s="39">
        <v>43.965000000000003</v>
      </c>
      <c r="L10" s="39">
        <v>0.34944999999999998</v>
      </c>
      <c r="M10" s="39">
        <v>0.18080000000000002</v>
      </c>
      <c r="N10" s="39">
        <v>1.1599999999999999E-2</v>
      </c>
      <c r="O10" s="39">
        <f t="shared" si="0"/>
        <v>100.48385</v>
      </c>
      <c r="P10" s="40">
        <f t="shared" si="1"/>
        <v>82.68010125343163</v>
      </c>
      <c r="R10" s="156">
        <v>0.34648232278140967</v>
      </c>
      <c r="S10" s="156">
        <v>9.899494936611655E-4</v>
      </c>
      <c r="T10" s="156">
        <v>1.767766952966368E-3</v>
      </c>
      <c r="U10" s="156">
        <v>8.4852813742386402E-2</v>
      </c>
      <c r="V10" s="156">
        <v>1.7677669529663704E-3</v>
      </c>
      <c r="W10" s="156">
        <v>0.8131727983645286</v>
      </c>
      <c r="X10" s="156">
        <v>1.4849242404917434E-3</v>
      </c>
      <c r="Y10" s="156">
        <v>2.6870057685088791E-3</v>
      </c>
      <c r="Z10" s="156">
        <v>7.0710678118654697E-4</v>
      </c>
      <c r="AA10" s="156">
        <v>0.37738288911926771</v>
      </c>
      <c r="AB10" s="156">
        <v>0.3390541388395466</v>
      </c>
    </row>
    <row r="11" spans="1:29" s="24" customFormat="1" ht="13.15">
      <c r="A11" s="13" t="s">
        <v>104</v>
      </c>
      <c r="B11" s="37" t="s">
        <v>101</v>
      </c>
      <c r="C11" s="37" t="s">
        <v>68</v>
      </c>
      <c r="D11" s="38" t="s">
        <v>294</v>
      </c>
      <c r="E11" s="38">
        <v>2</v>
      </c>
      <c r="F11" s="39">
        <v>38.79</v>
      </c>
      <c r="G11" s="39">
        <v>1.555E-2</v>
      </c>
      <c r="H11" s="39"/>
      <c r="I11" s="39">
        <v>17.420000000000002</v>
      </c>
      <c r="J11" s="39">
        <v>0.26334999999999997</v>
      </c>
      <c r="K11" s="39">
        <v>41.924999999999997</v>
      </c>
      <c r="L11" s="39">
        <v>0.33594999999999997</v>
      </c>
      <c r="M11" s="39">
        <v>0.16930000000000001</v>
      </c>
      <c r="N11" s="39">
        <v>1.55E-2</v>
      </c>
      <c r="O11" s="39">
        <f t="shared" si="0"/>
        <v>98.934650000000005</v>
      </c>
      <c r="P11" s="40">
        <f t="shared" si="1"/>
        <v>81.099562243573871</v>
      </c>
      <c r="R11" s="156">
        <v>0.65053823869162497</v>
      </c>
      <c r="S11" s="156">
        <v>1.9091883092036766E-3</v>
      </c>
      <c r="T11" s="156">
        <v>0.35298770516832445</v>
      </c>
      <c r="U11" s="156">
        <v>4.2426406871191945E-2</v>
      </c>
      <c r="V11" s="156">
        <v>2.7577164466275061E-3</v>
      </c>
      <c r="W11" s="156">
        <v>0.94045201897811204</v>
      </c>
      <c r="X11" s="156">
        <v>5.5861435713736992E-3</v>
      </c>
      <c r="Y11" s="156">
        <v>2.8284271247462709E-4</v>
      </c>
      <c r="Z11" s="156">
        <v>7.9195959492893396E-3</v>
      </c>
      <c r="AA11" s="156">
        <v>1.2833280971754712</v>
      </c>
      <c r="AB11" s="156">
        <v>0.30669235595583677</v>
      </c>
    </row>
    <row r="12" spans="1:29" s="24" customFormat="1" ht="13.15">
      <c r="A12" s="13" t="s">
        <v>105</v>
      </c>
      <c r="B12" s="37" t="s">
        <v>101</v>
      </c>
      <c r="C12" s="37" t="s">
        <v>68</v>
      </c>
      <c r="D12" s="38" t="s">
        <v>294</v>
      </c>
      <c r="E12" s="38">
        <v>1</v>
      </c>
      <c r="F12" s="39">
        <v>39.49</v>
      </c>
      <c r="G12" s="39">
        <v>1.5100000000000001E-2</v>
      </c>
      <c r="H12" s="39">
        <v>2.9100000000000001E-2</v>
      </c>
      <c r="I12" s="39">
        <v>15.77</v>
      </c>
      <c r="J12" s="39">
        <v>0.2326</v>
      </c>
      <c r="K12" s="39">
        <v>43.92</v>
      </c>
      <c r="L12" s="39">
        <v>0.31569999999999998</v>
      </c>
      <c r="M12" s="39">
        <v>0.1797</v>
      </c>
      <c r="N12" s="39">
        <v>1.7399999999999999E-2</v>
      </c>
      <c r="O12" s="39">
        <f t="shared" si="0"/>
        <v>99.969599999999986</v>
      </c>
      <c r="P12" s="40">
        <f t="shared" si="1"/>
        <v>83.236604511045755</v>
      </c>
      <c r="R12" s="156"/>
      <c r="S12" s="156"/>
      <c r="T12" s="156"/>
      <c r="U12" s="156"/>
      <c r="V12" s="156"/>
      <c r="W12" s="156"/>
      <c r="X12" s="156"/>
      <c r="Y12" s="156"/>
      <c r="Z12" s="156"/>
      <c r="AA12" s="156"/>
      <c r="AB12" s="156"/>
    </row>
    <row r="13" spans="1:29" s="24" customFormat="1" ht="13.15">
      <c r="A13" s="13" t="s">
        <v>106</v>
      </c>
      <c r="B13" s="37" t="s">
        <v>101</v>
      </c>
      <c r="C13" s="37" t="s">
        <v>68</v>
      </c>
      <c r="D13" s="38" t="s">
        <v>294</v>
      </c>
      <c r="E13" s="38">
        <v>3</v>
      </c>
      <c r="F13" s="39">
        <v>39.216666666666669</v>
      </c>
      <c r="G13" s="39">
        <v>1.6666666666666666E-2</v>
      </c>
      <c r="H13" s="39"/>
      <c r="I13" s="39">
        <v>17.226666666666667</v>
      </c>
      <c r="J13" s="39">
        <v>0.27579999999999999</v>
      </c>
      <c r="K13" s="39">
        <v>42.423333333333339</v>
      </c>
      <c r="L13" s="39">
        <v>0.35533333333333328</v>
      </c>
      <c r="M13" s="39">
        <v>0.17136666666666667</v>
      </c>
      <c r="N13" s="39">
        <v>1.2866666666666665E-2</v>
      </c>
      <c r="O13" s="39">
        <f t="shared" si="0"/>
        <v>99.698700000000002</v>
      </c>
      <c r="P13" s="40">
        <f t="shared" si="1"/>
        <v>81.449237771958607</v>
      </c>
      <c r="R13" s="156">
        <v>0.15011106998930154</v>
      </c>
      <c r="S13" s="156">
        <v>1.6258331197676272E-3</v>
      </c>
      <c r="T13" s="156">
        <v>0.33904715502911004</v>
      </c>
      <c r="U13" s="156">
        <v>0.3370954365359054</v>
      </c>
      <c r="V13" s="156">
        <v>1.3114877048603954E-3</v>
      </c>
      <c r="W13" s="156">
        <v>0.10692676621563769</v>
      </c>
      <c r="X13" s="156">
        <v>6.2740205078827688E-3</v>
      </c>
      <c r="Y13" s="156">
        <v>3.2959571194621658E-3</v>
      </c>
      <c r="Z13" s="156">
        <v>2.3028967265887835E-3</v>
      </c>
      <c r="AA13" s="156">
        <v>0.60515003373818543</v>
      </c>
      <c r="AB13" s="156">
        <v>0.32526794955789406</v>
      </c>
    </row>
    <row r="14" spans="1:29" s="24" customFormat="1" ht="13.15">
      <c r="A14" s="13" t="s">
        <v>107</v>
      </c>
      <c r="B14" s="37" t="s">
        <v>101</v>
      </c>
      <c r="C14" s="37" t="s">
        <v>68</v>
      </c>
      <c r="D14" s="38" t="s">
        <v>294</v>
      </c>
      <c r="E14" s="38">
        <v>2</v>
      </c>
      <c r="F14" s="39">
        <v>39.11</v>
      </c>
      <c r="G14" s="39">
        <v>1.78E-2</v>
      </c>
      <c r="H14" s="39">
        <v>2.7450000000000002E-2</v>
      </c>
      <c r="I14" s="39">
        <v>17.13</v>
      </c>
      <c r="J14" s="39">
        <v>0.28089999999999998</v>
      </c>
      <c r="K14" s="39">
        <v>42.664999999999999</v>
      </c>
      <c r="L14" s="39">
        <v>0.37390000000000001</v>
      </c>
      <c r="M14" s="39">
        <v>0.15444999999999998</v>
      </c>
      <c r="N14" s="39">
        <v>1.04E-2</v>
      </c>
      <c r="O14" s="39">
        <f t="shared" si="0"/>
        <v>99.769900000000021</v>
      </c>
      <c r="P14" s="40">
        <f t="shared" si="1"/>
        <v>81.619482886456794</v>
      </c>
      <c r="R14" s="156">
        <v>0.12727922061357835</v>
      </c>
      <c r="S14" s="156">
        <v>3.1112698372208099E-3</v>
      </c>
      <c r="T14" s="156">
        <v>1.9091883092036766E-3</v>
      </c>
      <c r="U14" s="156">
        <v>2.8284271247461298E-2</v>
      </c>
      <c r="V14" s="156">
        <v>1.5556349186103902E-3</v>
      </c>
      <c r="W14" s="156">
        <v>0.13435028842544242</v>
      </c>
      <c r="X14" s="156">
        <v>1.0465180361560888E-2</v>
      </c>
      <c r="Y14" s="156">
        <v>3.7476659402887014E-3</v>
      </c>
      <c r="Z14" s="156">
        <v>4.1012193308819778E-3</v>
      </c>
      <c r="AA14" s="156">
        <v>0.2469216879903397</v>
      </c>
      <c r="AB14" s="156">
        <v>7.2043568320162538E-2</v>
      </c>
    </row>
    <row r="15" spans="1:29" s="24" customFormat="1" ht="13.15">
      <c r="A15" s="13" t="s">
        <v>108</v>
      </c>
      <c r="B15" s="37" t="s">
        <v>101</v>
      </c>
      <c r="C15" s="37" t="s">
        <v>68</v>
      </c>
      <c r="D15" s="38" t="s">
        <v>294</v>
      </c>
      <c r="E15" s="38">
        <v>4</v>
      </c>
      <c r="F15" s="39">
        <v>38.8675</v>
      </c>
      <c r="G15" s="39">
        <v>1.2800000000000001E-2</v>
      </c>
      <c r="H15" s="39">
        <v>3.49E-2</v>
      </c>
      <c r="I15" s="39">
        <v>19.327500000000001</v>
      </c>
      <c r="J15" s="39">
        <v>0.37695000000000001</v>
      </c>
      <c r="K15" s="39">
        <v>40.792499999999997</v>
      </c>
      <c r="L15" s="39">
        <v>0.27065</v>
      </c>
      <c r="M15" s="39">
        <v>9.6700000000000008E-2</v>
      </c>
      <c r="N15" s="39">
        <v>9.8499999999999994E-3</v>
      </c>
      <c r="O15" s="39">
        <f t="shared" si="0"/>
        <v>99.789349999999999</v>
      </c>
      <c r="P15" s="40">
        <f t="shared" si="1"/>
        <v>79.004529003361483</v>
      </c>
      <c r="R15" s="156">
        <v>0.25434556545508252</v>
      </c>
      <c r="S15" s="156">
        <v>1.1045361017187258E-3</v>
      </c>
      <c r="T15" s="156">
        <v>3.8496753109840305E-3</v>
      </c>
      <c r="U15" s="156">
        <v>6.0759087111861239E-2</v>
      </c>
      <c r="V15" s="156">
        <v>3.7986839826445054E-3</v>
      </c>
      <c r="W15" s="156">
        <v>0.23963513932643513</v>
      </c>
      <c r="X15" s="156">
        <v>6.6825643780413163E-3</v>
      </c>
      <c r="Y15" s="156">
        <v>7.799145252312371E-3</v>
      </c>
      <c r="Z15" s="156">
        <v>3.2562759915789287E-3</v>
      </c>
      <c r="AA15" s="156">
        <v>0.48017937273481681</v>
      </c>
      <c r="AB15" s="156">
        <v>0.11264129806003149</v>
      </c>
    </row>
    <row r="16" spans="1:29" s="24" customFormat="1" ht="13.15">
      <c r="A16" s="13" t="s">
        <v>109</v>
      </c>
      <c r="B16" s="37" t="s">
        <v>101</v>
      </c>
      <c r="C16" s="37" t="s">
        <v>68</v>
      </c>
      <c r="D16" s="38" t="s">
        <v>294</v>
      </c>
      <c r="E16" s="38">
        <v>1</v>
      </c>
      <c r="F16" s="39">
        <v>39.44</v>
      </c>
      <c r="G16" s="39">
        <v>1.3599999999999999E-2</v>
      </c>
      <c r="H16" s="39">
        <v>3.04E-2</v>
      </c>
      <c r="I16" s="39">
        <v>17.34</v>
      </c>
      <c r="J16" s="39">
        <v>0.27210000000000001</v>
      </c>
      <c r="K16" s="39">
        <v>42.51</v>
      </c>
      <c r="L16" s="39">
        <v>0.33250000000000002</v>
      </c>
      <c r="M16" s="39">
        <v>0.1736</v>
      </c>
      <c r="N16" s="39">
        <v>1.35E-2</v>
      </c>
      <c r="O16" s="39">
        <f t="shared" si="0"/>
        <v>100.12569999999998</v>
      </c>
      <c r="P16" s="40">
        <f t="shared" si="1"/>
        <v>81.38089770300671</v>
      </c>
      <c r="R16" s="156"/>
      <c r="S16" s="156"/>
      <c r="T16" s="156"/>
      <c r="U16" s="156"/>
      <c r="V16" s="156"/>
      <c r="W16" s="156"/>
      <c r="X16" s="156"/>
      <c r="Y16" s="156"/>
      <c r="Z16" s="156"/>
      <c r="AA16" s="156"/>
      <c r="AB16" s="156"/>
    </row>
    <row r="17" spans="1:28" s="24" customFormat="1" ht="13.15">
      <c r="A17" s="13" t="s">
        <v>110</v>
      </c>
      <c r="B17" s="37" t="s">
        <v>101</v>
      </c>
      <c r="C17" s="37" t="s">
        <v>68</v>
      </c>
      <c r="D17" s="38" t="s">
        <v>294</v>
      </c>
      <c r="E17" s="38">
        <v>1</v>
      </c>
      <c r="F17" s="39">
        <v>39.74</v>
      </c>
      <c r="G17" s="39"/>
      <c r="H17" s="39">
        <v>3.0700000000000002E-2</v>
      </c>
      <c r="I17" s="39">
        <v>16.809999999999999</v>
      </c>
      <c r="J17" s="39">
        <v>0.25440000000000002</v>
      </c>
      <c r="K17" s="39">
        <v>42.92</v>
      </c>
      <c r="L17" s="39">
        <v>0.29899999999999999</v>
      </c>
      <c r="M17" s="39">
        <v>0.17799999999999999</v>
      </c>
      <c r="N17" s="39">
        <v>9.4000000000000004E-3</v>
      </c>
      <c r="O17" s="39">
        <f t="shared" si="0"/>
        <v>100.2415</v>
      </c>
      <c r="P17" s="40">
        <f t="shared" si="1"/>
        <v>81.988862730292766</v>
      </c>
      <c r="R17" s="156"/>
      <c r="S17" s="156"/>
      <c r="T17" s="156"/>
      <c r="U17" s="156"/>
      <c r="V17" s="156"/>
      <c r="W17" s="156"/>
      <c r="X17" s="156"/>
      <c r="Y17" s="156"/>
      <c r="Z17" s="156"/>
      <c r="AA17" s="156"/>
      <c r="AB17" s="156"/>
    </row>
    <row r="18" spans="1:28" s="24" customFormat="1" ht="13.15">
      <c r="A18" s="13" t="s">
        <v>111</v>
      </c>
      <c r="B18" s="37" t="s">
        <v>101</v>
      </c>
      <c r="C18" s="37" t="s">
        <v>68</v>
      </c>
      <c r="D18" s="38" t="s">
        <v>294</v>
      </c>
      <c r="E18" s="38">
        <v>1</v>
      </c>
      <c r="F18" s="39">
        <v>39.909999999999997</v>
      </c>
      <c r="G18" s="39">
        <v>2.29E-2</v>
      </c>
      <c r="H18" s="39">
        <v>2.92E-2</v>
      </c>
      <c r="I18" s="39">
        <v>16.52</v>
      </c>
      <c r="J18" s="39">
        <v>0.25540000000000002</v>
      </c>
      <c r="K18" s="39">
        <v>43.37</v>
      </c>
      <c r="L18" s="39">
        <v>0.31979999999999997</v>
      </c>
      <c r="M18" s="39">
        <v>0.17580000000000001</v>
      </c>
      <c r="N18" s="39">
        <v>1.4999999999999999E-2</v>
      </c>
      <c r="O18" s="39">
        <f t="shared" si="0"/>
        <v>100.6181</v>
      </c>
      <c r="P18" s="40">
        <f t="shared" si="1"/>
        <v>82.396211630135781</v>
      </c>
      <c r="R18" s="156"/>
      <c r="S18" s="156"/>
      <c r="T18" s="156"/>
      <c r="U18" s="156"/>
      <c r="V18" s="156"/>
      <c r="W18" s="156"/>
      <c r="X18" s="156"/>
      <c r="Y18" s="156"/>
      <c r="Z18" s="156"/>
      <c r="AA18" s="156"/>
      <c r="AB18" s="156"/>
    </row>
    <row r="19" spans="1:28" s="24" customFormat="1" ht="13.15">
      <c r="A19" s="13" t="s">
        <v>112</v>
      </c>
      <c r="B19" s="37" t="s">
        <v>101</v>
      </c>
      <c r="C19" s="37" t="s">
        <v>68</v>
      </c>
      <c r="D19" s="38" t="s">
        <v>294</v>
      </c>
      <c r="E19" s="38">
        <v>1</v>
      </c>
      <c r="F19" s="39">
        <v>39.74</v>
      </c>
      <c r="G19" s="39"/>
      <c r="H19" s="39">
        <v>3.2500000000000001E-2</v>
      </c>
      <c r="I19" s="39">
        <v>17.05</v>
      </c>
      <c r="J19" s="39">
        <v>0.24929999999999999</v>
      </c>
      <c r="K19" s="39">
        <v>42.79</v>
      </c>
      <c r="L19" s="39">
        <v>0.28639999999999999</v>
      </c>
      <c r="M19" s="39">
        <v>0.1762</v>
      </c>
      <c r="N19" s="39">
        <v>1.5100000000000001E-2</v>
      </c>
      <c r="O19" s="39">
        <f t="shared" si="0"/>
        <v>100.3395</v>
      </c>
      <c r="P19" s="40">
        <f t="shared" si="1"/>
        <v>81.733323780601026</v>
      </c>
      <c r="R19" s="156"/>
      <c r="S19" s="156"/>
      <c r="T19" s="156"/>
      <c r="U19" s="156"/>
      <c r="V19" s="156"/>
      <c r="W19" s="156"/>
      <c r="X19" s="156"/>
      <c r="Y19" s="156"/>
      <c r="Z19" s="156"/>
      <c r="AA19" s="156"/>
      <c r="AB19" s="156"/>
    </row>
    <row r="20" spans="1:28" s="24" customFormat="1" ht="13.15">
      <c r="A20" s="13" t="s">
        <v>113</v>
      </c>
      <c r="B20" s="37" t="s">
        <v>101</v>
      </c>
      <c r="C20" s="37" t="s">
        <v>68</v>
      </c>
      <c r="D20" s="38" t="s">
        <v>294</v>
      </c>
      <c r="E20" s="38">
        <v>1</v>
      </c>
      <c r="F20" s="39">
        <v>39.049999999999997</v>
      </c>
      <c r="G20" s="39">
        <v>1.3899999999999999E-2</v>
      </c>
      <c r="H20" s="39">
        <v>3.2800000000000003E-2</v>
      </c>
      <c r="I20" s="39">
        <v>19.829999999999998</v>
      </c>
      <c r="J20" s="39">
        <v>0.41889999999999999</v>
      </c>
      <c r="K20" s="39">
        <v>40.18</v>
      </c>
      <c r="L20" s="39">
        <v>0.2203</v>
      </c>
      <c r="M20" s="39">
        <v>0.12720000000000001</v>
      </c>
      <c r="N20" s="39">
        <v>8.0999999999999996E-3</v>
      </c>
      <c r="O20" s="39">
        <f t="shared" si="0"/>
        <v>99.881199999999993</v>
      </c>
      <c r="P20" s="40">
        <f t="shared" si="1"/>
        <v>78.319825766220063</v>
      </c>
      <c r="R20" s="156"/>
      <c r="S20" s="156"/>
      <c r="T20" s="156"/>
      <c r="U20" s="156"/>
      <c r="V20" s="156"/>
      <c r="W20" s="156"/>
      <c r="X20" s="156"/>
      <c r="Y20" s="156"/>
      <c r="Z20" s="156"/>
      <c r="AA20" s="156"/>
      <c r="AB20" s="156"/>
    </row>
    <row r="21" spans="1:28" s="24" customFormat="1" ht="13.15">
      <c r="A21" s="13" t="s">
        <v>114</v>
      </c>
      <c r="B21" s="37" t="s">
        <v>101</v>
      </c>
      <c r="C21" s="37" t="s">
        <v>68</v>
      </c>
      <c r="D21" s="38" t="s">
        <v>294</v>
      </c>
      <c r="E21" s="38">
        <v>1</v>
      </c>
      <c r="F21" s="39">
        <v>39.89</v>
      </c>
      <c r="G21" s="39">
        <v>2.8299999999999999E-2</v>
      </c>
      <c r="H21" s="39">
        <v>3.5200000000000002E-2</v>
      </c>
      <c r="I21" s="39">
        <v>17.34</v>
      </c>
      <c r="J21" s="39">
        <v>0.26200000000000001</v>
      </c>
      <c r="K21" s="39">
        <v>42.6</v>
      </c>
      <c r="L21" s="39">
        <v>0.30309999999999998</v>
      </c>
      <c r="M21" s="39">
        <v>0.1789</v>
      </c>
      <c r="N21" s="39">
        <v>1.0999999999999999E-2</v>
      </c>
      <c r="O21" s="39">
        <f t="shared" si="0"/>
        <v>100.64850000000001</v>
      </c>
      <c r="P21" s="40">
        <f t="shared" si="1"/>
        <v>81.41292239731122</v>
      </c>
      <c r="R21" s="156"/>
      <c r="S21" s="156"/>
      <c r="T21" s="156"/>
      <c r="U21" s="156"/>
      <c r="V21" s="156"/>
      <c r="W21" s="156"/>
      <c r="X21" s="156"/>
      <c r="Y21" s="156"/>
      <c r="Z21" s="156"/>
      <c r="AA21" s="156"/>
      <c r="AB21" s="156"/>
    </row>
    <row r="22" spans="1:28" s="24" customFormat="1" ht="13.15">
      <c r="A22" s="13" t="s">
        <v>115</v>
      </c>
      <c r="B22" s="37" t="s">
        <v>101</v>
      </c>
      <c r="C22" s="37" t="s">
        <v>68</v>
      </c>
      <c r="D22" s="38" t="s">
        <v>294</v>
      </c>
      <c r="E22" s="38">
        <v>1</v>
      </c>
      <c r="F22" s="39">
        <v>39.26</v>
      </c>
      <c r="G22" s="39">
        <v>2.4500000000000001E-2</v>
      </c>
      <c r="H22" s="39">
        <v>2.9700000000000001E-2</v>
      </c>
      <c r="I22" s="39">
        <v>18.72</v>
      </c>
      <c r="J22" s="39">
        <v>0.34239999999999998</v>
      </c>
      <c r="K22" s="39">
        <v>41.3</v>
      </c>
      <c r="L22" s="39">
        <v>0.2838</v>
      </c>
      <c r="M22" s="39">
        <v>0.12939999999999999</v>
      </c>
      <c r="N22" s="39">
        <v>6.0000000000000001E-3</v>
      </c>
      <c r="O22" s="39">
        <f t="shared" si="0"/>
        <v>100.0958</v>
      </c>
      <c r="P22" s="40">
        <f t="shared" si="1"/>
        <v>79.729922529858356</v>
      </c>
      <c r="R22" s="156"/>
      <c r="S22" s="156"/>
      <c r="T22" s="156"/>
      <c r="U22" s="156"/>
      <c r="V22" s="156"/>
      <c r="W22" s="156"/>
      <c r="X22" s="156"/>
      <c r="Y22" s="156"/>
      <c r="Z22" s="156"/>
      <c r="AA22" s="156"/>
      <c r="AB22" s="156"/>
    </row>
    <row r="23" spans="1:28" s="24" customFormat="1" ht="13.15">
      <c r="A23" s="13" t="s">
        <v>116</v>
      </c>
      <c r="B23" s="37" t="s">
        <v>101</v>
      </c>
      <c r="C23" s="37" t="s">
        <v>68</v>
      </c>
      <c r="D23" s="38" t="s">
        <v>294</v>
      </c>
      <c r="E23" s="38">
        <v>1</v>
      </c>
      <c r="F23" s="39">
        <v>39.9</v>
      </c>
      <c r="G23" s="39"/>
      <c r="H23" s="39">
        <v>2.8000000000000001E-2</v>
      </c>
      <c r="I23" s="39">
        <v>16.59</v>
      </c>
      <c r="J23" s="39">
        <v>0.2555</v>
      </c>
      <c r="K23" s="39">
        <v>43.37</v>
      </c>
      <c r="L23" s="39">
        <v>0.25090000000000001</v>
      </c>
      <c r="M23" s="39">
        <v>0.17780000000000001</v>
      </c>
      <c r="N23" s="39">
        <v>1.35E-2</v>
      </c>
      <c r="O23" s="39">
        <f t="shared" si="0"/>
        <v>100.58569999999999</v>
      </c>
      <c r="P23" s="40">
        <f t="shared" si="1"/>
        <v>82.334796192523527</v>
      </c>
      <c r="R23" s="156"/>
      <c r="S23" s="156"/>
      <c r="T23" s="156"/>
      <c r="U23" s="156"/>
      <c r="V23" s="156"/>
      <c r="W23" s="156"/>
      <c r="X23" s="156"/>
      <c r="Y23" s="156"/>
      <c r="Z23" s="156"/>
      <c r="AA23" s="156"/>
      <c r="AB23" s="156"/>
    </row>
    <row r="24" spans="1:28" s="24" customFormat="1" ht="13.15">
      <c r="A24" s="13" t="s">
        <v>117</v>
      </c>
      <c r="B24" s="37" t="s">
        <v>101</v>
      </c>
      <c r="C24" s="37" t="s">
        <v>68</v>
      </c>
      <c r="D24" s="38" t="s">
        <v>294</v>
      </c>
      <c r="E24" s="38">
        <v>1</v>
      </c>
      <c r="F24" s="39">
        <v>39.58</v>
      </c>
      <c r="G24" s="39"/>
      <c r="H24" s="39">
        <v>3.3300000000000003E-2</v>
      </c>
      <c r="I24" s="39">
        <v>17.02</v>
      </c>
      <c r="J24" s="39">
        <v>0.25009999999999999</v>
      </c>
      <c r="K24" s="39">
        <v>42.89</v>
      </c>
      <c r="L24" s="39">
        <v>0.29930000000000001</v>
      </c>
      <c r="M24" s="39">
        <v>0.17419999999999999</v>
      </c>
      <c r="N24" s="39">
        <v>1.04E-2</v>
      </c>
      <c r="O24" s="39">
        <f t="shared" si="0"/>
        <v>100.2573</v>
      </c>
      <c r="P24" s="40">
        <f t="shared" si="1"/>
        <v>81.794387735804605</v>
      </c>
      <c r="R24" s="156"/>
      <c r="S24" s="156"/>
      <c r="T24" s="156"/>
      <c r="U24" s="156"/>
      <c r="V24" s="156"/>
      <c r="W24" s="156"/>
      <c r="X24" s="156"/>
      <c r="Y24" s="156"/>
      <c r="Z24" s="156"/>
      <c r="AA24" s="156"/>
      <c r="AB24" s="156"/>
    </row>
    <row r="25" spans="1:28" s="24" customFormat="1" ht="13.15">
      <c r="A25" s="13" t="s">
        <v>118</v>
      </c>
      <c r="B25" s="37" t="s">
        <v>101</v>
      </c>
      <c r="C25" s="37" t="s">
        <v>68</v>
      </c>
      <c r="D25" s="38" t="s">
        <v>294</v>
      </c>
      <c r="E25" s="38">
        <v>2</v>
      </c>
      <c r="F25" s="39">
        <v>39.685000000000002</v>
      </c>
      <c r="G25" s="39">
        <v>2.085E-2</v>
      </c>
      <c r="H25" s="39">
        <v>2.6599999999999999E-2</v>
      </c>
      <c r="I25" s="39">
        <v>16.47</v>
      </c>
      <c r="J25" s="39">
        <v>0.25209999999999999</v>
      </c>
      <c r="K25" s="39">
        <v>43.41</v>
      </c>
      <c r="L25" s="39">
        <v>0.28410000000000002</v>
      </c>
      <c r="M25" s="39">
        <v>0.18614999999999998</v>
      </c>
      <c r="N25" s="39">
        <v>1.3950000000000001E-2</v>
      </c>
      <c r="O25" s="39">
        <f t="shared" si="0"/>
        <v>100.34875</v>
      </c>
      <c r="P25" s="40">
        <f t="shared" si="1"/>
        <v>82.453477292112538</v>
      </c>
      <c r="R25" s="156">
        <v>6.3639610306786665E-2</v>
      </c>
      <c r="S25" s="156">
        <v>2.1213203435596541E-4</v>
      </c>
      <c r="T25" s="156">
        <v>4.3840620433565946E-3</v>
      </c>
      <c r="U25" s="156">
        <v>0.18384776310850345</v>
      </c>
      <c r="V25" s="156">
        <v>1.0465180361560909E-2</v>
      </c>
      <c r="W25" s="156">
        <v>0.12727922061357835</v>
      </c>
      <c r="X25" s="156">
        <v>6.6468037431535601E-3</v>
      </c>
      <c r="Y25" s="156">
        <v>1.9091883092036779E-3</v>
      </c>
      <c r="Z25" s="156">
        <v>8.4145706961199114E-3</v>
      </c>
      <c r="AA25" s="156">
        <v>2.8991378028706489E-3</v>
      </c>
      <c r="AB25" s="156">
        <v>0.20400900500845578</v>
      </c>
    </row>
    <row r="26" spans="1:28" s="24" customFormat="1" ht="13.15">
      <c r="A26" s="13" t="s">
        <v>119</v>
      </c>
      <c r="B26" s="37" t="s">
        <v>101</v>
      </c>
      <c r="C26" s="37" t="s">
        <v>68</v>
      </c>
      <c r="D26" s="38" t="s">
        <v>294</v>
      </c>
      <c r="E26" s="38">
        <v>1</v>
      </c>
      <c r="F26" s="39">
        <v>39.82</v>
      </c>
      <c r="G26" s="39">
        <v>2.0799999999999999E-2</v>
      </c>
      <c r="H26" s="39">
        <v>3.0099999999999998E-2</v>
      </c>
      <c r="I26" s="39">
        <v>16.93</v>
      </c>
      <c r="J26" s="39">
        <v>0.25729999999999997</v>
      </c>
      <c r="K26" s="39">
        <v>42.85</v>
      </c>
      <c r="L26" s="39">
        <v>0.3216</v>
      </c>
      <c r="M26" s="39">
        <v>0.17680000000000001</v>
      </c>
      <c r="N26" s="39">
        <v>1.3899999999999999E-2</v>
      </c>
      <c r="O26" s="39">
        <f t="shared" si="0"/>
        <v>100.4205</v>
      </c>
      <c r="P26" s="40">
        <f t="shared" si="1"/>
        <v>81.859355023455535</v>
      </c>
      <c r="R26" s="156"/>
      <c r="S26" s="156"/>
      <c r="T26" s="156"/>
      <c r="U26" s="156"/>
      <c r="V26" s="156"/>
      <c r="W26" s="156"/>
      <c r="X26" s="156"/>
      <c r="Y26" s="156"/>
      <c r="Z26" s="156"/>
      <c r="AA26" s="156"/>
      <c r="AB26" s="156"/>
    </row>
    <row r="27" spans="1:28" s="24" customFormat="1" ht="13.15">
      <c r="A27" s="13" t="s">
        <v>120</v>
      </c>
      <c r="B27" s="37" t="s">
        <v>101</v>
      </c>
      <c r="C27" s="37" t="s">
        <v>68</v>
      </c>
      <c r="D27" s="38" t="s">
        <v>294</v>
      </c>
      <c r="E27" s="38">
        <v>1</v>
      </c>
      <c r="F27" s="39">
        <v>39.700000000000003</v>
      </c>
      <c r="G27" s="39">
        <v>2.1100000000000001E-2</v>
      </c>
      <c r="H27" s="39">
        <v>2.9600000000000001E-2</v>
      </c>
      <c r="I27" s="39">
        <v>17.75</v>
      </c>
      <c r="J27" s="39">
        <v>0.29330000000000001</v>
      </c>
      <c r="K27" s="39">
        <v>42.25</v>
      </c>
      <c r="L27" s="39">
        <v>0.26300000000000001</v>
      </c>
      <c r="M27" s="39">
        <v>0.16339999999999999</v>
      </c>
      <c r="N27" s="39">
        <v>1.9300000000000001E-2</v>
      </c>
      <c r="O27" s="39">
        <f t="shared" si="0"/>
        <v>100.48970000000001</v>
      </c>
      <c r="P27" s="40">
        <f t="shared" si="1"/>
        <v>80.929688515357626</v>
      </c>
      <c r="R27" s="156"/>
      <c r="S27" s="156"/>
      <c r="T27" s="156"/>
      <c r="U27" s="156"/>
      <c r="V27" s="156"/>
      <c r="W27" s="156"/>
      <c r="X27" s="156"/>
      <c r="Y27" s="156"/>
      <c r="Z27" s="156"/>
      <c r="AA27" s="156"/>
      <c r="AB27" s="156"/>
    </row>
    <row r="28" spans="1:28" s="24" customFormat="1" ht="13.15">
      <c r="A28" s="13" t="s">
        <v>121</v>
      </c>
      <c r="B28" s="37" t="s">
        <v>101</v>
      </c>
      <c r="C28" s="37" t="s">
        <v>68</v>
      </c>
      <c r="D28" s="38" t="s">
        <v>294</v>
      </c>
      <c r="E28" s="38">
        <v>1</v>
      </c>
      <c r="F28" s="39">
        <v>39.409999999999997</v>
      </c>
      <c r="G28" s="39">
        <v>1.8100000000000002E-2</v>
      </c>
      <c r="H28" s="39">
        <v>2.7799999999999998E-2</v>
      </c>
      <c r="I28" s="39">
        <v>18.28</v>
      </c>
      <c r="J28" s="39">
        <v>0.30509999999999998</v>
      </c>
      <c r="K28" s="39">
        <v>41.81</v>
      </c>
      <c r="L28" s="39">
        <v>0.27100000000000002</v>
      </c>
      <c r="M28" s="39">
        <v>0.11700000000000001</v>
      </c>
      <c r="N28" s="39">
        <v>1.5800000000000002E-2</v>
      </c>
      <c r="O28" s="39">
        <f t="shared" si="0"/>
        <v>100.2548</v>
      </c>
      <c r="P28" s="40">
        <f t="shared" si="1"/>
        <v>80.306423942369562</v>
      </c>
      <c r="R28" s="156"/>
      <c r="S28" s="156"/>
      <c r="T28" s="156"/>
      <c r="U28" s="156"/>
      <c r="V28" s="156"/>
      <c r="W28" s="156"/>
      <c r="X28" s="156"/>
      <c r="Y28" s="156"/>
      <c r="Z28" s="156"/>
      <c r="AA28" s="156"/>
      <c r="AB28" s="156"/>
    </row>
    <row r="29" spans="1:28" s="24" customFormat="1" ht="13.15">
      <c r="A29" s="13" t="s">
        <v>122</v>
      </c>
      <c r="B29" s="37" t="s">
        <v>101</v>
      </c>
      <c r="C29" s="37" t="s">
        <v>68</v>
      </c>
      <c r="D29" s="38" t="s">
        <v>294</v>
      </c>
      <c r="E29" s="38">
        <v>1</v>
      </c>
      <c r="F29" s="39">
        <v>39.75</v>
      </c>
      <c r="G29" s="39">
        <v>2.41E-2</v>
      </c>
      <c r="H29" s="39">
        <v>2.7300000000000001E-2</v>
      </c>
      <c r="I29" s="39">
        <v>17.260000000000002</v>
      </c>
      <c r="J29" s="39">
        <v>0.2576</v>
      </c>
      <c r="K29" s="39">
        <v>42.57</v>
      </c>
      <c r="L29" s="39">
        <v>0.30570000000000003</v>
      </c>
      <c r="M29" s="39">
        <v>0.1704</v>
      </c>
      <c r="N29" s="39">
        <v>7.3000000000000001E-3</v>
      </c>
      <c r="O29" s="39">
        <f t="shared" si="0"/>
        <v>100.37239999999998</v>
      </c>
      <c r="P29" s="40">
        <f t="shared" si="1"/>
        <v>81.472165083009642</v>
      </c>
      <c r="R29" s="156"/>
      <c r="S29" s="156"/>
      <c r="T29" s="156"/>
      <c r="U29" s="156"/>
      <c r="V29" s="156"/>
      <c r="W29" s="156"/>
      <c r="X29" s="156"/>
      <c r="Y29" s="156"/>
      <c r="Z29" s="156"/>
      <c r="AA29" s="156"/>
      <c r="AB29" s="156"/>
    </row>
    <row r="30" spans="1:28" s="24" customFormat="1" ht="13.15">
      <c r="A30" s="13" t="s">
        <v>123</v>
      </c>
      <c r="B30" s="37" t="s">
        <v>101</v>
      </c>
      <c r="C30" s="37" t="s">
        <v>68</v>
      </c>
      <c r="D30" s="38" t="s">
        <v>294</v>
      </c>
      <c r="E30" s="38">
        <v>1</v>
      </c>
      <c r="F30" s="39">
        <v>39.799999999999997</v>
      </c>
      <c r="G30" s="39">
        <v>2.1700000000000001E-2</v>
      </c>
      <c r="H30" s="39">
        <v>3.8399999999999997E-2</v>
      </c>
      <c r="I30" s="39">
        <v>16.079999999999998</v>
      </c>
      <c r="J30" s="39">
        <v>0.2263</v>
      </c>
      <c r="K30" s="39">
        <v>43.81</v>
      </c>
      <c r="L30" s="39">
        <v>0.23100000000000001</v>
      </c>
      <c r="M30" s="39">
        <v>0.19739999999999999</v>
      </c>
      <c r="N30" s="39">
        <v>1.72E-2</v>
      </c>
      <c r="O30" s="39">
        <f t="shared" si="0"/>
        <v>100.42200000000001</v>
      </c>
      <c r="P30" s="40">
        <f t="shared" si="1"/>
        <v>82.927743957257718</v>
      </c>
      <c r="R30" s="156"/>
      <c r="S30" s="156"/>
      <c r="T30" s="156"/>
      <c r="U30" s="156"/>
      <c r="V30" s="156"/>
      <c r="W30" s="156"/>
      <c r="X30" s="156"/>
      <c r="Y30" s="156"/>
      <c r="Z30" s="156"/>
      <c r="AA30" s="156"/>
      <c r="AB30" s="156"/>
    </row>
    <row r="31" spans="1:28" s="24" customFormat="1" ht="13.15">
      <c r="A31" s="13" t="s">
        <v>124</v>
      </c>
      <c r="B31" s="37" t="s">
        <v>101</v>
      </c>
      <c r="C31" s="37" t="s">
        <v>68</v>
      </c>
      <c r="D31" s="38" t="s">
        <v>294</v>
      </c>
      <c r="E31" s="38">
        <v>1</v>
      </c>
      <c r="F31" s="39">
        <v>39.840000000000003</v>
      </c>
      <c r="G31" s="39"/>
      <c r="H31" s="39">
        <v>3.04E-2</v>
      </c>
      <c r="I31" s="39">
        <v>16.78</v>
      </c>
      <c r="J31" s="39">
        <v>0.25409999999999999</v>
      </c>
      <c r="K31" s="39">
        <v>43.05</v>
      </c>
      <c r="L31" s="39">
        <v>0.31180000000000002</v>
      </c>
      <c r="M31" s="39">
        <v>0.17879999999999999</v>
      </c>
      <c r="N31" s="39">
        <v>9.2999999999999992E-3</v>
      </c>
      <c r="O31" s="39">
        <f t="shared" si="0"/>
        <v>100.45439999999999</v>
      </c>
      <c r="P31" s="40">
        <f t="shared" si="1"/>
        <v>82.059791586221223</v>
      </c>
      <c r="R31" s="156"/>
      <c r="S31" s="156"/>
      <c r="T31" s="156"/>
      <c r="U31" s="156"/>
      <c r="V31" s="156"/>
      <c r="W31" s="156"/>
      <c r="X31" s="156"/>
      <c r="Y31" s="156"/>
      <c r="Z31" s="156"/>
      <c r="AA31" s="156"/>
      <c r="AB31" s="156"/>
    </row>
    <row r="32" spans="1:28" s="24" customFormat="1" ht="13.15">
      <c r="A32" s="13" t="s">
        <v>125</v>
      </c>
      <c r="B32" s="37" t="s">
        <v>101</v>
      </c>
      <c r="C32" s="37" t="s">
        <v>68</v>
      </c>
      <c r="D32" s="38" t="s">
        <v>294</v>
      </c>
      <c r="E32" s="38">
        <v>1</v>
      </c>
      <c r="F32" s="39">
        <v>39.76</v>
      </c>
      <c r="G32" s="39"/>
      <c r="H32" s="39">
        <v>3.0800000000000001E-2</v>
      </c>
      <c r="I32" s="39">
        <v>16.77</v>
      </c>
      <c r="J32" s="39">
        <v>0.251</v>
      </c>
      <c r="K32" s="39">
        <v>43.17</v>
      </c>
      <c r="L32" s="39">
        <v>0.3165</v>
      </c>
      <c r="M32" s="39">
        <v>0.17710000000000001</v>
      </c>
      <c r="N32" s="39">
        <v>1.17E-2</v>
      </c>
      <c r="O32" s="39">
        <f t="shared" si="0"/>
        <v>100.4871</v>
      </c>
      <c r="P32" s="40">
        <f t="shared" si="1"/>
        <v>82.109492665374034</v>
      </c>
      <c r="R32" s="156"/>
      <c r="S32" s="156"/>
      <c r="T32" s="156"/>
      <c r="U32" s="156"/>
      <c r="V32" s="156"/>
      <c r="W32" s="156"/>
      <c r="X32" s="156"/>
      <c r="Y32" s="156"/>
      <c r="Z32" s="156"/>
      <c r="AA32" s="156"/>
      <c r="AB32" s="156"/>
    </row>
    <row r="33" spans="1:29" s="24" customFormat="1" ht="13.15">
      <c r="A33" s="13" t="s">
        <v>126</v>
      </c>
      <c r="B33" s="37" t="s">
        <v>101</v>
      </c>
      <c r="C33" s="37" t="s">
        <v>68</v>
      </c>
      <c r="D33" s="38" t="s">
        <v>294</v>
      </c>
      <c r="E33" s="38">
        <v>1</v>
      </c>
      <c r="F33" s="39">
        <v>39.68</v>
      </c>
      <c r="G33" s="39"/>
      <c r="H33" s="39">
        <v>3.0700000000000002E-2</v>
      </c>
      <c r="I33" s="39">
        <v>17.11</v>
      </c>
      <c r="J33" s="39">
        <v>0.25</v>
      </c>
      <c r="K33" s="39">
        <v>42.75</v>
      </c>
      <c r="L33" s="39">
        <v>0.32079999999999997</v>
      </c>
      <c r="M33" s="39">
        <v>0.1754</v>
      </c>
      <c r="N33" s="39">
        <v>1.61E-2</v>
      </c>
      <c r="O33" s="39">
        <f t="shared" si="0"/>
        <v>100.333</v>
      </c>
      <c r="P33" s="40">
        <f t="shared" si="1"/>
        <v>81.666819768204718</v>
      </c>
      <c r="R33" s="156"/>
      <c r="S33" s="156"/>
      <c r="T33" s="156"/>
      <c r="U33" s="156"/>
      <c r="V33" s="156"/>
      <c r="W33" s="156"/>
      <c r="X33" s="156"/>
      <c r="Y33" s="156"/>
      <c r="Z33" s="156"/>
      <c r="AA33" s="156"/>
      <c r="AB33" s="156"/>
    </row>
    <row r="34" spans="1:29" s="24" customFormat="1" ht="13.15">
      <c r="A34" s="13" t="s">
        <v>127</v>
      </c>
      <c r="B34" s="37" t="s">
        <v>101</v>
      </c>
      <c r="C34" s="37" t="s">
        <v>68</v>
      </c>
      <c r="D34" s="38" t="s">
        <v>294</v>
      </c>
      <c r="E34" s="38">
        <v>1</v>
      </c>
      <c r="F34" s="39">
        <v>39.799999999999997</v>
      </c>
      <c r="G34" s="39"/>
      <c r="H34" s="39">
        <v>2.98E-2</v>
      </c>
      <c r="I34" s="39">
        <v>16.8</v>
      </c>
      <c r="J34" s="39">
        <v>0.25640000000000002</v>
      </c>
      <c r="K34" s="39">
        <v>43.25</v>
      </c>
      <c r="L34" s="39">
        <v>0.29049999999999998</v>
      </c>
      <c r="M34" s="39">
        <v>0.17519999999999999</v>
      </c>
      <c r="N34" s="39">
        <v>1.26E-2</v>
      </c>
      <c r="O34" s="39">
        <f t="shared" si="0"/>
        <v>100.61450000000001</v>
      </c>
      <c r="P34" s="40">
        <f t="shared" si="1"/>
        <v>82.110434456913993</v>
      </c>
      <c r="R34" s="156"/>
      <c r="S34" s="156"/>
      <c r="T34" s="156"/>
      <c r="U34" s="156"/>
      <c r="V34" s="156"/>
      <c r="W34" s="156"/>
      <c r="X34" s="156"/>
      <c r="Y34" s="156"/>
      <c r="Z34" s="156"/>
      <c r="AA34" s="156"/>
      <c r="AB34" s="156"/>
    </row>
    <row r="35" spans="1:29" s="24" customFormat="1" ht="13.5" thickBot="1">
      <c r="A35" s="74" t="s">
        <v>126</v>
      </c>
      <c r="B35" s="60" t="s">
        <v>101</v>
      </c>
      <c r="C35" s="60" t="s">
        <v>68</v>
      </c>
      <c r="D35" s="61" t="s">
        <v>294</v>
      </c>
      <c r="E35" s="61">
        <v>1</v>
      </c>
      <c r="F35" s="62">
        <v>39.68</v>
      </c>
      <c r="G35" s="62">
        <v>2.2700000000000001E-2</v>
      </c>
      <c r="H35" s="62">
        <v>3.0700000000000002E-2</v>
      </c>
      <c r="I35" s="62">
        <v>17.11</v>
      </c>
      <c r="J35" s="62">
        <v>0.25</v>
      </c>
      <c r="K35" s="62">
        <v>42.75</v>
      </c>
      <c r="L35" s="62">
        <v>0.32079999999999997</v>
      </c>
      <c r="M35" s="62">
        <v>0.1754</v>
      </c>
      <c r="N35" s="62">
        <v>1.61E-2</v>
      </c>
      <c r="O35" s="62">
        <f t="shared" si="0"/>
        <v>100.3557</v>
      </c>
      <c r="P35" s="63">
        <f t="shared" si="1"/>
        <v>81.666819768204718</v>
      </c>
      <c r="Q35" s="64"/>
      <c r="R35" s="157"/>
      <c r="S35" s="157"/>
      <c r="T35" s="157"/>
      <c r="U35" s="157"/>
      <c r="V35" s="157"/>
      <c r="W35" s="157"/>
      <c r="X35" s="157"/>
      <c r="Y35" s="157"/>
      <c r="Z35" s="157"/>
      <c r="AA35" s="157"/>
      <c r="AB35" s="157"/>
    </row>
    <row r="36" spans="1:29" s="48" customFormat="1" ht="13.15">
      <c r="A36" s="75" t="s">
        <v>129</v>
      </c>
      <c r="B36" s="56" t="s">
        <v>128</v>
      </c>
      <c r="C36" s="56" t="s">
        <v>130</v>
      </c>
      <c r="D36" s="260" t="s">
        <v>294</v>
      </c>
      <c r="E36" s="57">
        <v>1</v>
      </c>
      <c r="F36" s="58">
        <v>39.130000000000003</v>
      </c>
      <c r="G36" s="58"/>
      <c r="H36" s="58">
        <v>0.08</v>
      </c>
      <c r="I36" s="58">
        <v>18.39</v>
      </c>
      <c r="J36" s="58">
        <v>0.35</v>
      </c>
      <c r="K36" s="58">
        <v>42.46</v>
      </c>
      <c r="L36" s="58">
        <v>0.38</v>
      </c>
      <c r="M36" s="58">
        <v>0.22</v>
      </c>
      <c r="N36" s="58"/>
      <c r="O36" s="58">
        <f t="shared" si="0"/>
        <v>101.00999999999999</v>
      </c>
      <c r="P36" s="59">
        <f t="shared" si="1"/>
        <v>80.455094955837069</v>
      </c>
      <c r="Q36" s="53"/>
      <c r="R36" s="158"/>
      <c r="S36" s="158"/>
      <c r="T36" s="158"/>
      <c r="U36" s="158"/>
      <c r="V36" s="158"/>
      <c r="W36" s="158"/>
      <c r="X36" s="158"/>
      <c r="Y36" s="158"/>
      <c r="Z36" s="158"/>
      <c r="AA36" s="158"/>
      <c r="AB36" s="158"/>
      <c r="AC36" s="54"/>
    </row>
    <row r="37" spans="1:29" s="48" customFormat="1" ht="13.15">
      <c r="A37" s="13" t="s">
        <v>132</v>
      </c>
      <c r="B37" s="41" t="s">
        <v>128</v>
      </c>
      <c r="C37" s="41" t="s">
        <v>130</v>
      </c>
      <c r="D37" s="261" t="s">
        <v>294</v>
      </c>
      <c r="E37" s="42">
        <v>1</v>
      </c>
      <c r="F37" s="39">
        <v>38.729999999999997</v>
      </c>
      <c r="G37" s="39"/>
      <c r="H37" s="39">
        <v>0.06</v>
      </c>
      <c r="I37" s="39">
        <v>17.64</v>
      </c>
      <c r="J37" s="39">
        <v>0.28000000000000003</v>
      </c>
      <c r="K37" s="39">
        <v>42.21</v>
      </c>
      <c r="L37" s="39">
        <v>0.33</v>
      </c>
      <c r="M37" s="39">
        <v>0.16</v>
      </c>
      <c r="N37" s="39">
        <v>0.05</v>
      </c>
      <c r="O37" s="39">
        <f t="shared" si="0"/>
        <v>99.46</v>
      </c>
      <c r="P37" s="43">
        <f t="shared" si="1"/>
        <v>81.01087953419102</v>
      </c>
      <c r="Q37" s="53"/>
      <c r="R37" s="159"/>
      <c r="S37" s="159"/>
      <c r="T37" s="159"/>
      <c r="U37" s="159"/>
      <c r="V37" s="159"/>
      <c r="W37" s="159"/>
      <c r="X37" s="159"/>
      <c r="Y37" s="159"/>
      <c r="Z37" s="159"/>
      <c r="AA37" s="159"/>
      <c r="AB37" s="159"/>
      <c r="AC37" s="54"/>
    </row>
    <row r="38" spans="1:29" s="48" customFormat="1" ht="13.15">
      <c r="A38" s="13" t="s">
        <v>133</v>
      </c>
      <c r="B38" s="41" t="s">
        <v>128</v>
      </c>
      <c r="C38" s="41" t="s">
        <v>130</v>
      </c>
      <c r="D38" s="261" t="s">
        <v>294</v>
      </c>
      <c r="E38" s="42">
        <v>1</v>
      </c>
      <c r="F38" s="39">
        <v>38.6</v>
      </c>
      <c r="G38" s="39">
        <v>0.05</v>
      </c>
      <c r="H38" s="39">
        <v>0.17</v>
      </c>
      <c r="I38" s="39">
        <v>16.920000000000002</v>
      </c>
      <c r="J38" s="39">
        <v>0.28000000000000003</v>
      </c>
      <c r="K38" s="39">
        <v>42.53</v>
      </c>
      <c r="L38" s="39">
        <v>0.25</v>
      </c>
      <c r="M38" s="39">
        <v>0.2</v>
      </c>
      <c r="N38" s="39"/>
      <c r="O38" s="39">
        <f t="shared" si="0"/>
        <v>99.000000000000014</v>
      </c>
      <c r="P38" s="43">
        <f t="shared" si="1"/>
        <v>81.756589991616408</v>
      </c>
      <c r="Q38" s="53"/>
      <c r="R38" s="159"/>
      <c r="S38" s="159"/>
      <c r="T38" s="159"/>
      <c r="U38" s="159"/>
      <c r="V38" s="159"/>
      <c r="W38" s="159"/>
      <c r="X38" s="159"/>
      <c r="Y38" s="159"/>
      <c r="Z38" s="159"/>
      <c r="AA38" s="159"/>
      <c r="AB38" s="159"/>
      <c r="AC38" s="54"/>
    </row>
    <row r="39" spans="1:29" s="48" customFormat="1" ht="13.15">
      <c r="A39" s="13" t="s">
        <v>135</v>
      </c>
      <c r="B39" s="41" t="s">
        <v>134</v>
      </c>
      <c r="C39" s="41" t="s">
        <v>130</v>
      </c>
      <c r="D39" s="261" t="s">
        <v>294</v>
      </c>
      <c r="E39" s="42">
        <v>2</v>
      </c>
      <c r="F39" s="39">
        <v>39.659999999999997</v>
      </c>
      <c r="G39" s="39"/>
      <c r="H39" s="39"/>
      <c r="I39" s="39">
        <v>16.86</v>
      </c>
      <c r="J39" s="39">
        <v>0.28000000000000003</v>
      </c>
      <c r="K39" s="39">
        <v>43.945</v>
      </c>
      <c r="L39" s="39">
        <v>0.34499999999999997</v>
      </c>
      <c r="M39" s="39"/>
      <c r="N39" s="39"/>
      <c r="O39" s="39">
        <f t="shared" si="0"/>
        <v>101.09</v>
      </c>
      <c r="P39" s="43">
        <f t="shared" si="1"/>
        <v>82.291514159356893</v>
      </c>
      <c r="Q39" s="53"/>
      <c r="R39" s="159">
        <v>0.33941125496954061</v>
      </c>
      <c r="S39" s="159"/>
      <c r="T39" s="159"/>
      <c r="U39" s="159">
        <v>5.6568542494922595E-2</v>
      </c>
      <c r="V39" s="159">
        <v>1.4142135623730925E-2</v>
      </c>
      <c r="W39" s="159">
        <v>0.12020815280171429</v>
      </c>
      <c r="X39" s="159">
        <v>2.1213203435596406E-2</v>
      </c>
      <c r="Y39" s="159"/>
      <c r="Z39" s="159"/>
      <c r="AA39" s="159">
        <v>0.54447222151363883</v>
      </c>
      <c r="AB39" s="159">
        <v>9.0357396561139489E-3</v>
      </c>
      <c r="AC39" s="54"/>
    </row>
    <row r="40" spans="1:29" s="48" customFormat="1" ht="13.15">
      <c r="A40" s="13" t="s">
        <v>136</v>
      </c>
      <c r="B40" s="41" t="s">
        <v>101</v>
      </c>
      <c r="C40" s="41" t="s">
        <v>130</v>
      </c>
      <c r="D40" s="261" t="s">
        <v>294</v>
      </c>
      <c r="E40" s="42">
        <v>3</v>
      </c>
      <c r="F40" s="39">
        <v>38.893333333333338</v>
      </c>
      <c r="G40" s="39"/>
      <c r="H40" s="39">
        <v>0.09</v>
      </c>
      <c r="I40" s="39">
        <v>16.72</v>
      </c>
      <c r="J40" s="39">
        <v>0.29333333333333339</v>
      </c>
      <c r="K40" s="39">
        <v>43.263333333333328</v>
      </c>
      <c r="L40" s="39">
        <v>0.3066666666666667</v>
      </c>
      <c r="M40" s="39">
        <v>0.22</v>
      </c>
      <c r="N40" s="39"/>
      <c r="O40" s="39">
        <f t="shared" si="0"/>
        <v>99.786666666666676</v>
      </c>
      <c r="P40" s="43">
        <f t="shared" si="1"/>
        <v>82.184956110543183</v>
      </c>
      <c r="Q40" s="53"/>
      <c r="R40" s="159">
        <v>0.22233608194202947</v>
      </c>
      <c r="S40" s="159"/>
      <c r="T40" s="159">
        <v>4.2426406871192847E-2</v>
      </c>
      <c r="U40" s="159">
        <v>8.6602540378443046E-2</v>
      </c>
      <c r="V40" s="159">
        <v>1.5275252316519456E-2</v>
      </c>
      <c r="W40" s="159">
        <v>0.54921155608138239</v>
      </c>
      <c r="X40" s="159">
        <v>4.5092497528228921E-2</v>
      </c>
      <c r="Y40" s="159">
        <v>1.4142135623730963E-2</v>
      </c>
      <c r="Z40" s="159"/>
      <c r="AA40" s="159">
        <v>0.90007407102601</v>
      </c>
      <c r="AB40" s="159">
        <v>0.18435754434793533</v>
      </c>
      <c r="AC40" s="54"/>
    </row>
    <row r="41" spans="1:29" s="48" customFormat="1" ht="13.15">
      <c r="A41" s="13" t="s">
        <v>137</v>
      </c>
      <c r="B41" s="41" t="s">
        <v>101</v>
      </c>
      <c r="C41" s="41" t="s">
        <v>130</v>
      </c>
      <c r="D41" s="261" t="s">
        <v>294</v>
      </c>
      <c r="E41" s="42">
        <v>1</v>
      </c>
      <c r="F41" s="39">
        <v>39.74</v>
      </c>
      <c r="G41" s="39"/>
      <c r="H41" s="39"/>
      <c r="I41" s="39">
        <v>18.059999999999999</v>
      </c>
      <c r="J41" s="39">
        <v>0.32</v>
      </c>
      <c r="K41" s="39">
        <v>43.65</v>
      </c>
      <c r="L41" s="39">
        <v>0.32</v>
      </c>
      <c r="M41" s="39">
        <v>0.23</v>
      </c>
      <c r="N41" s="39"/>
      <c r="O41" s="39">
        <f t="shared" si="0"/>
        <v>102.32</v>
      </c>
      <c r="P41" s="43">
        <f t="shared" si="1"/>
        <v>81.164474095387234</v>
      </c>
      <c r="Q41" s="53"/>
      <c r="R41" s="159"/>
      <c r="S41" s="159"/>
      <c r="T41" s="159"/>
      <c r="U41" s="159"/>
      <c r="V41" s="159"/>
      <c r="W41" s="159"/>
      <c r="X41" s="159"/>
      <c r="Y41" s="159"/>
      <c r="Z41" s="159"/>
      <c r="AA41" s="159"/>
      <c r="AB41" s="159"/>
      <c r="AC41" s="54"/>
    </row>
    <row r="42" spans="1:29" s="48" customFormat="1" ht="13.15">
      <c r="A42" s="13" t="s">
        <v>138</v>
      </c>
      <c r="B42" s="41" t="s">
        <v>101</v>
      </c>
      <c r="C42" s="41" t="s">
        <v>130</v>
      </c>
      <c r="D42" s="261" t="s">
        <v>294</v>
      </c>
      <c r="E42" s="42">
        <v>1</v>
      </c>
      <c r="F42" s="39">
        <v>38.950000000000003</v>
      </c>
      <c r="G42" s="39"/>
      <c r="H42" s="39"/>
      <c r="I42" s="39">
        <v>15.93</v>
      </c>
      <c r="J42" s="39">
        <v>0.25</v>
      </c>
      <c r="K42" s="39">
        <v>43.47</v>
      </c>
      <c r="L42" s="39">
        <v>0.3</v>
      </c>
      <c r="M42" s="39"/>
      <c r="N42" s="39"/>
      <c r="O42" s="39">
        <f t="shared" si="0"/>
        <v>98.899999999999991</v>
      </c>
      <c r="P42" s="43">
        <f t="shared" si="1"/>
        <v>82.950116703894793</v>
      </c>
      <c r="Q42" s="53"/>
      <c r="R42" s="159"/>
      <c r="S42" s="159"/>
      <c r="T42" s="159"/>
      <c r="U42" s="159"/>
      <c r="V42" s="159"/>
      <c r="W42" s="159"/>
      <c r="X42" s="159"/>
      <c r="Y42" s="159"/>
      <c r="Z42" s="159"/>
      <c r="AA42" s="159"/>
      <c r="AB42" s="159"/>
      <c r="AC42" s="54"/>
    </row>
    <row r="43" spans="1:29" s="48" customFormat="1" ht="13.15">
      <c r="A43" s="13" t="s">
        <v>139</v>
      </c>
      <c r="B43" s="41" t="s">
        <v>95</v>
      </c>
      <c r="C43" s="41" t="s">
        <v>130</v>
      </c>
      <c r="D43" s="261">
        <v>1</v>
      </c>
      <c r="E43" s="42">
        <v>2</v>
      </c>
      <c r="F43" s="39">
        <v>38.615000000000002</v>
      </c>
      <c r="G43" s="39"/>
      <c r="H43" s="39"/>
      <c r="I43" s="39">
        <v>20.835000000000001</v>
      </c>
      <c r="J43" s="39">
        <v>0.4</v>
      </c>
      <c r="K43" s="39">
        <v>40.275000000000006</v>
      </c>
      <c r="L43" s="39">
        <v>0.255</v>
      </c>
      <c r="M43" s="39"/>
      <c r="N43" s="39"/>
      <c r="O43" s="39">
        <f t="shared" si="0"/>
        <v>100.38</v>
      </c>
      <c r="P43" s="43">
        <f t="shared" si="1"/>
        <v>77.509818940958596</v>
      </c>
      <c r="Q43" s="53"/>
      <c r="R43" s="159">
        <v>0.23334523779155947</v>
      </c>
      <c r="S43" s="159"/>
      <c r="T43" s="159"/>
      <c r="U43" s="159">
        <v>3.5355339059327882E-2</v>
      </c>
      <c r="V43" s="159">
        <v>0.11313708498984726</v>
      </c>
      <c r="W43" s="159">
        <v>0.14849242404917559</v>
      </c>
      <c r="X43" s="159">
        <v>7.0710678118654814E-3</v>
      </c>
      <c r="Y43" s="159"/>
      <c r="Z43" s="159"/>
      <c r="AA43" s="159">
        <v>0.45254833995939081</v>
      </c>
      <c r="AB43" s="159">
        <v>9.3888617018106663E-2</v>
      </c>
      <c r="AC43" s="54"/>
    </row>
    <row r="44" spans="1:29" s="48" customFormat="1" ht="13.15">
      <c r="A44" s="13" t="s">
        <v>140</v>
      </c>
      <c r="B44" s="41" t="s">
        <v>95</v>
      </c>
      <c r="C44" s="41" t="s">
        <v>130</v>
      </c>
      <c r="D44" s="261">
        <v>1</v>
      </c>
      <c r="E44" s="42">
        <v>2</v>
      </c>
      <c r="F44" s="39">
        <v>38.480000000000004</v>
      </c>
      <c r="G44" s="39"/>
      <c r="H44" s="39"/>
      <c r="I44" s="39">
        <v>20.57</v>
      </c>
      <c r="J44" s="39">
        <v>0.47</v>
      </c>
      <c r="K44" s="39">
        <v>40.46</v>
      </c>
      <c r="L44" s="39">
        <v>0.24</v>
      </c>
      <c r="M44" s="39"/>
      <c r="N44" s="39"/>
      <c r="O44" s="39">
        <f t="shared" si="0"/>
        <v>100.22</v>
      </c>
      <c r="P44" s="43">
        <f t="shared" si="1"/>
        <v>77.811399397541024</v>
      </c>
      <c r="Q44" s="53"/>
      <c r="R44" s="159">
        <v>0.11313708498985021</v>
      </c>
      <c r="S44" s="159"/>
      <c r="T44" s="159"/>
      <c r="U44" s="159">
        <v>8.485281374238389E-2</v>
      </c>
      <c r="V44" s="159">
        <v>1.4142135623730925E-2</v>
      </c>
      <c r="W44" s="159">
        <v>0.35355339059327379</v>
      </c>
      <c r="X44" s="159">
        <v>0</v>
      </c>
      <c r="Y44" s="159"/>
      <c r="Z44" s="159"/>
      <c r="AA44" s="159">
        <v>0.36769552621700191</v>
      </c>
      <c r="AB44" s="159">
        <v>0.22218013407924631</v>
      </c>
      <c r="AC44" s="54"/>
    </row>
    <row r="45" spans="1:29" s="48" customFormat="1" ht="13.15">
      <c r="A45" s="13" t="s">
        <v>143</v>
      </c>
      <c r="B45" s="41" t="s">
        <v>95</v>
      </c>
      <c r="C45" s="41" t="s">
        <v>130</v>
      </c>
      <c r="D45" s="261">
        <v>2</v>
      </c>
      <c r="E45" s="42">
        <v>1</v>
      </c>
      <c r="F45" s="39">
        <v>38.64</v>
      </c>
      <c r="G45" s="39"/>
      <c r="H45" s="39"/>
      <c r="I45" s="39">
        <v>20.47</v>
      </c>
      <c r="J45" s="39">
        <v>0.46</v>
      </c>
      <c r="K45" s="39">
        <v>40.26</v>
      </c>
      <c r="L45" s="39">
        <v>0.25</v>
      </c>
      <c r="M45" s="39"/>
      <c r="N45" s="39"/>
      <c r="O45" s="39">
        <f t="shared" si="0"/>
        <v>100.08</v>
      </c>
      <c r="P45" s="43">
        <f t="shared" si="1"/>
        <v>77.809981757155526</v>
      </c>
      <c r="Q45" s="53"/>
      <c r="R45" s="159"/>
      <c r="S45" s="159"/>
      <c r="T45" s="159"/>
      <c r="U45" s="159"/>
      <c r="V45" s="159"/>
      <c r="W45" s="159"/>
      <c r="X45" s="159"/>
      <c r="Y45" s="159"/>
      <c r="Z45" s="159"/>
      <c r="AA45" s="159"/>
      <c r="AB45" s="159"/>
      <c r="AC45" s="54"/>
    </row>
    <row r="46" spans="1:29" s="48" customFormat="1" ht="13.15">
      <c r="A46" s="13" t="s">
        <v>144</v>
      </c>
      <c r="B46" s="41" t="s">
        <v>95</v>
      </c>
      <c r="C46" s="41" t="s">
        <v>130</v>
      </c>
      <c r="D46" s="261">
        <v>2</v>
      </c>
      <c r="E46" s="42">
        <v>1</v>
      </c>
      <c r="F46" s="39">
        <v>38.71</v>
      </c>
      <c r="G46" s="39"/>
      <c r="H46" s="39"/>
      <c r="I46" s="39">
        <v>20.37</v>
      </c>
      <c r="J46" s="39">
        <v>0.51</v>
      </c>
      <c r="K46" s="39">
        <v>40.450000000000003</v>
      </c>
      <c r="L46" s="39">
        <v>0.31</v>
      </c>
      <c r="M46" s="39"/>
      <c r="N46" s="39"/>
      <c r="O46" s="39">
        <f t="shared" si="0"/>
        <v>100.35</v>
      </c>
      <c r="P46" s="43">
        <f t="shared" ref="P46:P52" si="2">100*(K46/40.3/(K46/40.3+I46/71.85))</f>
        <v>77.975385831379157</v>
      </c>
      <c r="Q46" s="53"/>
      <c r="R46" s="159"/>
      <c r="S46" s="159"/>
      <c r="T46" s="159"/>
      <c r="U46" s="159"/>
      <c r="V46" s="159"/>
      <c r="W46" s="159"/>
      <c r="X46" s="159"/>
      <c r="Y46" s="159"/>
      <c r="Z46" s="159"/>
      <c r="AA46" s="159"/>
      <c r="AB46" s="159"/>
      <c r="AC46" s="54"/>
    </row>
    <row r="47" spans="1:29" s="48" customFormat="1" ht="13.15">
      <c r="A47" s="13" t="s">
        <v>145</v>
      </c>
      <c r="B47" s="41" t="s">
        <v>95</v>
      </c>
      <c r="C47" s="41" t="s">
        <v>130</v>
      </c>
      <c r="D47" s="261">
        <v>3</v>
      </c>
      <c r="E47" s="42">
        <v>1</v>
      </c>
      <c r="F47" s="39">
        <v>39.21</v>
      </c>
      <c r="G47" s="39"/>
      <c r="H47" s="39"/>
      <c r="I47" s="39">
        <v>17.66</v>
      </c>
      <c r="J47" s="39">
        <v>0.33</v>
      </c>
      <c r="K47" s="39">
        <v>42.71</v>
      </c>
      <c r="L47" s="39">
        <v>0.34</v>
      </c>
      <c r="M47" s="39">
        <v>0.2</v>
      </c>
      <c r="N47" s="39"/>
      <c r="O47" s="39">
        <f t="shared" si="0"/>
        <v>100.45</v>
      </c>
      <c r="P47" s="43">
        <f t="shared" si="2"/>
        <v>81.174060019656594</v>
      </c>
      <c r="Q47" s="53"/>
      <c r="R47" s="159"/>
      <c r="S47" s="159"/>
      <c r="T47" s="159"/>
      <c r="U47" s="159"/>
      <c r="V47" s="159"/>
      <c r="W47" s="159"/>
      <c r="X47" s="159"/>
      <c r="Y47" s="159"/>
      <c r="Z47" s="159"/>
      <c r="AA47" s="159"/>
      <c r="AB47" s="159"/>
      <c r="AC47" s="54"/>
    </row>
    <row r="48" spans="1:29" s="48" customFormat="1" ht="13.5" thickBot="1">
      <c r="A48" s="74" t="s">
        <v>146</v>
      </c>
      <c r="B48" s="66" t="s">
        <v>95</v>
      </c>
      <c r="C48" s="66" t="s">
        <v>130</v>
      </c>
      <c r="D48" s="262">
        <v>3</v>
      </c>
      <c r="E48" s="67">
        <v>1</v>
      </c>
      <c r="F48" s="62">
        <v>38.71</v>
      </c>
      <c r="G48" s="62"/>
      <c r="H48" s="62"/>
      <c r="I48" s="62">
        <v>17.2</v>
      </c>
      <c r="J48" s="62">
        <v>0.35</v>
      </c>
      <c r="K48" s="62">
        <v>42.26</v>
      </c>
      <c r="L48" s="62">
        <v>0.31</v>
      </c>
      <c r="M48" s="62">
        <v>0.2</v>
      </c>
      <c r="N48" s="62"/>
      <c r="O48" s="62">
        <f t="shared" si="0"/>
        <v>99.03</v>
      </c>
      <c r="P48" s="68">
        <f t="shared" si="2"/>
        <v>81.414334900729074</v>
      </c>
      <c r="Q48" s="31"/>
      <c r="R48" s="160"/>
      <c r="S48" s="160"/>
      <c r="T48" s="160"/>
      <c r="U48" s="160"/>
      <c r="V48" s="160"/>
      <c r="W48" s="160"/>
      <c r="X48" s="160"/>
      <c r="Y48" s="160"/>
      <c r="Z48" s="160"/>
      <c r="AA48" s="160"/>
      <c r="AB48" s="160"/>
      <c r="AC48" s="54"/>
    </row>
    <row r="49" spans="1:29" s="48" customFormat="1" ht="13.5" thickBot="1">
      <c r="A49" s="76" t="s">
        <v>142</v>
      </c>
      <c r="B49" s="69" t="s">
        <v>141</v>
      </c>
      <c r="C49" s="69" t="s">
        <v>130</v>
      </c>
      <c r="D49" s="263">
        <v>2</v>
      </c>
      <c r="E49" s="70">
        <v>2</v>
      </c>
      <c r="F49" s="71">
        <v>38.575000000000003</v>
      </c>
      <c r="G49" s="71">
        <v>0.1</v>
      </c>
      <c r="H49" s="71">
        <v>0.08</v>
      </c>
      <c r="I49" s="71">
        <v>18.3</v>
      </c>
      <c r="J49" s="71">
        <v>0.35499999999999998</v>
      </c>
      <c r="K49" s="71">
        <v>41.61</v>
      </c>
      <c r="L49" s="71">
        <v>0.51500000000000001</v>
      </c>
      <c r="M49" s="71">
        <v>0.2</v>
      </c>
      <c r="N49" s="71"/>
      <c r="O49" s="71">
        <f t="shared" si="0"/>
        <v>99.735000000000014</v>
      </c>
      <c r="P49" s="72">
        <f>100*(K49/40.3/(K49/40.3+I49/71.85))</f>
        <v>80.21312961836847</v>
      </c>
      <c r="Q49" s="73"/>
      <c r="R49" s="161">
        <v>0.43133513652379357</v>
      </c>
      <c r="S49" s="161"/>
      <c r="T49" s="161"/>
      <c r="U49" s="161">
        <v>5.6568542494922595E-2</v>
      </c>
      <c r="V49" s="161">
        <v>3.5355339059327369E-2</v>
      </c>
      <c r="W49" s="161">
        <v>1.0748023074035495</v>
      </c>
      <c r="X49" s="161">
        <v>7.0710678118654814E-3</v>
      </c>
      <c r="Y49" s="161"/>
      <c r="Z49" s="161"/>
      <c r="AA49" s="161">
        <v>1.308147545195119</v>
      </c>
      <c r="AB49" s="161">
        <v>0.36114311512379654</v>
      </c>
      <c r="AC49" s="54"/>
    </row>
    <row r="50" spans="1:29" s="48" customFormat="1" ht="13.15">
      <c r="A50" s="75" t="s">
        <v>148</v>
      </c>
      <c r="B50" s="56" t="s">
        <v>147</v>
      </c>
      <c r="C50" s="56" t="s">
        <v>130</v>
      </c>
      <c r="D50" s="260" t="s">
        <v>294</v>
      </c>
      <c r="E50" s="57">
        <v>1</v>
      </c>
      <c r="F50" s="58">
        <v>37.08</v>
      </c>
      <c r="G50" s="58">
        <v>7.0000000000000007E-2</v>
      </c>
      <c r="H50" s="58">
        <v>0.1</v>
      </c>
      <c r="I50" s="58">
        <v>25.43</v>
      </c>
      <c r="J50" s="58">
        <v>0.76</v>
      </c>
      <c r="K50" s="58">
        <v>35.22</v>
      </c>
      <c r="L50" s="58">
        <v>0.64</v>
      </c>
      <c r="M50" s="58"/>
      <c r="N50" s="58"/>
      <c r="O50" s="58">
        <f t="shared" si="0"/>
        <v>99.3</v>
      </c>
      <c r="P50" s="59">
        <f t="shared" si="2"/>
        <v>71.175309797585982</v>
      </c>
      <c r="Q50" s="53"/>
      <c r="R50" s="65"/>
      <c r="S50" s="65"/>
      <c r="T50" s="65"/>
      <c r="U50" s="65"/>
      <c r="V50" s="65"/>
      <c r="W50" s="65"/>
      <c r="X50" s="65"/>
      <c r="Y50" s="65"/>
      <c r="Z50" s="65"/>
      <c r="AA50" s="65"/>
      <c r="AB50" s="65"/>
      <c r="AC50" s="54"/>
    </row>
    <row r="51" spans="1:29" s="48" customFormat="1" ht="13.15">
      <c r="A51" s="13" t="s">
        <v>150</v>
      </c>
      <c r="B51" s="41" t="s">
        <v>149</v>
      </c>
      <c r="C51" s="41" t="s">
        <v>130</v>
      </c>
      <c r="D51" s="261" t="s">
        <v>294</v>
      </c>
      <c r="E51" s="42">
        <v>1</v>
      </c>
      <c r="F51" s="39">
        <v>35.450000000000003</v>
      </c>
      <c r="G51" s="39">
        <v>0.11</v>
      </c>
      <c r="H51" s="39">
        <v>0.11</v>
      </c>
      <c r="I51" s="39">
        <v>35.200000000000003</v>
      </c>
      <c r="J51" s="39">
        <v>1.1599999999999999</v>
      </c>
      <c r="K51" s="39">
        <v>26.78</v>
      </c>
      <c r="L51" s="39">
        <v>0.57999999999999996</v>
      </c>
      <c r="M51" s="39"/>
      <c r="N51" s="39"/>
      <c r="O51" s="39">
        <f t="shared" si="0"/>
        <v>99.39</v>
      </c>
      <c r="P51" s="43">
        <f t="shared" si="2"/>
        <v>57.562487603595059</v>
      </c>
      <c r="Q51" s="53"/>
      <c r="R51" s="33"/>
      <c r="S51" s="33"/>
      <c r="T51" s="33"/>
      <c r="U51" s="33"/>
      <c r="V51" s="33"/>
      <c r="W51" s="33"/>
      <c r="X51" s="33"/>
      <c r="Y51" s="33"/>
      <c r="Z51" s="33"/>
      <c r="AA51" s="33"/>
      <c r="AB51" s="33"/>
      <c r="AC51" s="54"/>
    </row>
    <row r="52" spans="1:29" s="48" customFormat="1" ht="13.15">
      <c r="A52" s="13" t="s">
        <v>152</v>
      </c>
      <c r="B52" s="41" t="s">
        <v>151</v>
      </c>
      <c r="C52" s="41" t="s">
        <v>130</v>
      </c>
      <c r="D52" s="261" t="s">
        <v>294</v>
      </c>
      <c r="E52" s="42">
        <v>1</v>
      </c>
      <c r="F52" s="39">
        <v>35.369999999999997</v>
      </c>
      <c r="G52" s="39">
        <v>0.11</v>
      </c>
      <c r="H52" s="39"/>
      <c r="I52" s="39">
        <v>33.86</v>
      </c>
      <c r="J52" s="39">
        <v>1.03</v>
      </c>
      <c r="K52" s="39">
        <v>28.15</v>
      </c>
      <c r="L52" s="39">
        <v>0.56999999999999995</v>
      </c>
      <c r="M52" s="39"/>
      <c r="N52" s="39"/>
      <c r="O52" s="39">
        <f t="shared" si="0"/>
        <v>99.09</v>
      </c>
      <c r="P52" s="43">
        <f t="shared" si="2"/>
        <v>59.713510132677008</v>
      </c>
      <c r="Q52" s="53"/>
      <c r="R52" s="33"/>
      <c r="S52" s="33"/>
      <c r="T52" s="33"/>
      <c r="U52" s="33"/>
      <c r="V52" s="33"/>
      <c r="W52" s="33"/>
      <c r="X52" s="33"/>
      <c r="Y52" s="33"/>
      <c r="Z52" s="33"/>
      <c r="AA52" s="33"/>
      <c r="AB52" s="33"/>
      <c r="AC52" s="54"/>
    </row>
    <row r="53" spans="1:29" s="1" customFormat="1">
      <c r="A53" s="44"/>
    </row>
    <row r="54" spans="1:29" s="1" customFormat="1">
      <c r="A54" s="44"/>
    </row>
    <row r="55" spans="1:29" s="1" customFormat="1">
      <c r="A55" s="44"/>
    </row>
  </sheetData>
  <pageMargins left="0.7" right="0.7" top="0.75" bottom="0.75" header="0.3" footer="0.3"/>
  <pageSetup paperSize="9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O34"/>
  <sheetViews>
    <sheetView zoomScale="40" zoomScaleNormal="40" workbookViewId="0">
      <pane xSplit="5" ySplit="7" topLeftCell="F8" activePane="bottomRight" state="frozen"/>
      <selection pane="topRight" activeCell="F1" sqref="F1"/>
      <selection pane="bottomLeft" activeCell="A8" sqref="A8"/>
      <selection pane="bottomRight" activeCell="C45" sqref="C45"/>
    </sheetView>
  </sheetViews>
  <sheetFormatPr defaultRowHeight="14.25"/>
  <cols>
    <col min="1" max="1" width="13.86328125" customWidth="1"/>
    <col min="2" max="2" width="19.1328125" customWidth="1"/>
    <col min="3" max="3" width="24.53125" customWidth="1"/>
    <col min="4" max="4" width="10.6640625" customWidth="1"/>
    <col min="6" max="6" width="9.53125" customWidth="1"/>
    <col min="31" max="31" width="14.46484375" style="19" customWidth="1"/>
  </cols>
  <sheetData>
    <row r="1" spans="1:67" s="3" customFormat="1">
      <c r="A1" s="100" t="s">
        <v>453</v>
      </c>
      <c r="AE1" s="194"/>
    </row>
    <row r="2" spans="1:67" s="3" customFormat="1">
      <c r="AE2" s="194"/>
    </row>
    <row r="3" spans="1:67" s="3" customFormat="1">
      <c r="AE3" s="194"/>
    </row>
    <row r="4" spans="1:67" s="94" customFormat="1" ht="13.15">
      <c r="G4" s="95"/>
      <c r="H4" s="95"/>
      <c r="I4" s="95"/>
      <c r="J4" s="95"/>
      <c r="K4" s="95"/>
      <c r="L4" s="95"/>
      <c r="M4" s="95"/>
      <c r="N4" s="95"/>
      <c r="O4" s="95"/>
      <c r="P4" s="95"/>
      <c r="Q4" s="95"/>
      <c r="R4" s="95"/>
      <c r="AE4" s="91"/>
      <c r="AG4" s="195"/>
      <c r="AH4" s="195"/>
      <c r="AI4" s="195"/>
      <c r="AJ4" s="195"/>
      <c r="AK4" s="195"/>
      <c r="AL4" s="195"/>
      <c r="AM4" s="195"/>
      <c r="AN4" s="195"/>
      <c r="AO4" s="195"/>
      <c r="AP4" s="195"/>
      <c r="AQ4" s="195"/>
      <c r="AR4" s="195"/>
      <c r="AS4" s="195"/>
      <c r="AT4" s="195"/>
      <c r="AU4" s="195"/>
      <c r="AV4" s="195"/>
      <c r="AW4" s="195"/>
      <c r="AX4" s="195"/>
      <c r="AY4" s="195"/>
      <c r="AZ4" s="195"/>
      <c r="BA4" s="195"/>
      <c r="BB4" s="195"/>
      <c r="BC4" s="195"/>
      <c r="BD4" s="195"/>
      <c r="BE4" s="195"/>
      <c r="BF4" s="195"/>
      <c r="BG4" s="195"/>
      <c r="BH4" s="195"/>
      <c r="BI4" s="195"/>
      <c r="BJ4" s="195"/>
      <c r="BK4" s="195"/>
      <c r="BL4" s="195"/>
      <c r="BM4" s="195"/>
    </row>
    <row r="5" spans="1:67" s="94" customFormat="1" ht="13.15">
      <c r="A5" s="91"/>
      <c r="B5" s="91"/>
      <c r="C5" s="91"/>
      <c r="D5" s="91"/>
      <c r="E5" s="91"/>
      <c r="F5" s="91"/>
      <c r="G5" s="92"/>
      <c r="H5" s="92"/>
      <c r="I5" s="92"/>
      <c r="J5" s="92"/>
      <c r="K5" s="92"/>
      <c r="L5" s="92"/>
      <c r="M5" s="92"/>
      <c r="N5" s="92"/>
      <c r="O5" s="92"/>
      <c r="P5" s="92"/>
      <c r="Q5" s="92"/>
      <c r="R5" s="92"/>
      <c r="S5" s="91"/>
      <c r="T5" s="91"/>
      <c r="U5" s="91"/>
      <c r="V5" s="91"/>
      <c r="W5" s="91"/>
      <c r="X5" s="91"/>
      <c r="Y5" s="91"/>
      <c r="Z5" s="91"/>
      <c r="AA5" s="91"/>
      <c r="AB5" s="91"/>
      <c r="AC5" s="91"/>
      <c r="AD5" s="91"/>
      <c r="AE5" s="91"/>
      <c r="AF5" s="91"/>
      <c r="AG5" s="91"/>
      <c r="AH5" s="91"/>
      <c r="AI5" s="91"/>
      <c r="AJ5" s="91"/>
      <c r="AK5" s="91"/>
      <c r="AL5" s="91"/>
      <c r="AM5" s="91"/>
      <c r="AN5" s="91"/>
      <c r="AO5" s="91"/>
      <c r="AP5" s="91"/>
      <c r="AQ5" s="91"/>
      <c r="AR5" s="91"/>
      <c r="AS5" s="91"/>
      <c r="AT5" s="91"/>
      <c r="AU5" s="91"/>
      <c r="AV5" s="91"/>
      <c r="AW5" s="91"/>
      <c r="AX5" s="91"/>
      <c r="AY5" s="91"/>
      <c r="AZ5" s="91"/>
      <c r="BA5" s="91"/>
      <c r="BB5" s="91"/>
      <c r="BC5" s="91"/>
      <c r="BD5" s="91"/>
      <c r="BE5" s="91"/>
      <c r="BF5" s="91"/>
      <c r="BG5" s="91"/>
      <c r="BH5" s="91"/>
      <c r="BI5" s="91"/>
      <c r="BJ5" s="91"/>
      <c r="BK5" s="91"/>
      <c r="BL5" s="91"/>
      <c r="BM5" s="91"/>
    </row>
    <row r="6" spans="1:67" s="94" customFormat="1" ht="13.15">
      <c r="G6" s="95"/>
      <c r="H6" s="95"/>
      <c r="I6" s="95"/>
      <c r="J6" s="95"/>
      <c r="K6" s="95"/>
      <c r="L6" s="95"/>
      <c r="M6" s="95"/>
      <c r="N6" s="95"/>
      <c r="O6" s="95"/>
      <c r="P6" s="95"/>
      <c r="Q6" s="95"/>
      <c r="R6" s="95"/>
      <c r="T6" s="196" t="s">
        <v>332</v>
      </c>
      <c r="U6" s="196" t="s">
        <v>332</v>
      </c>
      <c r="V6" s="196" t="s">
        <v>332</v>
      </c>
      <c r="W6" s="196" t="s">
        <v>332</v>
      </c>
      <c r="X6" s="196" t="s">
        <v>332</v>
      </c>
      <c r="Y6" s="196" t="s">
        <v>332</v>
      </c>
      <c r="Z6" s="196" t="s">
        <v>332</v>
      </c>
      <c r="AA6" s="196" t="s">
        <v>332</v>
      </c>
      <c r="AB6" s="196" t="s">
        <v>332</v>
      </c>
      <c r="AC6" s="196" t="s">
        <v>332</v>
      </c>
      <c r="AE6" s="91"/>
      <c r="AG6" s="94" t="s">
        <v>333</v>
      </c>
      <c r="AH6" s="94" t="s">
        <v>333</v>
      </c>
      <c r="AI6" s="94" t="s">
        <v>333</v>
      </c>
      <c r="AJ6" s="94" t="s">
        <v>333</v>
      </c>
      <c r="AK6" s="94" t="s">
        <v>333</v>
      </c>
      <c r="AL6" s="94" t="s">
        <v>333</v>
      </c>
      <c r="AM6" s="94" t="s">
        <v>333</v>
      </c>
      <c r="AN6" s="94" t="s">
        <v>333</v>
      </c>
      <c r="AO6" s="94" t="s">
        <v>333</v>
      </c>
      <c r="AP6" s="94" t="s">
        <v>333</v>
      </c>
      <c r="AQ6" s="94" t="s">
        <v>333</v>
      </c>
      <c r="AR6" s="94" t="s">
        <v>333</v>
      </c>
      <c r="AS6" s="94" t="s">
        <v>333</v>
      </c>
      <c r="AT6" s="94" t="s">
        <v>333</v>
      </c>
      <c r="AU6" s="94" t="s">
        <v>333</v>
      </c>
      <c r="AV6" s="94" t="s">
        <v>333</v>
      </c>
      <c r="AW6" s="94" t="s">
        <v>333</v>
      </c>
      <c r="AX6" s="94" t="s">
        <v>333</v>
      </c>
      <c r="AY6" s="94" t="s">
        <v>333</v>
      </c>
      <c r="AZ6" s="94" t="s">
        <v>333</v>
      </c>
      <c r="BA6" s="94" t="s">
        <v>333</v>
      </c>
      <c r="BB6" s="94" t="s">
        <v>333</v>
      </c>
      <c r="BC6" s="94" t="s">
        <v>333</v>
      </c>
      <c r="BD6" s="94" t="s">
        <v>333</v>
      </c>
      <c r="BE6" s="94" t="s">
        <v>333</v>
      </c>
      <c r="BF6" s="94" t="s">
        <v>333</v>
      </c>
      <c r="BG6" s="94" t="s">
        <v>333</v>
      </c>
      <c r="BH6" s="94" t="s">
        <v>333</v>
      </c>
      <c r="BI6" s="94" t="s">
        <v>333</v>
      </c>
      <c r="BJ6" s="94" t="s">
        <v>333</v>
      </c>
      <c r="BK6" s="94" t="s">
        <v>333</v>
      </c>
      <c r="BL6" s="94" t="s">
        <v>333</v>
      </c>
      <c r="BM6" s="94" t="s">
        <v>333</v>
      </c>
    </row>
    <row r="7" spans="1:67" s="218" customFormat="1" ht="105" customHeight="1" thickBot="1">
      <c r="A7" s="105" t="s">
        <v>412</v>
      </c>
      <c r="B7" s="80" t="s">
        <v>334</v>
      </c>
      <c r="C7" s="80" t="s">
        <v>335</v>
      </c>
      <c r="D7" s="34" t="s">
        <v>461</v>
      </c>
      <c r="E7" s="105" t="s">
        <v>337</v>
      </c>
      <c r="F7" s="35" t="s">
        <v>72</v>
      </c>
      <c r="G7" s="35" t="s">
        <v>73</v>
      </c>
      <c r="H7" s="35" t="s">
        <v>74</v>
      </c>
      <c r="I7" s="35" t="s">
        <v>75</v>
      </c>
      <c r="J7" s="35" t="s">
        <v>76</v>
      </c>
      <c r="K7" s="35" t="s">
        <v>77</v>
      </c>
      <c r="L7" s="35" t="s">
        <v>78</v>
      </c>
      <c r="M7" s="35" t="s">
        <v>409</v>
      </c>
      <c r="N7" s="35" t="s">
        <v>80</v>
      </c>
      <c r="O7" s="35" t="s">
        <v>79</v>
      </c>
      <c r="P7" s="35" t="s">
        <v>411</v>
      </c>
      <c r="Q7" s="35" t="s">
        <v>93</v>
      </c>
      <c r="R7" s="35" t="s">
        <v>460</v>
      </c>
      <c r="S7" s="216"/>
      <c r="T7" s="212" t="s">
        <v>72</v>
      </c>
      <c r="U7" s="212" t="s">
        <v>73</v>
      </c>
      <c r="V7" s="212" t="s">
        <v>74</v>
      </c>
      <c r="W7" s="212" t="s">
        <v>75</v>
      </c>
      <c r="X7" s="212" t="s">
        <v>76</v>
      </c>
      <c r="Y7" s="212" t="s">
        <v>77</v>
      </c>
      <c r="Z7" s="212" t="s">
        <v>78</v>
      </c>
      <c r="AA7" s="212" t="s">
        <v>409</v>
      </c>
      <c r="AB7" s="212" t="s">
        <v>80</v>
      </c>
      <c r="AC7" s="212" t="s">
        <v>79</v>
      </c>
      <c r="AD7" s="217"/>
      <c r="AE7" s="80" t="s">
        <v>423</v>
      </c>
      <c r="AF7" s="80" t="s">
        <v>338</v>
      </c>
      <c r="AG7" s="80" t="s">
        <v>40</v>
      </c>
      <c r="AH7" s="80" t="s">
        <v>18</v>
      </c>
      <c r="AI7" s="80" t="s">
        <v>46</v>
      </c>
      <c r="AJ7" s="80" t="s">
        <v>50</v>
      </c>
      <c r="AK7" s="80" t="s">
        <v>35</v>
      </c>
      <c r="AL7" s="80" t="s">
        <v>44</v>
      </c>
      <c r="AM7" s="80" t="s">
        <v>31</v>
      </c>
      <c r="AN7" s="80" t="s">
        <v>20</v>
      </c>
      <c r="AO7" s="80" t="s">
        <v>413</v>
      </c>
      <c r="AP7" s="80" t="s">
        <v>39</v>
      </c>
      <c r="AQ7" s="80" t="s">
        <v>414</v>
      </c>
      <c r="AR7" s="80" t="s">
        <v>43</v>
      </c>
      <c r="AS7" s="80" t="s">
        <v>42</v>
      </c>
      <c r="AT7" s="80" t="s">
        <v>56</v>
      </c>
      <c r="AU7" s="80" t="s">
        <v>415</v>
      </c>
      <c r="AV7" s="80" t="s">
        <v>27</v>
      </c>
      <c r="AW7" s="80" t="s">
        <v>47</v>
      </c>
      <c r="AX7" s="80" t="s">
        <v>28</v>
      </c>
      <c r="AY7" s="80" t="s">
        <v>45</v>
      </c>
      <c r="AZ7" s="80" t="s">
        <v>416</v>
      </c>
      <c r="BA7" s="80" t="s">
        <v>30</v>
      </c>
      <c r="BB7" s="80" t="s">
        <v>53</v>
      </c>
      <c r="BC7" s="80" t="s">
        <v>417</v>
      </c>
      <c r="BD7" s="80" t="s">
        <v>418</v>
      </c>
      <c r="BE7" s="80" t="s">
        <v>33</v>
      </c>
      <c r="BF7" s="80" t="s">
        <v>419</v>
      </c>
      <c r="BG7" s="80" t="s">
        <v>41</v>
      </c>
      <c r="BH7" s="80" t="s">
        <v>21</v>
      </c>
      <c r="BI7" s="80" t="s">
        <v>51</v>
      </c>
      <c r="BJ7" s="80" t="s">
        <v>420</v>
      </c>
      <c r="BK7" s="80" t="s">
        <v>339</v>
      </c>
      <c r="BL7" s="80" t="s">
        <v>421</v>
      </c>
      <c r="BM7" s="80" t="s">
        <v>422</v>
      </c>
    </row>
    <row r="8" spans="1:67" s="172" customFormat="1" ht="14.25" customHeight="1">
      <c r="A8" s="94" t="s">
        <v>340</v>
      </c>
      <c r="B8" s="94" t="s">
        <v>311</v>
      </c>
      <c r="C8" s="94" t="s">
        <v>424</v>
      </c>
      <c r="D8" s="95" t="s">
        <v>294</v>
      </c>
      <c r="E8" s="197">
        <v>2</v>
      </c>
      <c r="F8" s="87">
        <v>48.094999999999999</v>
      </c>
      <c r="G8" s="87">
        <v>1.75</v>
      </c>
      <c r="H8" s="87">
        <v>5.4250000000000007</v>
      </c>
      <c r="I8" s="87">
        <v>9.6950000000000003</v>
      </c>
      <c r="J8" s="87">
        <v>0.41000000000000003</v>
      </c>
      <c r="K8" s="87">
        <v>11.5</v>
      </c>
      <c r="L8" s="87">
        <v>21.604999999999997</v>
      </c>
      <c r="M8" s="87">
        <v>1</v>
      </c>
      <c r="N8" s="87"/>
      <c r="O8" s="87"/>
      <c r="P8" s="87">
        <v>99.47999999999999</v>
      </c>
      <c r="Q8" s="198">
        <v>67.884147487373824</v>
      </c>
      <c r="R8" s="197">
        <f>100*L8/H8</f>
        <v>398.24884792626716</v>
      </c>
      <c r="S8" s="87"/>
      <c r="T8" s="213">
        <v>7.7781745930519827E-2</v>
      </c>
      <c r="U8" s="214">
        <v>4.2426406871192889E-2</v>
      </c>
      <c r="V8" s="214">
        <v>3.5355339059327251E-2</v>
      </c>
      <c r="W8" s="214">
        <v>6.3639610306789177E-2</v>
      </c>
      <c r="X8" s="214">
        <v>5.6568542494923817E-2</v>
      </c>
      <c r="Y8" s="214">
        <v>5.6568542494922595E-2</v>
      </c>
      <c r="Z8" s="214">
        <v>3.5355339059327882E-2</v>
      </c>
      <c r="AA8" s="214">
        <v>7.0710678118654821E-2</v>
      </c>
      <c r="AB8" s="214"/>
      <c r="AC8" s="214"/>
      <c r="AD8" s="94"/>
      <c r="AE8" s="91" t="s">
        <v>341</v>
      </c>
      <c r="AF8" s="199" t="s">
        <v>404</v>
      </c>
      <c r="AG8" s="94">
        <v>6.4000000000000001E-2</v>
      </c>
      <c r="AH8" s="94"/>
      <c r="AI8" s="192">
        <v>0.224</v>
      </c>
      <c r="AJ8" s="192">
        <v>2.63E-2</v>
      </c>
      <c r="AK8" s="192">
        <v>2.4</v>
      </c>
      <c r="AL8" s="192">
        <v>0.43099999999999999</v>
      </c>
      <c r="AM8" s="192">
        <v>23.82</v>
      </c>
      <c r="AN8" s="192">
        <v>65.81</v>
      </c>
      <c r="AO8" s="192">
        <v>0.183</v>
      </c>
      <c r="AP8" s="192">
        <v>9.24</v>
      </c>
      <c r="AQ8" s="192">
        <v>41.35</v>
      </c>
      <c r="AR8" s="192">
        <v>130.15</v>
      </c>
      <c r="AS8" s="192">
        <v>8.82</v>
      </c>
      <c r="AT8" s="173">
        <v>426.15</v>
      </c>
      <c r="AU8" s="94">
        <v>12.45</v>
      </c>
      <c r="AV8" s="94">
        <v>2.62</v>
      </c>
      <c r="AW8" s="173">
        <v>10411.64</v>
      </c>
      <c r="AX8" s="192">
        <v>7.24</v>
      </c>
      <c r="AY8" s="192">
        <v>1.0229999999999999</v>
      </c>
      <c r="AZ8" s="192">
        <v>5.69</v>
      </c>
      <c r="BA8" s="192">
        <v>1.0449999999999999</v>
      </c>
      <c r="BB8" s="192">
        <v>26.26</v>
      </c>
      <c r="BC8" s="192">
        <v>2.5</v>
      </c>
      <c r="BD8" s="192">
        <v>2.61</v>
      </c>
      <c r="BE8" s="192">
        <v>0.39100000000000001</v>
      </c>
      <c r="BF8" s="193">
        <v>19.46</v>
      </c>
      <c r="BG8" s="193">
        <v>32.99</v>
      </c>
      <c r="BH8" s="193">
        <v>24.81</v>
      </c>
      <c r="BI8" s="193">
        <v>207.47</v>
      </c>
      <c r="BJ8" s="173">
        <v>66398.009999999995</v>
      </c>
      <c r="BK8" s="173">
        <v>59584.06</v>
      </c>
      <c r="BL8" s="173">
        <v>26473.1</v>
      </c>
      <c r="BM8" s="173">
        <v>204155.22</v>
      </c>
    </row>
    <row r="9" spans="1:67" s="172" customFormat="1" ht="13.15">
      <c r="A9" s="94" t="s">
        <v>342</v>
      </c>
      <c r="B9" s="94" t="s">
        <v>311</v>
      </c>
      <c r="C9" s="94" t="s">
        <v>424</v>
      </c>
      <c r="D9" s="95" t="s">
        <v>294</v>
      </c>
      <c r="E9" s="197">
        <v>2</v>
      </c>
      <c r="F9" s="87">
        <v>50.534999999999997</v>
      </c>
      <c r="G9" s="87">
        <v>1.2850000000000001</v>
      </c>
      <c r="H9" s="87">
        <v>4.1050000000000004</v>
      </c>
      <c r="I9" s="87">
        <v>8.745000000000001</v>
      </c>
      <c r="J9" s="87">
        <v>0.39</v>
      </c>
      <c r="K9" s="87">
        <v>12.754999999999999</v>
      </c>
      <c r="L9" s="87">
        <v>21.835000000000001</v>
      </c>
      <c r="M9" s="87">
        <v>1.06</v>
      </c>
      <c r="N9" s="87"/>
      <c r="O9" s="87"/>
      <c r="P9" s="87">
        <v>100.71000000000001</v>
      </c>
      <c r="Q9" s="198">
        <v>72.215116485513519</v>
      </c>
      <c r="R9" s="197">
        <f t="shared" ref="R9:R30" si="0">100*L9/H9</f>
        <v>531.91230207064552</v>
      </c>
      <c r="S9" s="87"/>
      <c r="T9" s="209">
        <v>0.38890872965260415</v>
      </c>
      <c r="U9" s="207">
        <v>7.0710678118654814E-3</v>
      </c>
      <c r="V9" s="207">
        <v>0.2050609665440988</v>
      </c>
      <c r="W9" s="207">
        <v>0.40305086527633105</v>
      </c>
      <c r="X9" s="207">
        <v>1.4142135623730963E-2</v>
      </c>
      <c r="Y9" s="207">
        <v>7.778174593052109E-2</v>
      </c>
      <c r="Z9" s="207">
        <v>0.16263455967290624</v>
      </c>
      <c r="AA9" s="207">
        <v>7.0710678118654821E-2</v>
      </c>
      <c r="AB9" s="207"/>
      <c r="AC9" s="207"/>
      <c r="AD9" s="94"/>
      <c r="AE9" s="91" t="s">
        <v>343</v>
      </c>
      <c r="AF9" s="199" t="s">
        <v>404</v>
      </c>
      <c r="AG9" s="94"/>
      <c r="AH9" s="94">
        <v>0.47</v>
      </c>
      <c r="AI9" s="192">
        <v>0.35599999999999998</v>
      </c>
      <c r="AJ9" s="192">
        <v>4.3099999999999999E-2</v>
      </c>
      <c r="AK9" s="192">
        <v>2.2000000000000002</v>
      </c>
      <c r="AL9" s="192">
        <v>0.59099999999999997</v>
      </c>
      <c r="AM9" s="192">
        <v>31.75</v>
      </c>
      <c r="AN9" s="192">
        <v>86.62</v>
      </c>
      <c r="AO9" s="192">
        <v>0.26200000000000001</v>
      </c>
      <c r="AP9" s="192">
        <v>12.11</v>
      </c>
      <c r="AQ9" s="192">
        <v>52.94</v>
      </c>
      <c r="AR9" s="192">
        <v>107.43</v>
      </c>
      <c r="AS9" s="192">
        <v>11.38</v>
      </c>
      <c r="AT9" s="173">
        <v>391.98</v>
      </c>
      <c r="AU9" s="94">
        <v>11.94</v>
      </c>
      <c r="AV9" s="94">
        <v>3.04</v>
      </c>
      <c r="AW9" s="173">
        <v>7720.9</v>
      </c>
      <c r="AX9" s="192">
        <v>9.02</v>
      </c>
      <c r="AY9" s="192">
        <v>1.3160000000000001</v>
      </c>
      <c r="AZ9" s="192">
        <v>7.34</v>
      </c>
      <c r="BA9" s="192">
        <v>1.351</v>
      </c>
      <c r="BB9" s="192">
        <v>33.18</v>
      </c>
      <c r="BC9" s="192">
        <v>3.39</v>
      </c>
      <c r="BD9" s="192">
        <v>3.08</v>
      </c>
      <c r="BE9" s="192">
        <v>0.47599999999999998</v>
      </c>
      <c r="BF9" s="193">
        <v>41.42</v>
      </c>
      <c r="BG9" s="193">
        <v>39.880000000000003</v>
      </c>
      <c r="BH9" s="193">
        <v>26.16</v>
      </c>
      <c r="BI9" s="193">
        <v>184.22</v>
      </c>
      <c r="BJ9" s="173">
        <v>58104.34</v>
      </c>
      <c r="BK9" s="173">
        <v>66579.77</v>
      </c>
      <c r="BL9" s="173">
        <v>20027.509999999998</v>
      </c>
      <c r="BM9" s="173">
        <v>209397.41</v>
      </c>
      <c r="BN9" s="171"/>
      <c r="BO9" s="171"/>
    </row>
    <row r="10" spans="1:67" s="172" customFormat="1" ht="13.15">
      <c r="A10" s="94" t="s">
        <v>344</v>
      </c>
      <c r="B10" s="94" t="s">
        <v>311</v>
      </c>
      <c r="C10" s="94" t="s">
        <v>424</v>
      </c>
      <c r="D10" s="95" t="s">
        <v>294</v>
      </c>
      <c r="E10" s="197">
        <v>2</v>
      </c>
      <c r="F10" s="87">
        <v>48.099999999999994</v>
      </c>
      <c r="G10" s="87">
        <v>2.1850000000000001</v>
      </c>
      <c r="H10" s="87">
        <v>5.9350000000000005</v>
      </c>
      <c r="I10" s="87">
        <v>8.0749999999999993</v>
      </c>
      <c r="J10" s="87">
        <v>0.36499999999999999</v>
      </c>
      <c r="K10" s="87">
        <v>12.545</v>
      </c>
      <c r="L10" s="87">
        <v>21.52</v>
      </c>
      <c r="M10" s="87">
        <v>0.85499999999999998</v>
      </c>
      <c r="N10" s="87"/>
      <c r="O10" s="87"/>
      <c r="P10" s="87">
        <v>99.58</v>
      </c>
      <c r="Q10" s="198">
        <v>73.463457236581661</v>
      </c>
      <c r="R10" s="197">
        <f t="shared" si="0"/>
        <v>362.59477674810444</v>
      </c>
      <c r="S10" s="87"/>
      <c r="T10" s="209">
        <v>0.1697056274847728</v>
      </c>
      <c r="U10" s="207">
        <v>6.3639610306789177E-2</v>
      </c>
      <c r="V10" s="207">
        <v>6.3639610306789801E-2</v>
      </c>
      <c r="W10" s="207">
        <v>0.26162950903902266</v>
      </c>
      <c r="X10" s="207">
        <v>6.363961030678926E-2</v>
      </c>
      <c r="Y10" s="207">
        <v>0.31819805153394587</v>
      </c>
      <c r="Z10" s="207">
        <v>4.2426406871194457E-2</v>
      </c>
      <c r="AA10" s="207">
        <v>2.1213203435596444E-2</v>
      </c>
      <c r="AB10" s="207"/>
      <c r="AC10" s="207"/>
      <c r="AD10" s="94"/>
      <c r="AE10" s="91" t="s">
        <v>345</v>
      </c>
      <c r="AF10" s="199" t="s">
        <v>404</v>
      </c>
      <c r="AG10" s="171">
        <v>0.182</v>
      </c>
      <c r="AH10" s="171">
        <v>1.47</v>
      </c>
      <c r="AI10" s="174">
        <v>0.20399999999999999</v>
      </c>
      <c r="AJ10" s="174">
        <v>2.47E-2</v>
      </c>
      <c r="AK10" s="174">
        <v>3.34</v>
      </c>
      <c r="AL10" s="174">
        <v>0.78700000000000003</v>
      </c>
      <c r="AM10" s="174">
        <v>26.16</v>
      </c>
      <c r="AN10" s="174">
        <v>88.32</v>
      </c>
      <c r="AO10" s="174">
        <v>0.18</v>
      </c>
      <c r="AP10" s="174">
        <v>13.7</v>
      </c>
      <c r="AQ10" s="174">
        <v>69.05</v>
      </c>
      <c r="AR10" s="174">
        <v>171.74</v>
      </c>
      <c r="AS10" s="174">
        <v>15.94</v>
      </c>
      <c r="AT10" s="185">
        <v>305.18</v>
      </c>
      <c r="AU10" s="171">
        <v>10.14</v>
      </c>
      <c r="AV10" s="171">
        <v>4.8899999999999997</v>
      </c>
      <c r="AW10" s="185">
        <v>12666.05</v>
      </c>
      <c r="AX10" s="174">
        <v>12.97</v>
      </c>
      <c r="AY10" s="174">
        <v>1.78</v>
      </c>
      <c r="AZ10" s="174">
        <v>9.86</v>
      </c>
      <c r="BA10" s="174">
        <v>1.7</v>
      </c>
      <c r="BB10" s="174">
        <v>41.25</v>
      </c>
      <c r="BC10" s="174">
        <v>3.79</v>
      </c>
      <c r="BD10" s="174">
        <v>2.94</v>
      </c>
      <c r="BE10" s="174">
        <v>0.39500000000000002</v>
      </c>
      <c r="BF10" s="175">
        <v>9.81</v>
      </c>
      <c r="BG10" s="175">
        <v>26.68</v>
      </c>
      <c r="BH10" s="175">
        <v>17.72</v>
      </c>
      <c r="BI10" s="175">
        <v>170.72</v>
      </c>
      <c r="BJ10" s="185">
        <v>55352.23</v>
      </c>
      <c r="BK10" s="185">
        <v>65966.3</v>
      </c>
      <c r="BL10" s="185">
        <v>28795.439999999999</v>
      </c>
      <c r="BM10" s="185">
        <v>208660.8</v>
      </c>
    </row>
    <row r="11" spans="1:67" s="172" customFormat="1" ht="14.25" customHeight="1" thickBot="1">
      <c r="A11" s="176" t="s">
        <v>346</v>
      </c>
      <c r="B11" s="176" t="s">
        <v>311</v>
      </c>
      <c r="C11" s="176" t="s">
        <v>425</v>
      </c>
      <c r="D11" s="169" t="s">
        <v>294</v>
      </c>
      <c r="E11" s="200">
        <v>3</v>
      </c>
      <c r="F11" s="190">
        <v>46.506666666666668</v>
      </c>
      <c r="G11" s="190">
        <v>2.5933333333333337</v>
      </c>
      <c r="H11" s="190">
        <v>7.31</v>
      </c>
      <c r="I11" s="190">
        <v>7.5966666666666667</v>
      </c>
      <c r="J11" s="190">
        <v>0.16666666666666666</v>
      </c>
      <c r="K11" s="190">
        <v>12.863333333333335</v>
      </c>
      <c r="L11" s="190">
        <v>22.00333333333333</v>
      </c>
      <c r="M11" s="190">
        <v>0.53333333333333333</v>
      </c>
      <c r="N11" s="190">
        <v>6.6666666666666666E-2</v>
      </c>
      <c r="O11" s="190"/>
      <c r="P11" s="190">
        <v>99.64</v>
      </c>
      <c r="Q11" s="201">
        <v>75.108126335347407</v>
      </c>
      <c r="R11" s="200">
        <f t="shared" si="0"/>
        <v>301.00319197446419</v>
      </c>
      <c r="S11" s="190"/>
      <c r="T11" s="210">
        <v>1.0507774899251179</v>
      </c>
      <c r="U11" s="202">
        <v>0.42782395133200607</v>
      </c>
      <c r="V11" s="202">
        <v>0.58557663887829403</v>
      </c>
      <c r="W11" s="202">
        <v>0.43592812863284391</v>
      </c>
      <c r="X11" s="202">
        <v>1.5275252316519468E-2</v>
      </c>
      <c r="Y11" s="202">
        <v>0.39526362510776764</v>
      </c>
      <c r="Z11" s="202">
        <v>0.31342197327777394</v>
      </c>
      <c r="AA11" s="202">
        <v>8.5049005481153378E-2</v>
      </c>
      <c r="AB11" s="202"/>
      <c r="AC11" s="202">
        <v>0.11547005383792516</v>
      </c>
      <c r="AD11" s="176"/>
      <c r="AE11" s="204" t="s">
        <v>347</v>
      </c>
      <c r="AF11" s="189" t="s">
        <v>404</v>
      </c>
      <c r="AG11" s="176">
        <v>7.3999999999999996E-2</v>
      </c>
      <c r="AH11" s="176"/>
      <c r="AI11" s="178">
        <v>0.11899999999999999</v>
      </c>
      <c r="AJ11" s="178">
        <v>1.2999999999999999E-2</v>
      </c>
      <c r="AK11" s="178">
        <v>0.85299999999999998</v>
      </c>
      <c r="AL11" s="178">
        <v>0.254</v>
      </c>
      <c r="AM11" s="178">
        <v>8.84</v>
      </c>
      <c r="AN11" s="178">
        <v>31.99</v>
      </c>
      <c r="AO11" s="178">
        <v>5.6000000000000001E-2</v>
      </c>
      <c r="AP11" s="178">
        <v>5.66</v>
      </c>
      <c r="AQ11" s="178">
        <v>30.01</v>
      </c>
      <c r="AR11" s="178">
        <v>95.87</v>
      </c>
      <c r="AS11" s="178">
        <v>8.1</v>
      </c>
      <c r="AT11" s="177">
        <v>132.59</v>
      </c>
      <c r="AU11" s="176">
        <v>5.96</v>
      </c>
      <c r="AV11" s="176">
        <v>2.6</v>
      </c>
      <c r="AW11" s="177">
        <v>13684.26</v>
      </c>
      <c r="AX11" s="178">
        <v>7.67</v>
      </c>
      <c r="AY11" s="178">
        <v>1.087</v>
      </c>
      <c r="AZ11" s="178">
        <v>5.83</v>
      </c>
      <c r="BA11" s="178">
        <v>0.98499999999999999</v>
      </c>
      <c r="BB11" s="178">
        <v>22.95</v>
      </c>
      <c r="BC11" s="178">
        <v>2.2200000000000002</v>
      </c>
      <c r="BD11" s="178">
        <v>1.46</v>
      </c>
      <c r="BE11" s="178">
        <v>0.20699999999999999</v>
      </c>
      <c r="BF11" s="179">
        <v>122.43</v>
      </c>
      <c r="BG11" s="179">
        <v>81.23</v>
      </c>
      <c r="BH11" s="179">
        <v>31.73</v>
      </c>
      <c r="BI11" s="179">
        <v>286.41000000000003</v>
      </c>
      <c r="BJ11" s="177">
        <v>50978.77</v>
      </c>
      <c r="BK11" s="177">
        <v>71452.86</v>
      </c>
      <c r="BL11" s="177">
        <v>35321.17</v>
      </c>
      <c r="BM11" s="177">
        <v>209369.28</v>
      </c>
    </row>
    <row r="12" spans="1:67" s="172" customFormat="1" ht="14.25" customHeight="1">
      <c r="A12" s="94" t="s">
        <v>348</v>
      </c>
      <c r="B12" s="94" t="s">
        <v>349</v>
      </c>
      <c r="C12" s="94" t="s">
        <v>426</v>
      </c>
      <c r="D12" s="95" t="s">
        <v>294</v>
      </c>
      <c r="E12" s="197">
        <v>1</v>
      </c>
      <c r="F12" s="87">
        <v>49.35</v>
      </c>
      <c r="G12" s="87">
        <v>1.72</v>
      </c>
      <c r="H12" s="87">
        <v>4.99</v>
      </c>
      <c r="I12" s="87">
        <v>6.56</v>
      </c>
      <c r="J12" s="87"/>
      <c r="K12" s="87">
        <v>14.3</v>
      </c>
      <c r="L12" s="87">
        <v>22.05</v>
      </c>
      <c r="M12" s="87">
        <v>0.42</v>
      </c>
      <c r="N12" s="87"/>
      <c r="O12" s="87"/>
      <c r="P12" s="87">
        <v>99.39</v>
      </c>
      <c r="Q12" s="198">
        <v>79.526923943324178</v>
      </c>
      <c r="R12" s="197">
        <f t="shared" si="0"/>
        <v>441.88376753507015</v>
      </c>
      <c r="S12" s="87"/>
      <c r="T12" s="209"/>
      <c r="U12" s="207"/>
      <c r="V12" s="207"/>
      <c r="W12" s="207"/>
      <c r="X12" s="207"/>
      <c r="Y12" s="207"/>
      <c r="Z12" s="207"/>
      <c r="AA12" s="207"/>
      <c r="AB12" s="207"/>
      <c r="AC12" s="207"/>
      <c r="AD12" s="94"/>
      <c r="AE12" s="91" t="s">
        <v>350</v>
      </c>
      <c r="AF12" s="199" t="s">
        <v>404</v>
      </c>
      <c r="AG12" s="94"/>
      <c r="AH12" s="94"/>
      <c r="AI12" s="192">
        <v>0.121</v>
      </c>
      <c r="AJ12" s="192">
        <v>2.7300000000000001E-2</v>
      </c>
      <c r="AK12" s="192">
        <v>0.83899999999999997</v>
      </c>
      <c r="AL12" s="192">
        <v>0.16200000000000001</v>
      </c>
      <c r="AM12" s="192">
        <v>7.52</v>
      </c>
      <c r="AN12" s="192">
        <v>26.69</v>
      </c>
      <c r="AO12" s="192">
        <v>0.434</v>
      </c>
      <c r="AP12" s="192">
        <v>4.79</v>
      </c>
      <c r="AQ12" s="192">
        <v>27.25</v>
      </c>
      <c r="AR12" s="192">
        <v>112.58</v>
      </c>
      <c r="AS12" s="192">
        <v>8.08</v>
      </c>
      <c r="AT12" s="173">
        <v>174.16</v>
      </c>
      <c r="AU12" s="94">
        <v>7.53</v>
      </c>
      <c r="AV12" s="94">
        <v>2.4300000000000002</v>
      </c>
      <c r="AW12" s="173">
        <v>11748.36</v>
      </c>
      <c r="AX12" s="192">
        <v>7</v>
      </c>
      <c r="AY12" s="192">
        <v>0.96199999999999997</v>
      </c>
      <c r="AZ12" s="192">
        <v>4.79</v>
      </c>
      <c r="BA12" s="192">
        <v>0.79600000000000004</v>
      </c>
      <c r="BB12" s="192">
        <v>19.16</v>
      </c>
      <c r="BC12" s="192">
        <v>1.64</v>
      </c>
      <c r="BD12" s="192">
        <v>1.048</v>
      </c>
      <c r="BE12" s="192">
        <v>0.1263</v>
      </c>
      <c r="BF12" s="193">
        <v>109.14</v>
      </c>
      <c r="BG12" s="193">
        <v>92.21</v>
      </c>
      <c r="BH12" s="193">
        <v>30.08</v>
      </c>
      <c r="BI12" s="193">
        <v>186.01</v>
      </c>
      <c r="BJ12" s="173">
        <v>44549.21</v>
      </c>
      <c r="BK12" s="173">
        <v>71237.45</v>
      </c>
      <c r="BL12" s="173">
        <v>23637.69</v>
      </c>
      <c r="BM12" s="173">
        <v>201607</v>
      </c>
    </row>
    <row r="13" spans="1:67" s="172" customFormat="1" ht="14.25" customHeight="1">
      <c r="A13" s="94" t="s">
        <v>351</v>
      </c>
      <c r="B13" s="94" t="s">
        <v>349</v>
      </c>
      <c r="C13" s="94" t="s">
        <v>427</v>
      </c>
      <c r="D13" s="95" t="s">
        <v>294</v>
      </c>
      <c r="E13" s="197">
        <v>2</v>
      </c>
      <c r="F13" s="87">
        <v>49.525000000000006</v>
      </c>
      <c r="G13" s="87">
        <v>1.6749999999999998</v>
      </c>
      <c r="H13" s="87">
        <v>4.4949999999999992</v>
      </c>
      <c r="I13" s="87">
        <v>6.23</v>
      </c>
      <c r="J13" s="87">
        <v>0.2</v>
      </c>
      <c r="K13" s="87">
        <v>14.585000000000001</v>
      </c>
      <c r="L13" s="87">
        <v>22.274999999999999</v>
      </c>
      <c r="M13" s="87">
        <v>0.41</v>
      </c>
      <c r="N13" s="87"/>
      <c r="O13" s="87"/>
      <c r="P13" s="87">
        <v>99.39500000000001</v>
      </c>
      <c r="Q13" s="198">
        <v>80.664149279688132</v>
      </c>
      <c r="R13" s="197">
        <f t="shared" si="0"/>
        <v>495.55061179087886</v>
      </c>
      <c r="S13" s="87"/>
      <c r="T13" s="209">
        <v>0.24748737341529264</v>
      </c>
      <c r="U13" s="207">
        <v>3.5355339059327411E-2</v>
      </c>
      <c r="V13" s="207">
        <v>9.1923881554251102E-2</v>
      </c>
      <c r="W13" s="207">
        <v>0.15556349186104027</v>
      </c>
      <c r="X13" s="207"/>
      <c r="Y13" s="207">
        <v>0.10606601717798238</v>
      </c>
      <c r="Z13" s="207">
        <v>3.5355339059327882E-2</v>
      </c>
      <c r="AA13" s="207"/>
      <c r="AB13" s="207"/>
      <c r="AC13" s="207"/>
      <c r="AD13" s="94"/>
      <c r="AE13" s="91" t="s">
        <v>352</v>
      </c>
      <c r="AF13" s="199" t="s">
        <v>404</v>
      </c>
      <c r="AG13" s="94"/>
      <c r="AH13" s="94"/>
      <c r="AI13" s="192">
        <v>9.8000000000000004E-2</v>
      </c>
      <c r="AJ13" s="192">
        <v>2.2800000000000001E-2</v>
      </c>
      <c r="AK13" s="192">
        <v>0.79200000000000004</v>
      </c>
      <c r="AL13" s="192">
        <v>9.4E-2</v>
      </c>
      <c r="AM13" s="192">
        <v>6.62</v>
      </c>
      <c r="AN13" s="192">
        <v>22.49</v>
      </c>
      <c r="AO13" s="192">
        <v>0.30299999999999999</v>
      </c>
      <c r="AP13" s="192">
        <v>4.09</v>
      </c>
      <c r="AQ13" s="192">
        <v>23.35</v>
      </c>
      <c r="AR13" s="192">
        <v>111.92</v>
      </c>
      <c r="AS13" s="192">
        <v>6.22</v>
      </c>
      <c r="AT13" s="173">
        <v>125.38</v>
      </c>
      <c r="AU13" s="94">
        <v>5.75</v>
      </c>
      <c r="AV13" s="94">
        <v>2.11</v>
      </c>
      <c r="AW13" s="173">
        <v>10946.14</v>
      </c>
      <c r="AX13" s="192">
        <v>5.91</v>
      </c>
      <c r="AY13" s="192">
        <v>0.77300000000000002</v>
      </c>
      <c r="AZ13" s="192">
        <v>4.03</v>
      </c>
      <c r="BA13" s="192">
        <v>0.67300000000000004</v>
      </c>
      <c r="BB13" s="192">
        <v>15.74</v>
      </c>
      <c r="BC13" s="192">
        <v>1.399</v>
      </c>
      <c r="BD13" s="192">
        <v>0.80900000000000005</v>
      </c>
      <c r="BE13" s="192">
        <v>0.1125</v>
      </c>
      <c r="BF13" s="193">
        <v>108.8</v>
      </c>
      <c r="BG13" s="193">
        <v>81.37</v>
      </c>
      <c r="BH13" s="193">
        <v>29.69</v>
      </c>
      <c r="BI13" s="193">
        <v>186.09</v>
      </c>
      <c r="BJ13" s="173">
        <v>43840.75</v>
      </c>
      <c r="BK13" s="173">
        <v>72094.97</v>
      </c>
      <c r="BL13" s="173">
        <v>25150.82</v>
      </c>
      <c r="BM13" s="173">
        <v>205943.7</v>
      </c>
    </row>
    <row r="14" spans="1:67" s="172" customFormat="1" ht="14.25" customHeight="1">
      <c r="A14" s="94" t="s">
        <v>353</v>
      </c>
      <c r="B14" s="94" t="s">
        <v>349</v>
      </c>
      <c r="C14" s="94" t="s">
        <v>427</v>
      </c>
      <c r="D14" s="95" t="s">
        <v>294</v>
      </c>
      <c r="E14" s="197">
        <v>2</v>
      </c>
      <c r="F14" s="87">
        <v>44.92</v>
      </c>
      <c r="G14" s="87">
        <v>3.3049999999999997</v>
      </c>
      <c r="H14" s="87">
        <v>7.9649999999999999</v>
      </c>
      <c r="I14" s="87">
        <v>7.55</v>
      </c>
      <c r="J14" s="87">
        <v>0.16</v>
      </c>
      <c r="K14" s="87">
        <v>12.234999999999999</v>
      </c>
      <c r="L14" s="87">
        <v>22.189999999999998</v>
      </c>
      <c r="M14" s="87">
        <v>0.54500000000000004</v>
      </c>
      <c r="N14" s="87"/>
      <c r="O14" s="87"/>
      <c r="P14" s="87">
        <v>98.86999999999999</v>
      </c>
      <c r="Q14" s="198">
        <v>74.278019404507134</v>
      </c>
      <c r="R14" s="197">
        <f t="shared" si="0"/>
        <v>278.59384808537351</v>
      </c>
      <c r="S14" s="87"/>
      <c r="T14" s="209">
        <v>0.80610173055266454</v>
      </c>
      <c r="U14" s="207">
        <v>2.1213203435596288E-2</v>
      </c>
      <c r="V14" s="207">
        <v>0.33234018715767655</v>
      </c>
      <c r="W14" s="207">
        <v>5.6568542494923851E-2</v>
      </c>
      <c r="X14" s="207">
        <v>1.4142135623730963E-2</v>
      </c>
      <c r="Y14" s="207">
        <v>0.37476659402886975</v>
      </c>
      <c r="Z14" s="207">
        <v>0.19798989873223158</v>
      </c>
      <c r="AA14" s="207">
        <v>7.0710678118654814E-3</v>
      </c>
      <c r="AB14" s="207"/>
      <c r="AC14" s="207"/>
      <c r="AD14" s="94"/>
      <c r="AE14" s="91" t="s">
        <v>354</v>
      </c>
      <c r="AF14" s="199" t="s">
        <v>404</v>
      </c>
      <c r="AG14" s="94"/>
      <c r="AH14" s="94"/>
      <c r="AI14" s="192">
        <v>0.152</v>
      </c>
      <c r="AJ14" s="192">
        <v>1.5299999999999999E-2</v>
      </c>
      <c r="AK14" s="192">
        <v>1.0720000000000001</v>
      </c>
      <c r="AL14" s="192">
        <v>0.31900000000000001</v>
      </c>
      <c r="AM14" s="192">
        <v>8.8000000000000007</v>
      </c>
      <c r="AN14" s="192">
        <v>30.63</v>
      </c>
      <c r="AO14" s="192">
        <v>6.5000000000000002E-2</v>
      </c>
      <c r="AP14" s="192">
        <v>5.48</v>
      </c>
      <c r="AQ14" s="192">
        <v>29.76</v>
      </c>
      <c r="AR14" s="192">
        <v>120.49</v>
      </c>
      <c r="AS14" s="192">
        <v>8.39</v>
      </c>
      <c r="AT14" s="173">
        <v>168.74</v>
      </c>
      <c r="AU14" s="94">
        <v>7.37</v>
      </c>
      <c r="AV14" s="94">
        <v>2.71</v>
      </c>
      <c r="AW14" s="173">
        <v>15826.24</v>
      </c>
      <c r="AX14" s="192">
        <v>7.3</v>
      </c>
      <c r="AY14" s="192">
        <v>0.98599999999999999</v>
      </c>
      <c r="AZ14" s="192">
        <v>4.9400000000000004</v>
      </c>
      <c r="BA14" s="192">
        <v>0.81399999999999995</v>
      </c>
      <c r="BB14" s="192">
        <v>18.190000000000001</v>
      </c>
      <c r="BC14" s="192">
        <v>1.59</v>
      </c>
      <c r="BD14" s="192">
        <v>0.96099999999999997</v>
      </c>
      <c r="BE14" s="192">
        <v>0.128</v>
      </c>
      <c r="BF14" s="193">
        <v>101.82</v>
      </c>
      <c r="BG14" s="193">
        <v>81.42</v>
      </c>
      <c r="BH14" s="193">
        <v>27.82</v>
      </c>
      <c r="BI14" s="193">
        <v>241.07</v>
      </c>
      <c r="BJ14" s="173">
        <v>47447.75</v>
      </c>
      <c r="BK14" s="173">
        <v>63689.7</v>
      </c>
      <c r="BL14" s="173">
        <v>36118.839999999997</v>
      </c>
      <c r="BM14" s="173">
        <v>190846.5</v>
      </c>
    </row>
    <row r="15" spans="1:67" s="172" customFormat="1" ht="14.75" customHeight="1">
      <c r="A15" s="94" t="s">
        <v>355</v>
      </c>
      <c r="B15" s="94" t="s">
        <v>349</v>
      </c>
      <c r="C15" s="94" t="s">
        <v>428</v>
      </c>
      <c r="D15" s="95" t="s">
        <v>294</v>
      </c>
      <c r="E15" s="197">
        <v>2</v>
      </c>
      <c r="F15" s="87">
        <v>49.6</v>
      </c>
      <c r="G15" s="87">
        <v>1.6850000000000001</v>
      </c>
      <c r="H15" s="87">
        <v>4.2750000000000004</v>
      </c>
      <c r="I15" s="87">
        <v>6.15</v>
      </c>
      <c r="J15" s="87">
        <v>0.11000000000000001</v>
      </c>
      <c r="K15" s="87">
        <v>14.555</v>
      </c>
      <c r="L15" s="87">
        <v>22.52</v>
      </c>
      <c r="M15" s="87">
        <v>0.34499999999999997</v>
      </c>
      <c r="N15" s="87">
        <v>0.28000000000000003</v>
      </c>
      <c r="O15" s="87">
        <v>8.5000000000000006E-2</v>
      </c>
      <c r="P15" s="87">
        <v>99.60499999999999</v>
      </c>
      <c r="Q15" s="198">
        <v>80.833050876866892</v>
      </c>
      <c r="R15" s="197">
        <f t="shared" si="0"/>
        <v>526.78362573099412</v>
      </c>
      <c r="S15" s="87"/>
      <c r="T15" s="209">
        <v>1.0606601717798212</v>
      </c>
      <c r="U15" s="207">
        <v>0.28991378028648213</v>
      </c>
      <c r="V15" s="207">
        <v>0.38890872965260098</v>
      </c>
      <c r="W15" s="207">
        <v>0.52325901807804465</v>
      </c>
      <c r="X15" s="207">
        <v>4.2426406871192805E-2</v>
      </c>
      <c r="Y15" s="207">
        <v>0.65760930650348903</v>
      </c>
      <c r="Z15" s="207">
        <v>0.26870057685088988</v>
      </c>
      <c r="AA15" s="207">
        <v>7.7781745930520757E-2</v>
      </c>
      <c r="AB15" s="207"/>
      <c r="AC15" s="207">
        <v>0.39597979746446665</v>
      </c>
      <c r="AD15" s="94"/>
      <c r="AE15" s="91" t="s">
        <v>356</v>
      </c>
      <c r="AF15" s="199" t="s">
        <v>404</v>
      </c>
      <c r="AG15" s="171"/>
      <c r="AH15" s="171"/>
      <c r="AI15" s="174">
        <v>0.154</v>
      </c>
      <c r="AJ15" s="174">
        <v>1.15E-2</v>
      </c>
      <c r="AK15" s="174">
        <v>1.159</v>
      </c>
      <c r="AL15" s="174">
        <v>0.27100000000000002</v>
      </c>
      <c r="AM15" s="174">
        <v>9.27</v>
      </c>
      <c r="AN15" s="174">
        <v>33.85</v>
      </c>
      <c r="AO15" s="174">
        <v>0.107</v>
      </c>
      <c r="AP15" s="174">
        <v>5.94</v>
      </c>
      <c r="AQ15" s="174">
        <v>32.89</v>
      </c>
      <c r="AR15" s="174">
        <v>124.43</v>
      </c>
      <c r="AS15" s="174">
        <v>8.89</v>
      </c>
      <c r="AT15" s="185">
        <v>222.64</v>
      </c>
      <c r="AU15" s="171">
        <v>9.26</v>
      </c>
      <c r="AV15" s="171">
        <v>3.06</v>
      </c>
      <c r="AW15" s="185">
        <v>12902.44</v>
      </c>
      <c r="AX15" s="174">
        <v>8.1199999999999992</v>
      </c>
      <c r="AY15" s="174">
        <v>1.0980000000000001</v>
      </c>
      <c r="AZ15" s="174">
        <v>5.47</v>
      </c>
      <c r="BA15" s="174">
        <v>0.93</v>
      </c>
      <c r="BB15" s="174">
        <v>20.75</v>
      </c>
      <c r="BC15" s="174">
        <v>1.89</v>
      </c>
      <c r="BD15" s="174">
        <v>1.179</v>
      </c>
      <c r="BE15" s="174">
        <v>0.1769</v>
      </c>
      <c r="BF15" s="175">
        <v>80.569999999999993</v>
      </c>
      <c r="BG15" s="175">
        <v>83.91</v>
      </c>
      <c r="BH15" s="175">
        <v>30.43</v>
      </c>
      <c r="BI15" s="175">
        <v>198.25</v>
      </c>
      <c r="BJ15" s="185">
        <v>49576.09</v>
      </c>
      <c r="BK15" s="185">
        <v>70168.160000000003</v>
      </c>
      <c r="BL15" s="185">
        <v>25282.32</v>
      </c>
      <c r="BM15" s="185">
        <v>213740.17</v>
      </c>
    </row>
    <row r="16" spans="1:67" s="172" customFormat="1" ht="14.25" customHeight="1" thickBot="1">
      <c r="A16" s="176" t="s">
        <v>357</v>
      </c>
      <c r="B16" s="176" t="s">
        <v>349</v>
      </c>
      <c r="C16" s="176" t="s">
        <v>429</v>
      </c>
      <c r="D16" s="169" t="s">
        <v>294</v>
      </c>
      <c r="E16" s="200">
        <v>1</v>
      </c>
      <c r="F16" s="190">
        <v>47.98</v>
      </c>
      <c r="G16" s="190">
        <v>2.5099999999999998</v>
      </c>
      <c r="H16" s="190">
        <v>5.87</v>
      </c>
      <c r="I16" s="190">
        <v>7.42</v>
      </c>
      <c r="J16" s="190"/>
      <c r="K16" s="190">
        <v>13.75</v>
      </c>
      <c r="L16" s="190">
        <v>22.29</v>
      </c>
      <c r="M16" s="190"/>
      <c r="N16" s="190"/>
      <c r="O16" s="190"/>
      <c r="P16" s="190">
        <v>99.82</v>
      </c>
      <c r="Q16" s="201">
        <v>76.755844388468773</v>
      </c>
      <c r="R16" s="200">
        <f t="shared" si="0"/>
        <v>379.72742759795568</v>
      </c>
      <c r="S16" s="190"/>
      <c r="T16" s="210"/>
      <c r="U16" s="202"/>
      <c r="V16" s="202"/>
      <c r="W16" s="202"/>
      <c r="X16" s="202"/>
      <c r="Y16" s="202"/>
      <c r="Z16" s="202"/>
      <c r="AA16" s="202"/>
      <c r="AB16" s="202"/>
      <c r="AC16" s="202"/>
      <c r="AD16" s="176"/>
      <c r="AE16" s="204"/>
      <c r="AF16" s="176"/>
      <c r="AG16" s="176"/>
      <c r="AH16" s="176"/>
      <c r="AI16" s="176"/>
      <c r="AJ16" s="176"/>
      <c r="AK16" s="176"/>
      <c r="AL16" s="176"/>
      <c r="AM16" s="176"/>
      <c r="AN16" s="176"/>
      <c r="AO16" s="176"/>
      <c r="AP16" s="176"/>
      <c r="AQ16" s="176"/>
      <c r="AR16" s="176"/>
      <c r="AS16" s="176"/>
      <c r="AT16" s="176"/>
      <c r="AU16" s="176"/>
      <c r="AV16" s="176"/>
      <c r="AW16" s="176"/>
      <c r="AX16" s="176"/>
      <c r="AY16" s="176"/>
      <c r="AZ16" s="176"/>
      <c r="BA16" s="176"/>
      <c r="BB16" s="176"/>
      <c r="BC16" s="176"/>
      <c r="BD16" s="176"/>
      <c r="BE16" s="176"/>
      <c r="BF16" s="176"/>
      <c r="BG16" s="176"/>
      <c r="BH16" s="176"/>
      <c r="BI16" s="176"/>
      <c r="BJ16" s="176"/>
      <c r="BK16" s="176"/>
      <c r="BL16" s="176"/>
      <c r="BM16" s="176"/>
    </row>
    <row r="17" spans="1:65" s="172" customFormat="1" ht="14.25" customHeight="1">
      <c r="A17" s="171" t="s">
        <v>358</v>
      </c>
      <c r="B17" s="171" t="s">
        <v>311</v>
      </c>
      <c r="C17" s="171" t="s">
        <v>430</v>
      </c>
      <c r="D17" s="163" t="s">
        <v>294</v>
      </c>
      <c r="E17" s="205">
        <v>1</v>
      </c>
      <c r="F17" s="162">
        <v>45.23</v>
      </c>
      <c r="G17" s="162">
        <v>2.86</v>
      </c>
      <c r="H17" s="162">
        <v>8.15</v>
      </c>
      <c r="I17" s="162">
        <v>7.35</v>
      </c>
      <c r="J17" s="162">
        <v>0.14000000000000001</v>
      </c>
      <c r="K17" s="162">
        <v>12.45</v>
      </c>
      <c r="L17" s="162">
        <v>21.89</v>
      </c>
      <c r="M17" s="162">
        <v>0.5</v>
      </c>
      <c r="N17" s="162"/>
      <c r="O17" s="162"/>
      <c r="P17" s="162">
        <v>98.57</v>
      </c>
      <c r="Q17" s="206">
        <v>75.114650182165548</v>
      </c>
      <c r="R17" s="205">
        <f t="shared" si="0"/>
        <v>268.58895705521473</v>
      </c>
      <c r="S17" s="162"/>
      <c r="T17" s="209"/>
      <c r="U17" s="207"/>
      <c r="V17" s="207"/>
      <c r="W17" s="207"/>
      <c r="X17" s="207"/>
      <c r="Y17" s="207"/>
      <c r="Z17" s="207"/>
      <c r="AA17" s="207"/>
      <c r="AB17" s="207"/>
      <c r="AC17" s="207"/>
      <c r="AD17" s="171"/>
      <c r="AE17" s="91"/>
      <c r="AF17" s="171"/>
      <c r="AG17" s="171"/>
      <c r="AH17" s="171"/>
      <c r="AI17" s="171"/>
      <c r="AJ17" s="171"/>
      <c r="AK17" s="171"/>
      <c r="AL17" s="171"/>
      <c r="AM17" s="171"/>
      <c r="AN17" s="171"/>
      <c r="AO17" s="171"/>
      <c r="AP17" s="171"/>
      <c r="AQ17" s="171"/>
      <c r="AR17" s="171"/>
      <c r="AS17" s="171"/>
      <c r="AT17" s="171"/>
      <c r="AU17" s="171"/>
      <c r="AV17" s="171"/>
      <c r="AW17" s="171"/>
      <c r="AX17" s="171"/>
      <c r="AY17" s="171"/>
      <c r="AZ17" s="171"/>
      <c r="BA17" s="171"/>
      <c r="BB17" s="171"/>
      <c r="BC17" s="171"/>
      <c r="BD17" s="171"/>
      <c r="BE17" s="171"/>
      <c r="BF17" s="171"/>
      <c r="BG17" s="171"/>
      <c r="BH17" s="171"/>
      <c r="BI17" s="171"/>
      <c r="BJ17" s="171"/>
      <c r="BK17" s="171"/>
      <c r="BL17" s="171"/>
      <c r="BM17" s="171"/>
    </row>
    <row r="18" spans="1:65" s="172" customFormat="1" ht="14.25" customHeight="1">
      <c r="A18" s="94" t="s">
        <v>306</v>
      </c>
      <c r="B18" s="94" t="s">
        <v>311</v>
      </c>
      <c r="C18" s="94" t="s">
        <v>431</v>
      </c>
      <c r="D18" s="95">
        <v>1</v>
      </c>
      <c r="E18" s="197">
        <v>1</v>
      </c>
      <c r="F18" s="87">
        <v>45.5</v>
      </c>
      <c r="G18" s="87">
        <v>3.2</v>
      </c>
      <c r="H18" s="87">
        <v>8.9</v>
      </c>
      <c r="I18" s="87">
        <v>7.46</v>
      </c>
      <c r="J18" s="87">
        <v>0.17</v>
      </c>
      <c r="K18" s="87">
        <v>12.74</v>
      </c>
      <c r="L18" s="87">
        <v>21.92</v>
      </c>
      <c r="M18" s="87">
        <v>0.56000000000000005</v>
      </c>
      <c r="N18" s="87"/>
      <c r="O18" s="87"/>
      <c r="P18" s="87">
        <v>100.45</v>
      </c>
      <c r="Q18" s="198">
        <v>75.267071943428306</v>
      </c>
      <c r="R18" s="197">
        <f t="shared" si="0"/>
        <v>246.29213483146066</v>
      </c>
      <c r="S18" s="87"/>
      <c r="T18" s="209"/>
      <c r="U18" s="207"/>
      <c r="V18" s="207"/>
      <c r="W18" s="207"/>
      <c r="X18" s="207"/>
      <c r="Y18" s="207"/>
      <c r="Z18" s="207"/>
      <c r="AA18" s="207"/>
      <c r="AB18" s="207"/>
      <c r="AC18" s="207"/>
      <c r="AD18" s="94"/>
      <c r="AE18" s="91"/>
      <c r="AF18" s="94"/>
      <c r="AG18" s="94"/>
      <c r="AH18" s="94"/>
      <c r="AI18" s="94"/>
      <c r="AJ18" s="94"/>
      <c r="AK18" s="94"/>
      <c r="AL18" s="94"/>
      <c r="AM18" s="94"/>
      <c r="AN18" s="94"/>
      <c r="AO18" s="94"/>
      <c r="AP18" s="94"/>
      <c r="AQ18" s="94"/>
      <c r="AR18" s="94"/>
      <c r="AS18" s="94"/>
      <c r="AT18" s="94"/>
      <c r="AU18" s="94"/>
      <c r="AV18" s="94"/>
      <c r="AW18" s="94"/>
      <c r="AX18" s="94"/>
      <c r="AY18" s="94"/>
      <c r="AZ18" s="94"/>
      <c r="BA18" s="94"/>
      <c r="BB18" s="94"/>
      <c r="BC18" s="94"/>
      <c r="BD18" s="94"/>
      <c r="BE18" s="94"/>
      <c r="BF18" s="94"/>
      <c r="BG18" s="94"/>
      <c r="BH18" s="94"/>
      <c r="BI18" s="94"/>
      <c r="BJ18" s="94"/>
      <c r="BK18" s="94"/>
      <c r="BL18" s="94"/>
      <c r="BM18" s="94"/>
    </row>
    <row r="19" spans="1:65" s="172" customFormat="1" ht="14.25" customHeight="1">
      <c r="A19" s="94" t="s">
        <v>308</v>
      </c>
      <c r="B19" s="94" t="s">
        <v>311</v>
      </c>
      <c r="C19" s="94" t="s">
        <v>431</v>
      </c>
      <c r="D19" s="95">
        <v>1</v>
      </c>
      <c r="E19" s="197">
        <v>1</v>
      </c>
      <c r="F19" s="87">
        <v>48.72</v>
      </c>
      <c r="G19" s="87">
        <v>2.21</v>
      </c>
      <c r="H19" s="87">
        <v>6.32</v>
      </c>
      <c r="I19" s="87">
        <v>6.86</v>
      </c>
      <c r="J19" s="87"/>
      <c r="K19" s="87">
        <v>13.76</v>
      </c>
      <c r="L19" s="87">
        <v>22.23</v>
      </c>
      <c r="M19" s="87">
        <v>0.49</v>
      </c>
      <c r="N19" s="87"/>
      <c r="O19" s="87"/>
      <c r="P19" s="87">
        <v>100.59</v>
      </c>
      <c r="Q19" s="198">
        <v>78.138818285817294</v>
      </c>
      <c r="R19" s="197">
        <f t="shared" si="0"/>
        <v>351.74050632911388</v>
      </c>
      <c r="S19" s="87"/>
      <c r="T19" s="209"/>
      <c r="U19" s="207"/>
      <c r="V19" s="207"/>
      <c r="W19" s="207"/>
      <c r="X19" s="207"/>
      <c r="Y19" s="207"/>
      <c r="Z19" s="207"/>
      <c r="AA19" s="207"/>
      <c r="AB19" s="207"/>
      <c r="AC19" s="207"/>
      <c r="AD19" s="94"/>
      <c r="AE19" s="91"/>
      <c r="AF19" s="94"/>
      <c r="AG19" s="94"/>
      <c r="AH19" s="94"/>
      <c r="AI19" s="94"/>
      <c r="AJ19" s="94"/>
      <c r="AK19" s="94"/>
      <c r="AL19" s="94"/>
      <c r="AM19" s="94"/>
      <c r="AN19" s="94"/>
      <c r="AO19" s="94"/>
      <c r="AP19" s="94"/>
      <c r="AQ19" s="94"/>
      <c r="AR19" s="94"/>
      <c r="AS19" s="94"/>
      <c r="AT19" s="94"/>
      <c r="AU19" s="94"/>
      <c r="AV19" s="94"/>
      <c r="AW19" s="94"/>
      <c r="AX19" s="94"/>
      <c r="AY19" s="94"/>
      <c r="AZ19" s="94"/>
      <c r="BA19" s="94"/>
      <c r="BB19" s="94"/>
      <c r="BC19" s="94"/>
      <c r="BD19" s="94"/>
      <c r="BE19" s="94"/>
      <c r="BF19" s="94"/>
      <c r="BG19" s="94"/>
      <c r="BH19" s="94"/>
      <c r="BI19" s="94"/>
      <c r="BJ19" s="94"/>
      <c r="BK19" s="94"/>
      <c r="BL19" s="94"/>
      <c r="BM19" s="94"/>
    </row>
    <row r="20" spans="1:65" s="172" customFormat="1" ht="14.25" customHeight="1">
      <c r="A20" s="94" t="s">
        <v>434</v>
      </c>
      <c r="B20" s="94" t="s">
        <v>311</v>
      </c>
      <c r="C20" s="94" t="s">
        <v>432</v>
      </c>
      <c r="D20" s="95">
        <v>2</v>
      </c>
      <c r="E20" s="197">
        <v>2</v>
      </c>
      <c r="F20" s="87">
        <v>47.4</v>
      </c>
      <c r="G20" s="87">
        <v>2.36</v>
      </c>
      <c r="H20" s="87">
        <v>7</v>
      </c>
      <c r="I20" s="87">
        <v>7.21</v>
      </c>
      <c r="J20" s="87">
        <v>0.17</v>
      </c>
      <c r="K20" s="87">
        <v>13.3</v>
      </c>
      <c r="L20" s="87">
        <v>21.9</v>
      </c>
      <c r="M20" s="87">
        <v>0.57000000000000006</v>
      </c>
      <c r="N20" s="87"/>
      <c r="O20" s="87"/>
      <c r="P20" s="87">
        <v>99.91</v>
      </c>
      <c r="Q20" s="198">
        <v>76.674305303697452</v>
      </c>
      <c r="R20" s="197">
        <f t="shared" si="0"/>
        <v>312.85714285714283</v>
      </c>
      <c r="S20" s="87"/>
      <c r="T20" s="209">
        <v>0.29698484809835118</v>
      </c>
      <c r="U20" s="207">
        <v>8.4852813742385777E-2</v>
      </c>
      <c r="V20" s="207">
        <v>0.22627416997969541</v>
      </c>
      <c r="W20" s="207">
        <v>5.6568542494923851E-2</v>
      </c>
      <c r="X20" s="207"/>
      <c r="Y20" s="207">
        <v>0.19798989873223286</v>
      </c>
      <c r="Z20" s="207">
        <v>1.4142135623730649E-2</v>
      </c>
      <c r="AA20" s="207">
        <v>1.4142135623730885E-2</v>
      </c>
      <c r="AB20" s="207"/>
      <c r="AC20" s="207"/>
      <c r="AD20" s="94"/>
      <c r="AE20" s="91"/>
      <c r="AF20" s="94"/>
      <c r="AG20" s="94"/>
      <c r="AH20" s="94"/>
      <c r="AI20" s="94"/>
      <c r="AJ20" s="94"/>
      <c r="AK20" s="94"/>
      <c r="AL20" s="94"/>
      <c r="AM20" s="94"/>
      <c r="AN20" s="94"/>
      <c r="AO20" s="94"/>
      <c r="AP20" s="94"/>
      <c r="AQ20" s="94"/>
      <c r="AR20" s="94"/>
      <c r="AS20" s="94"/>
      <c r="AT20" s="94"/>
      <c r="AU20" s="94"/>
      <c r="AV20" s="94"/>
      <c r="AW20" s="94"/>
      <c r="AX20" s="94"/>
      <c r="AY20" s="94"/>
      <c r="AZ20" s="94"/>
      <c r="BA20" s="94"/>
      <c r="BB20" s="94"/>
      <c r="BC20" s="94"/>
      <c r="BD20" s="94"/>
      <c r="BE20" s="94"/>
      <c r="BF20" s="94"/>
      <c r="BG20" s="94"/>
      <c r="BH20" s="94"/>
      <c r="BI20" s="94"/>
      <c r="BJ20" s="94"/>
      <c r="BK20" s="94"/>
      <c r="BL20" s="94"/>
      <c r="BM20" s="94"/>
    </row>
    <row r="21" spans="1:65" s="172" customFormat="1" ht="14.25" customHeight="1">
      <c r="A21" s="94" t="s">
        <v>359</v>
      </c>
      <c r="B21" s="94" t="s">
        <v>311</v>
      </c>
      <c r="C21" s="94" t="s">
        <v>432</v>
      </c>
      <c r="D21" s="95">
        <v>2</v>
      </c>
      <c r="E21" s="197">
        <v>1</v>
      </c>
      <c r="F21" s="87">
        <v>49.11</v>
      </c>
      <c r="G21" s="87">
        <v>1.89</v>
      </c>
      <c r="H21" s="87">
        <v>4.6900000000000004</v>
      </c>
      <c r="I21" s="87">
        <v>6.74</v>
      </c>
      <c r="J21" s="87"/>
      <c r="K21" s="87">
        <v>14.17</v>
      </c>
      <c r="L21" s="87">
        <v>22.25</v>
      </c>
      <c r="M21" s="87">
        <v>0.43</v>
      </c>
      <c r="N21" s="87">
        <v>0.05</v>
      </c>
      <c r="O21" s="87"/>
      <c r="P21" s="87">
        <v>99.33</v>
      </c>
      <c r="Q21" s="198">
        <v>78.931197524495715</v>
      </c>
      <c r="R21" s="197">
        <f t="shared" si="0"/>
        <v>474.41364605543708</v>
      </c>
      <c r="S21" s="87"/>
      <c r="T21" s="209"/>
      <c r="U21" s="207"/>
      <c r="V21" s="207"/>
      <c r="W21" s="207"/>
      <c r="X21" s="207"/>
      <c r="Y21" s="207"/>
      <c r="Z21" s="207"/>
      <c r="AA21" s="207"/>
      <c r="AB21" s="207"/>
      <c r="AC21" s="207"/>
      <c r="AD21" s="94"/>
      <c r="AE21" s="91"/>
      <c r="AF21" s="94"/>
      <c r="AG21" s="94"/>
      <c r="AH21" s="94"/>
      <c r="AI21" s="94"/>
      <c r="AJ21" s="94"/>
      <c r="AK21" s="94"/>
      <c r="AL21" s="94"/>
      <c r="AM21" s="94"/>
      <c r="AN21" s="94"/>
      <c r="AO21" s="94"/>
      <c r="AP21" s="94"/>
      <c r="AQ21" s="94"/>
      <c r="AR21" s="94"/>
      <c r="AS21" s="94"/>
      <c r="AT21" s="94"/>
      <c r="AU21" s="94"/>
      <c r="AV21" s="94"/>
      <c r="AW21" s="94"/>
      <c r="AX21" s="94"/>
      <c r="AY21" s="94"/>
      <c r="AZ21" s="94"/>
      <c r="BA21" s="94"/>
      <c r="BB21" s="94"/>
      <c r="BC21" s="94"/>
      <c r="BD21" s="94"/>
      <c r="BE21" s="94"/>
      <c r="BF21" s="94"/>
      <c r="BG21" s="94"/>
      <c r="BH21" s="94"/>
      <c r="BI21" s="94"/>
      <c r="BJ21" s="94"/>
      <c r="BK21" s="94"/>
      <c r="BL21" s="94"/>
      <c r="BM21" s="94"/>
    </row>
    <row r="22" spans="1:65" s="172" customFormat="1" ht="14.25" customHeight="1">
      <c r="A22" s="94" t="s">
        <v>360</v>
      </c>
      <c r="B22" s="94" t="s">
        <v>311</v>
      </c>
      <c r="C22" s="94" t="s">
        <v>431</v>
      </c>
      <c r="D22" s="95">
        <v>2</v>
      </c>
      <c r="E22" s="197">
        <v>1</v>
      </c>
      <c r="F22" s="87">
        <v>45.08</v>
      </c>
      <c r="G22" s="87">
        <v>2.94</v>
      </c>
      <c r="H22" s="87">
        <v>8</v>
      </c>
      <c r="I22" s="87">
        <v>7.41</v>
      </c>
      <c r="J22" s="87"/>
      <c r="K22" s="87">
        <v>12.5</v>
      </c>
      <c r="L22" s="87">
        <v>21.72</v>
      </c>
      <c r="M22" s="87">
        <v>0.51</v>
      </c>
      <c r="N22" s="87"/>
      <c r="O22" s="87"/>
      <c r="P22" s="87">
        <v>98.16</v>
      </c>
      <c r="Q22" s="198">
        <v>75.037517818943073</v>
      </c>
      <c r="R22" s="197">
        <f t="shared" si="0"/>
        <v>271.5</v>
      </c>
      <c r="S22" s="87"/>
      <c r="T22" s="209"/>
      <c r="U22" s="207"/>
      <c r="V22" s="207"/>
      <c r="W22" s="207"/>
      <c r="X22" s="207"/>
      <c r="Y22" s="207"/>
      <c r="Z22" s="207"/>
      <c r="AA22" s="207"/>
      <c r="AB22" s="207"/>
      <c r="AC22" s="207"/>
      <c r="AD22" s="94"/>
      <c r="AE22" s="91"/>
      <c r="AF22" s="94"/>
      <c r="AG22" s="94"/>
      <c r="AH22" s="94"/>
      <c r="AI22" s="94"/>
      <c r="AJ22" s="94"/>
      <c r="AK22" s="94"/>
      <c r="AL22" s="94"/>
      <c r="AM22" s="94"/>
      <c r="AN22" s="94"/>
      <c r="AO22" s="94"/>
      <c r="AP22" s="94"/>
      <c r="AQ22" s="94"/>
      <c r="AR22" s="94"/>
      <c r="AS22" s="94"/>
      <c r="AT22" s="94"/>
      <c r="AU22" s="94"/>
      <c r="AV22" s="94"/>
      <c r="AW22" s="94"/>
      <c r="AX22" s="94"/>
      <c r="AY22" s="94"/>
      <c r="AZ22" s="94"/>
      <c r="BA22" s="94"/>
      <c r="BB22" s="94"/>
      <c r="BC22" s="94"/>
      <c r="BD22" s="94"/>
      <c r="BE22" s="94"/>
      <c r="BF22" s="94"/>
      <c r="BG22" s="94"/>
      <c r="BH22" s="94"/>
      <c r="BI22" s="94"/>
      <c r="BJ22" s="94"/>
      <c r="BK22" s="94"/>
      <c r="BL22" s="94"/>
      <c r="BM22" s="94"/>
    </row>
    <row r="23" spans="1:65" s="172" customFormat="1" ht="14.25" customHeight="1" thickBot="1">
      <c r="A23" s="176" t="s">
        <v>361</v>
      </c>
      <c r="B23" s="176" t="s">
        <v>311</v>
      </c>
      <c r="C23" s="176" t="s">
        <v>433</v>
      </c>
      <c r="D23" s="169">
        <v>3</v>
      </c>
      <c r="E23" s="200">
        <v>2</v>
      </c>
      <c r="F23" s="190">
        <v>49.274999999999999</v>
      </c>
      <c r="G23" s="190">
        <v>1.405</v>
      </c>
      <c r="H23" s="190">
        <v>5.3849999999999998</v>
      </c>
      <c r="I23" s="190">
        <v>5.8049999999999997</v>
      </c>
      <c r="J23" s="190">
        <v>0.15</v>
      </c>
      <c r="K23" s="190">
        <v>14.504999999999999</v>
      </c>
      <c r="L23" s="190">
        <v>21.82</v>
      </c>
      <c r="M23" s="190">
        <v>0.47499999999999998</v>
      </c>
      <c r="N23" s="190">
        <v>0.44999999999999996</v>
      </c>
      <c r="O23" s="190"/>
      <c r="P23" s="190">
        <v>99.27</v>
      </c>
      <c r="Q23" s="201">
        <v>81.660150055885367</v>
      </c>
      <c r="R23" s="200">
        <f t="shared" si="0"/>
        <v>405.19962859795731</v>
      </c>
      <c r="S23" s="190"/>
      <c r="T23" s="210">
        <v>0.23334523779155947</v>
      </c>
      <c r="U23" s="202">
        <v>4.9497474683058214E-2</v>
      </c>
      <c r="V23" s="202">
        <v>0.19091883092036754</v>
      </c>
      <c r="W23" s="202">
        <v>7.7781745930520452E-2</v>
      </c>
      <c r="X23" s="202"/>
      <c r="Y23" s="202">
        <v>9.1923881554251727E-2</v>
      </c>
      <c r="Z23" s="202">
        <v>0.1131370849898477</v>
      </c>
      <c r="AA23" s="202">
        <v>3.5355339059327369E-2</v>
      </c>
      <c r="AB23" s="202"/>
      <c r="AC23" s="202">
        <v>0.16970562748477155</v>
      </c>
      <c r="AD23" s="176"/>
      <c r="AE23" s="204"/>
      <c r="AF23" s="176"/>
      <c r="AG23" s="176"/>
      <c r="AH23" s="176"/>
      <c r="AI23" s="176"/>
      <c r="AJ23" s="176"/>
      <c r="AK23" s="176"/>
      <c r="AL23" s="176"/>
      <c r="AM23" s="176"/>
      <c r="AN23" s="176"/>
      <c r="AO23" s="176"/>
      <c r="AP23" s="176"/>
      <c r="AQ23" s="176"/>
      <c r="AR23" s="176"/>
      <c r="AS23" s="176"/>
      <c r="AT23" s="176"/>
      <c r="AU23" s="176"/>
      <c r="AV23" s="176"/>
      <c r="AW23" s="176"/>
      <c r="AX23" s="176"/>
      <c r="AY23" s="176"/>
      <c r="AZ23" s="176"/>
      <c r="BA23" s="176"/>
      <c r="BB23" s="176"/>
      <c r="BC23" s="176"/>
      <c r="BD23" s="176"/>
      <c r="BE23" s="176"/>
      <c r="BF23" s="176"/>
      <c r="BG23" s="176"/>
      <c r="BH23" s="176"/>
      <c r="BI23" s="176"/>
      <c r="BJ23" s="176"/>
      <c r="BK23" s="176"/>
      <c r="BL23" s="176"/>
      <c r="BM23" s="176"/>
    </row>
    <row r="24" spans="1:65" s="172" customFormat="1" ht="14.25" customHeight="1">
      <c r="A24" s="94" t="s">
        <v>362</v>
      </c>
      <c r="B24" s="94" t="s">
        <v>363</v>
      </c>
      <c r="C24" s="94" t="s">
        <v>151</v>
      </c>
      <c r="D24" s="95" t="s">
        <v>294</v>
      </c>
      <c r="E24" s="197">
        <v>1</v>
      </c>
      <c r="F24" s="87">
        <v>45.14</v>
      </c>
      <c r="G24" s="87">
        <v>3.16</v>
      </c>
      <c r="H24" s="87">
        <v>6.96</v>
      </c>
      <c r="I24" s="87">
        <v>8.42</v>
      </c>
      <c r="J24" s="87">
        <v>0.17</v>
      </c>
      <c r="K24" s="87">
        <v>12.42</v>
      </c>
      <c r="L24" s="87">
        <v>21.2</v>
      </c>
      <c r="M24" s="87">
        <v>0.41</v>
      </c>
      <c r="N24" s="87"/>
      <c r="O24" s="87"/>
      <c r="P24" s="87">
        <v>97.97999999999999</v>
      </c>
      <c r="Q24" s="198">
        <v>72.440421198544229</v>
      </c>
      <c r="R24" s="197">
        <f t="shared" si="0"/>
        <v>304.59770114942529</v>
      </c>
      <c r="S24" s="87"/>
      <c r="T24" s="211"/>
      <c r="U24" s="208"/>
      <c r="V24" s="208"/>
      <c r="W24" s="208"/>
      <c r="X24" s="208"/>
      <c r="Y24" s="208"/>
      <c r="Z24" s="208"/>
      <c r="AA24" s="208"/>
      <c r="AB24" s="208"/>
      <c r="AC24" s="208"/>
      <c r="AD24" s="94"/>
      <c r="AE24" s="91"/>
      <c r="AF24" s="94"/>
      <c r="AG24" s="94"/>
      <c r="AH24" s="94"/>
      <c r="AI24" s="94"/>
      <c r="AJ24" s="94"/>
      <c r="AK24" s="94"/>
      <c r="AL24" s="94"/>
      <c r="AM24" s="94"/>
      <c r="AN24" s="94"/>
      <c r="AO24" s="94"/>
      <c r="AP24" s="94"/>
      <c r="AQ24" s="94"/>
      <c r="AR24" s="94"/>
      <c r="AS24" s="94"/>
      <c r="AT24" s="94"/>
      <c r="AU24" s="94"/>
      <c r="AV24" s="94"/>
      <c r="AW24" s="94"/>
      <c r="AX24" s="94"/>
      <c r="AY24" s="94"/>
      <c r="AZ24" s="94"/>
      <c r="BA24" s="94"/>
      <c r="BB24" s="94"/>
      <c r="BC24" s="94"/>
      <c r="BD24" s="94"/>
      <c r="BE24" s="94"/>
      <c r="BF24" s="94"/>
      <c r="BG24" s="94"/>
      <c r="BH24" s="94"/>
      <c r="BI24" s="94"/>
      <c r="BJ24" s="94"/>
      <c r="BK24" s="94"/>
      <c r="BL24" s="94"/>
      <c r="BM24" s="94"/>
    </row>
    <row r="25" spans="1:65" s="172" customFormat="1" ht="14.25" customHeight="1">
      <c r="A25" s="94" t="s">
        <v>364</v>
      </c>
      <c r="B25" s="94" t="s">
        <v>363</v>
      </c>
      <c r="C25" s="94" t="s">
        <v>151</v>
      </c>
      <c r="D25" s="95" t="s">
        <v>294</v>
      </c>
      <c r="E25" s="197">
        <v>1</v>
      </c>
      <c r="F25" s="87">
        <v>47.11</v>
      </c>
      <c r="G25" s="87">
        <v>2.79</v>
      </c>
      <c r="H25" s="87">
        <v>5.94</v>
      </c>
      <c r="I25" s="87">
        <v>7.93</v>
      </c>
      <c r="J25" s="87">
        <v>0.17</v>
      </c>
      <c r="K25" s="87">
        <v>12.68</v>
      </c>
      <c r="L25" s="87">
        <v>21.79</v>
      </c>
      <c r="M25" s="87">
        <v>0.55000000000000004</v>
      </c>
      <c r="N25" s="87"/>
      <c r="O25" s="87"/>
      <c r="P25" s="87">
        <v>98.99</v>
      </c>
      <c r="Q25" s="198">
        <v>74.021550589456595</v>
      </c>
      <c r="R25" s="197">
        <f t="shared" si="0"/>
        <v>366.8350168350168</v>
      </c>
      <c r="S25" s="87"/>
      <c r="T25" s="211"/>
      <c r="U25" s="208"/>
      <c r="V25" s="208"/>
      <c r="W25" s="208"/>
      <c r="X25" s="208"/>
      <c r="Y25" s="208"/>
      <c r="Z25" s="208"/>
      <c r="AA25" s="208"/>
      <c r="AB25" s="208"/>
      <c r="AC25" s="208"/>
      <c r="AD25" s="94"/>
      <c r="AE25" s="91"/>
      <c r="AF25" s="94"/>
      <c r="AG25" s="94"/>
      <c r="AH25" s="94"/>
      <c r="AI25" s="94"/>
      <c r="AJ25" s="94"/>
      <c r="AK25" s="94"/>
      <c r="AL25" s="94"/>
      <c r="AM25" s="94"/>
      <c r="AN25" s="94"/>
      <c r="AO25" s="94"/>
      <c r="AP25" s="94"/>
      <c r="AQ25" s="94"/>
      <c r="AR25" s="94"/>
      <c r="AS25" s="94"/>
      <c r="AT25" s="94"/>
      <c r="AU25" s="94"/>
      <c r="AV25" s="94"/>
      <c r="AW25" s="94"/>
      <c r="AX25" s="94"/>
      <c r="AY25" s="94"/>
      <c r="AZ25" s="94"/>
      <c r="BA25" s="94"/>
      <c r="BB25" s="94"/>
      <c r="BC25" s="94"/>
      <c r="BD25" s="94"/>
      <c r="BE25" s="94"/>
      <c r="BF25" s="94"/>
      <c r="BG25" s="94"/>
      <c r="BH25" s="94"/>
      <c r="BI25" s="94"/>
      <c r="BJ25" s="94"/>
      <c r="BK25" s="94"/>
      <c r="BL25" s="94"/>
      <c r="BM25" s="94"/>
    </row>
    <row r="26" spans="1:65" s="172" customFormat="1" ht="14.25" customHeight="1">
      <c r="A26" s="94" t="s">
        <v>365</v>
      </c>
      <c r="B26" s="94" t="s">
        <v>363</v>
      </c>
      <c r="C26" s="94" t="s">
        <v>151</v>
      </c>
      <c r="D26" s="95" t="s">
        <v>294</v>
      </c>
      <c r="E26" s="197">
        <v>1</v>
      </c>
      <c r="F26" s="87">
        <v>41.62</v>
      </c>
      <c r="G26" s="87">
        <v>4.95</v>
      </c>
      <c r="H26" s="87">
        <v>10.79</v>
      </c>
      <c r="I26" s="87">
        <v>8.6199999999999992</v>
      </c>
      <c r="J26" s="87">
        <v>0.16</v>
      </c>
      <c r="K26" s="87">
        <v>10.78</v>
      </c>
      <c r="L26" s="87">
        <v>21.75</v>
      </c>
      <c r="M26" s="87">
        <v>0.54</v>
      </c>
      <c r="N26" s="87"/>
      <c r="O26" s="87"/>
      <c r="P26" s="87">
        <v>99.21</v>
      </c>
      <c r="Q26" s="198">
        <v>69.025752302612148</v>
      </c>
      <c r="R26" s="197">
        <f t="shared" si="0"/>
        <v>201.57553290083413</v>
      </c>
      <c r="S26" s="87"/>
      <c r="T26" s="211"/>
      <c r="U26" s="208"/>
      <c r="V26" s="208"/>
      <c r="W26" s="208"/>
      <c r="X26" s="208"/>
      <c r="Y26" s="208"/>
      <c r="Z26" s="208"/>
      <c r="AA26" s="208"/>
      <c r="AB26" s="208"/>
      <c r="AC26" s="208"/>
      <c r="AD26" s="94"/>
      <c r="AE26" s="91"/>
      <c r="AF26" s="94"/>
      <c r="AG26" s="94"/>
      <c r="AH26" s="94"/>
      <c r="AI26" s="94"/>
      <c r="AJ26" s="94"/>
      <c r="AK26" s="94"/>
      <c r="AL26" s="94"/>
      <c r="AM26" s="94"/>
      <c r="AN26" s="94"/>
      <c r="AO26" s="94"/>
      <c r="AP26" s="94"/>
      <c r="AQ26" s="94"/>
      <c r="AR26" s="94"/>
      <c r="AS26" s="94"/>
      <c r="AT26" s="94"/>
      <c r="AU26" s="94"/>
      <c r="AV26" s="94"/>
      <c r="AW26" s="94"/>
      <c r="AX26" s="94"/>
      <c r="AY26" s="94"/>
      <c r="AZ26" s="94"/>
      <c r="BA26" s="94"/>
      <c r="BB26" s="94"/>
      <c r="BC26" s="94"/>
      <c r="BD26" s="94"/>
      <c r="BE26" s="94"/>
      <c r="BF26" s="94"/>
      <c r="BG26" s="94"/>
      <c r="BH26" s="94"/>
      <c r="BI26" s="94"/>
      <c r="BJ26" s="94"/>
      <c r="BK26" s="94"/>
      <c r="BL26" s="94"/>
      <c r="BM26" s="94"/>
    </row>
    <row r="27" spans="1:65" s="172" customFormat="1" ht="14.25" customHeight="1">
      <c r="A27" s="94" t="s">
        <v>366</v>
      </c>
      <c r="B27" s="94" t="s">
        <v>363</v>
      </c>
      <c r="C27" s="94" t="s">
        <v>151</v>
      </c>
      <c r="D27" s="95" t="s">
        <v>294</v>
      </c>
      <c r="E27" s="197">
        <v>1</v>
      </c>
      <c r="F27" s="87">
        <v>47.18</v>
      </c>
      <c r="G27" s="87">
        <v>2.48</v>
      </c>
      <c r="H27" s="87">
        <v>5.66</v>
      </c>
      <c r="I27" s="87">
        <v>7.6</v>
      </c>
      <c r="J27" s="87">
        <v>0.2</v>
      </c>
      <c r="K27" s="87">
        <v>12.98</v>
      </c>
      <c r="L27" s="87">
        <v>21.75</v>
      </c>
      <c r="M27" s="87">
        <v>0.57999999999999996</v>
      </c>
      <c r="N27" s="87"/>
      <c r="O27" s="87"/>
      <c r="P27" s="87">
        <v>98.47</v>
      </c>
      <c r="Q27" s="198">
        <v>75.268379268203446</v>
      </c>
      <c r="R27" s="197">
        <f t="shared" si="0"/>
        <v>384.27561837455829</v>
      </c>
      <c r="S27" s="87"/>
      <c r="T27" s="211"/>
      <c r="U27" s="208"/>
      <c r="V27" s="208"/>
      <c r="W27" s="208"/>
      <c r="X27" s="208"/>
      <c r="Y27" s="208"/>
      <c r="Z27" s="208"/>
      <c r="AA27" s="208"/>
      <c r="AB27" s="208"/>
      <c r="AC27" s="208"/>
      <c r="AD27" s="94"/>
      <c r="AE27" s="91"/>
      <c r="AF27" s="94"/>
      <c r="AG27" s="94"/>
      <c r="AH27" s="94"/>
      <c r="AI27" s="94"/>
      <c r="AJ27" s="94"/>
      <c r="AK27" s="94"/>
      <c r="AL27" s="94"/>
      <c r="AM27" s="94"/>
      <c r="AN27" s="94"/>
      <c r="AO27" s="94"/>
      <c r="AP27" s="94"/>
      <c r="AQ27" s="94"/>
      <c r="AR27" s="94"/>
      <c r="AS27" s="94"/>
      <c r="AT27" s="94"/>
      <c r="AU27" s="94"/>
      <c r="AV27" s="94"/>
      <c r="AW27" s="94"/>
      <c r="AX27" s="94"/>
      <c r="AY27" s="94"/>
      <c r="AZ27" s="94"/>
      <c r="BA27" s="94"/>
      <c r="BB27" s="94"/>
      <c r="BC27" s="94"/>
      <c r="BD27" s="94"/>
      <c r="BE27" s="94"/>
      <c r="BF27" s="94"/>
      <c r="BG27" s="94"/>
      <c r="BH27" s="94"/>
      <c r="BI27" s="94"/>
      <c r="BJ27" s="94"/>
      <c r="BK27" s="94"/>
      <c r="BL27" s="94"/>
      <c r="BM27" s="94"/>
    </row>
    <row r="28" spans="1:65" s="172" customFormat="1" ht="14.25" customHeight="1">
      <c r="A28" s="94" t="s">
        <v>367</v>
      </c>
      <c r="B28" s="94" t="s">
        <v>363</v>
      </c>
      <c r="C28" s="94" t="s">
        <v>151</v>
      </c>
      <c r="D28" s="95" t="s">
        <v>294</v>
      </c>
      <c r="E28" s="197">
        <v>1</v>
      </c>
      <c r="F28" s="87">
        <v>42</v>
      </c>
      <c r="G28" s="87">
        <v>4.66</v>
      </c>
      <c r="H28" s="87">
        <v>10.220000000000001</v>
      </c>
      <c r="I28" s="87">
        <v>8.41</v>
      </c>
      <c r="J28" s="87">
        <v>0.2</v>
      </c>
      <c r="K28" s="87">
        <v>10.94</v>
      </c>
      <c r="L28" s="87">
        <v>21.68</v>
      </c>
      <c r="M28" s="87">
        <v>0.59</v>
      </c>
      <c r="N28" s="87"/>
      <c r="O28" s="87"/>
      <c r="P28" s="87">
        <v>98.749999999999986</v>
      </c>
      <c r="Q28" s="198">
        <v>69.861691026977184</v>
      </c>
      <c r="R28" s="197">
        <f t="shared" si="0"/>
        <v>212.13307240704501</v>
      </c>
      <c r="S28" s="87"/>
      <c r="T28" s="211"/>
      <c r="U28" s="208"/>
      <c r="V28" s="208"/>
      <c r="W28" s="208"/>
      <c r="X28" s="208"/>
      <c r="Y28" s="208"/>
      <c r="Z28" s="208"/>
      <c r="AA28" s="208"/>
      <c r="AB28" s="208"/>
      <c r="AC28" s="208"/>
      <c r="AD28" s="94"/>
      <c r="AE28" s="91"/>
      <c r="AF28" s="94"/>
      <c r="AG28" s="94"/>
      <c r="AH28" s="94"/>
      <c r="AI28" s="94"/>
      <c r="AJ28" s="94"/>
      <c r="AK28" s="94"/>
      <c r="AL28" s="94"/>
      <c r="AM28" s="94"/>
      <c r="AN28" s="94"/>
      <c r="AO28" s="94"/>
      <c r="AP28" s="94"/>
      <c r="AQ28" s="94"/>
      <c r="AR28" s="94"/>
      <c r="AS28" s="94"/>
      <c r="AT28" s="94"/>
      <c r="AU28" s="94"/>
      <c r="AV28" s="94"/>
      <c r="AW28" s="94"/>
      <c r="AX28" s="94"/>
      <c r="AY28" s="94"/>
      <c r="AZ28" s="94"/>
      <c r="BA28" s="94"/>
      <c r="BB28" s="94"/>
      <c r="BC28" s="94"/>
      <c r="BD28" s="94"/>
      <c r="BE28" s="94"/>
      <c r="BF28" s="94"/>
      <c r="BG28" s="94"/>
      <c r="BH28" s="94"/>
      <c r="BI28" s="94"/>
      <c r="BJ28" s="94"/>
      <c r="BK28" s="94"/>
      <c r="BL28" s="94"/>
      <c r="BM28" s="94"/>
    </row>
    <row r="29" spans="1:65" s="172" customFormat="1" ht="14.25" customHeight="1">
      <c r="A29" s="94" t="s">
        <v>368</v>
      </c>
      <c r="B29" s="94" t="s">
        <v>363</v>
      </c>
      <c r="C29" s="94" t="s">
        <v>151</v>
      </c>
      <c r="D29" s="95" t="s">
        <v>294</v>
      </c>
      <c r="E29" s="197">
        <v>1</v>
      </c>
      <c r="F29" s="87">
        <v>47</v>
      </c>
      <c r="G29" s="87">
        <v>2.68</v>
      </c>
      <c r="H29" s="87">
        <v>6.09</v>
      </c>
      <c r="I29" s="87">
        <v>8.06</v>
      </c>
      <c r="J29" s="87">
        <v>0.16</v>
      </c>
      <c r="K29" s="87">
        <v>13.21</v>
      </c>
      <c r="L29" s="87">
        <v>21.69</v>
      </c>
      <c r="M29" s="87">
        <v>0.47</v>
      </c>
      <c r="N29" s="87"/>
      <c r="O29" s="87"/>
      <c r="P29" s="87">
        <v>99.359999999999985</v>
      </c>
      <c r="Q29" s="198">
        <v>74.493462882781458</v>
      </c>
      <c r="R29" s="197">
        <f t="shared" si="0"/>
        <v>356.1576354679803</v>
      </c>
      <c r="S29" s="87"/>
      <c r="T29" s="211"/>
      <c r="U29" s="208"/>
      <c r="V29" s="208"/>
      <c r="W29" s="208"/>
      <c r="X29" s="208"/>
      <c r="Y29" s="208"/>
      <c r="Z29" s="208"/>
      <c r="AA29" s="208"/>
      <c r="AB29" s="208"/>
      <c r="AC29" s="208"/>
      <c r="AD29" s="94"/>
      <c r="AE29" s="91"/>
      <c r="AF29" s="94"/>
      <c r="AG29" s="94"/>
      <c r="AH29" s="94"/>
      <c r="AI29" s="94"/>
      <c r="AJ29" s="94"/>
      <c r="AK29" s="94"/>
      <c r="AL29" s="94"/>
      <c r="AM29" s="94"/>
      <c r="AN29" s="94"/>
      <c r="AO29" s="94"/>
      <c r="AP29" s="94"/>
      <c r="AQ29" s="94"/>
      <c r="AR29" s="94"/>
      <c r="AS29" s="94"/>
      <c r="AT29" s="94"/>
      <c r="AU29" s="94"/>
      <c r="AV29" s="94"/>
      <c r="AW29" s="94"/>
      <c r="AX29" s="94"/>
      <c r="AY29" s="94"/>
      <c r="AZ29" s="94"/>
      <c r="BA29" s="94"/>
      <c r="BB29" s="94"/>
      <c r="BC29" s="94"/>
      <c r="BD29" s="94"/>
      <c r="BE29" s="94"/>
      <c r="BF29" s="94"/>
      <c r="BG29" s="94"/>
      <c r="BH29" s="94"/>
      <c r="BI29" s="94"/>
      <c r="BJ29" s="94"/>
      <c r="BK29" s="94"/>
      <c r="BL29" s="94"/>
      <c r="BM29" s="94"/>
    </row>
    <row r="30" spans="1:65" s="184" customFormat="1" ht="14.75" customHeight="1" thickBot="1">
      <c r="A30" s="176" t="s">
        <v>369</v>
      </c>
      <c r="B30" s="176" t="s">
        <v>363</v>
      </c>
      <c r="C30" s="176" t="s">
        <v>151</v>
      </c>
      <c r="D30" s="169" t="s">
        <v>294</v>
      </c>
      <c r="E30" s="200">
        <v>1</v>
      </c>
      <c r="F30" s="190">
        <v>46.03</v>
      </c>
      <c r="G30" s="190">
        <v>3.25</v>
      </c>
      <c r="H30" s="190">
        <v>7.24</v>
      </c>
      <c r="I30" s="190">
        <v>8.18</v>
      </c>
      <c r="J30" s="190">
        <v>0.21</v>
      </c>
      <c r="K30" s="190">
        <v>12.55</v>
      </c>
      <c r="L30" s="190">
        <v>21.76</v>
      </c>
      <c r="M30" s="190">
        <v>0.56000000000000005</v>
      </c>
      <c r="N30" s="190"/>
      <c r="O30" s="190"/>
      <c r="P30" s="190">
        <v>99.78</v>
      </c>
      <c r="Q30" s="201">
        <v>73.218652566903813</v>
      </c>
      <c r="R30" s="200">
        <f t="shared" si="0"/>
        <v>300.55248618784532</v>
      </c>
      <c r="S30" s="190"/>
      <c r="T30" s="215"/>
      <c r="U30" s="203"/>
      <c r="V30" s="203"/>
      <c r="W30" s="203"/>
      <c r="X30" s="203"/>
      <c r="Y30" s="203"/>
      <c r="Z30" s="203"/>
      <c r="AA30" s="203"/>
      <c r="AB30" s="203"/>
      <c r="AC30" s="203"/>
      <c r="AD30" s="176"/>
      <c r="AE30" s="204"/>
      <c r="AF30" s="176"/>
      <c r="AG30" s="176"/>
      <c r="AH30" s="176"/>
      <c r="AI30" s="176"/>
      <c r="AJ30" s="176"/>
      <c r="AK30" s="176"/>
      <c r="AL30" s="176"/>
      <c r="AM30" s="176"/>
      <c r="AN30" s="176"/>
      <c r="AO30" s="176"/>
      <c r="AP30" s="176"/>
      <c r="AQ30" s="176"/>
      <c r="AR30" s="176"/>
      <c r="AS30" s="176"/>
      <c r="AT30" s="176"/>
      <c r="AU30" s="176"/>
      <c r="AV30" s="176"/>
      <c r="AW30" s="176"/>
      <c r="AX30" s="176"/>
      <c r="AY30" s="176"/>
      <c r="AZ30" s="176"/>
      <c r="BA30" s="176"/>
      <c r="BB30" s="176"/>
      <c r="BC30" s="176"/>
      <c r="BD30" s="176"/>
      <c r="BE30" s="176"/>
      <c r="BF30" s="176"/>
      <c r="BG30" s="176"/>
      <c r="BH30" s="176"/>
      <c r="BI30" s="176"/>
      <c r="BJ30" s="176"/>
      <c r="BK30" s="176"/>
      <c r="BL30" s="176"/>
      <c r="BM30" s="176"/>
    </row>
    <row r="31" spans="1:65" s="47" customFormat="1">
      <c r="AE31" s="2"/>
    </row>
    <row r="32" spans="1:65" s="47" customFormat="1">
      <c r="Q32" s="259"/>
      <c r="AE32" s="2"/>
    </row>
    <row r="33" spans="17:31" s="47" customFormat="1">
      <c r="Q33" s="259"/>
      <c r="AE33" s="2"/>
    </row>
    <row r="34" spans="17:31" s="3" customFormat="1">
      <c r="AE34" s="194"/>
    </row>
  </sheetData>
  <autoFilter ref="A7:BQ7"/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37"/>
  <sheetViews>
    <sheetView zoomScale="55" zoomScaleNormal="55" workbookViewId="0">
      <pane xSplit="5" ySplit="4" topLeftCell="F5" activePane="bottomRight" state="frozen"/>
      <selection pane="topRight" activeCell="G1" sqref="G1"/>
      <selection pane="bottomLeft" activeCell="A8" sqref="A8"/>
      <selection pane="bottomRight" activeCell="H43" sqref="H43"/>
    </sheetView>
  </sheetViews>
  <sheetFormatPr defaultRowHeight="14.25"/>
  <cols>
    <col min="1" max="1" width="22.19921875" customWidth="1"/>
    <col min="3" max="3" width="16.86328125" customWidth="1"/>
    <col min="4" max="4" width="18.1328125" customWidth="1"/>
  </cols>
  <sheetData>
    <row r="1" spans="1:18" s="1" customFormat="1">
      <c r="A1" s="100" t="s">
        <v>454</v>
      </c>
      <c r="B1" s="47"/>
      <c r="C1" s="47"/>
      <c r="D1" s="47"/>
      <c r="E1" s="47"/>
      <c r="F1" s="47"/>
      <c r="G1" s="47"/>
      <c r="H1" s="47"/>
      <c r="I1" s="47"/>
      <c r="J1" s="47"/>
      <c r="K1" s="47"/>
      <c r="L1" s="47"/>
      <c r="M1" s="47"/>
      <c r="N1" s="47"/>
      <c r="O1" s="47"/>
      <c r="P1" s="47"/>
      <c r="Q1" s="47"/>
      <c r="R1" s="47"/>
    </row>
    <row r="2" spans="1:18" s="1" customFormat="1">
      <c r="A2" s="47"/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  <c r="R2" s="47"/>
    </row>
    <row r="3" spans="1:18" s="181" customFormat="1" ht="13.15">
      <c r="A3" s="171"/>
      <c r="B3" s="171"/>
      <c r="C3" s="171"/>
      <c r="D3" s="171"/>
      <c r="E3" s="171"/>
      <c r="F3" s="163"/>
      <c r="G3" s="163"/>
      <c r="H3" s="163"/>
      <c r="I3" s="163"/>
      <c r="J3" s="163"/>
      <c r="K3" s="163"/>
      <c r="L3" s="163"/>
      <c r="M3" s="163"/>
      <c r="N3" s="163"/>
      <c r="O3" s="163"/>
      <c r="P3" s="163"/>
      <c r="Q3" s="163"/>
      <c r="R3" s="163"/>
    </row>
    <row r="4" spans="1:18" s="182" customFormat="1" ht="105" customHeight="1">
      <c r="A4" s="35" t="s">
        <v>406</v>
      </c>
      <c r="B4" s="35" t="s">
        <v>405</v>
      </c>
      <c r="C4" s="35" t="s">
        <v>407</v>
      </c>
      <c r="D4" s="35" t="s">
        <v>408</v>
      </c>
      <c r="E4" s="35" t="s">
        <v>336</v>
      </c>
      <c r="F4" s="35" t="s">
        <v>72</v>
      </c>
      <c r="G4" s="35" t="s">
        <v>73</v>
      </c>
      <c r="H4" s="35" t="s">
        <v>74</v>
      </c>
      <c r="I4" s="35" t="s">
        <v>75</v>
      </c>
      <c r="J4" s="35" t="s">
        <v>76</v>
      </c>
      <c r="K4" s="35" t="s">
        <v>77</v>
      </c>
      <c r="L4" s="35" t="s">
        <v>78</v>
      </c>
      <c r="M4" s="35" t="s">
        <v>409</v>
      </c>
      <c r="N4" s="35" t="s">
        <v>80</v>
      </c>
      <c r="O4" s="35" t="s">
        <v>79</v>
      </c>
      <c r="P4" s="35" t="s">
        <v>410</v>
      </c>
      <c r="Q4" s="35" t="s">
        <v>411</v>
      </c>
      <c r="R4" s="35" t="s">
        <v>93</v>
      </c>
    </row>
    <row r="5" spans="1:18" s="183" customFormat="1" ht="13.25" customHeight="1">
      <c r="A5" s="186" t="s">
        <v>372</v>
      </c>
      <c r="B5" s="163">
        <v>1</v>
      </c>
      <c r="C5" s="184" t="s">
        <v>370</v>
      </c>
      <c r="D5" s="164" t="s">
        <v>371</v>
      </c>
      <c r="E5" s="171" t="s">
        <v>97</v>
      </c>
      <c r="F5" s="162">
        <v>47.85</v>
      </c>
      <c r="G5" s="163">
        <v>1.97</v>
      </c>
      <c r="H5" s="162">
        <v>5.88</v>
      </c>
      <c r="I5" s="162">
        <v>9.8800000000000008</v>
      </c>
      <c r="J5" s="162">
        <v>0.32</v>
      </c>
      <c r="K5" s="162">
        <v>11.46</v>
      </c>
      <c r="L5" s="162">
        <v>21.05</v>
      </c>
      <c r="M5" s="162">
        <v>0.81</v>
      </c>
      <c r="N5" s="162"/>
      <c r="O5" s="187"/>
      <c r="P5" s="162">
        <v>0.04</v>
      </c>
      <c r="Q5" s="162">
        <v>99.259999999999991</v>
      </c>
      <c r="R5" s="52">
        <v>67.394144218216454</v>
      </c>
    </row>
    <row r="6" spans="1:18" s="183" customFormat="1" ht="13.25" customHeight="1">
      <c r="A6" s="186" t="s">
        <v>373</v>
      </c>
      <c r="B6" s="163">
        <v>2</v>
      </c>
      <c r="C6" s="184" t="s">
        <v>370</v>
      </c>
      <c r="D6" s="164" t="s">
        <v>371</v>
      </c>
      <c r="E6" s="171" t="s">
        <v>97</v>
      </c>
      <c r="F6" s="162">
        <v>48.14</v>
      </c>
      <c r="G6" s="163">
        <v>1.89</v>
      </c>
      <c r="H6" s="162">
        <v>5.7</v>
      </c>
      <c r="I6" s="162">
        <v>10.050000000000001</v>
      </c>
      <c r="J6" s="162">
        <v>0.34</v>
      </c>
      <c r="K6" s="162">
        <v>11.27</v>
      </c>
      <c r="L6" s="162">
        <v>21.11</v>
      </c>
      <c r="M6" s="162">
        <v>0.82</v>
      </c>
      <c r="N6" s="162">
        <v>0.01</v>
      </c>
      <c r="O6" s="187"/>
      <c r="P6" s="162">
        <v>0.03</v>
      </c>
      <c r="Q6" s="162">
        <v>99.36</v>
      </c>
      <c r="R6" s="52">
        <v>66.647565023205928</v>
      </c>
    </row>
    <row r="7" spans="1:18" s="183" customFormat="1" ht="13.25" customHeight="1">
      <c r="A7" s="186" t="s">
        <v>374</v>
      </c>
      <c r="B7" s="163">
        <v>3</v>
      </c>
      <c r="C7" s="184" t="s">
        <v>370</v>
      </c>
      <c r="D7" s="164" t="s">
        <v>371</v>
      </c>
      <c r="E7" s="171" t="s">
        <v>97</v>
      </c>
      <c r="F7" s="162">
        <v>47.89</v>
      </c>
      <c r="G7" s="163">
        <v>2</v>
      </c>
      <c r="H7" s="162">
        <v>5.82</v>
      </c>
      <c r="I7" s="162">
        <v>9.52</v>
      </c>
      <c r="J7" s="162">
        <v>0.32</v>
      </c>
      <c r="K7" s="162">
        <v>11.66</v>
      </c>
      <c r="L7" s="162">
        <v>21.17</v>
      </c>
      <c r="M7" s="162">
        <v>0.8</v>
      </c>
      <c r="N7" s="162"/>
      <c r="O7" s="187"/>
      <c r="P7" s="162">
        <v>0.05</v>
      </c>
      <c r="Q7" s="162">
        <v>99.22999999999999</v>
      </c>
      <c r="R7" s="52">
        <v>68.578471248011468</v>
      </c>
    </row>
    <row r="8" spans="1:18" s="183" customFormat="1" ht="13.25" customHeight="1">
      <c r="A8" s="186" t="s">
        <v>375</v>
      </c>
      <c r="B8" s="163">
        <v>4</v>
      </c>
      <c r="C8" s="184" t="s">
        <v>370</v>
      </c>
      <c r="D8" s="164" t="s">
        <v>371</v>
      </c>
      <c r="E8" s="171" t="s">
        <v>97</v>
      </c>
      <c r="F8" s="162">
        <v>48.62</v>
      </c>
      <c r="G8" s="163">
        <v>1.8</v>
      </c>
      <c r="H8" s="162">
        <v>5.5</v>
      </c>
      <c r="I8" s="162">
        <v>8.89</v>
      </c>
      <c r="J8" s="162">
        <v>0.28999999999999998</v>
      </c>
      <c r="K8" s="162">
        <v>12.1</v>
      </c>
      <c r="L8" s="162">
        <v>21.38</v>
      </c>
      <c r="M8" s="162">
        <v>0.74</v>
      </c>
      <c r="N8" s="162"/>
      <c r="O8" s="187"/>
      <c r="P8" s="162">
        <v>0.03</v>
      </c>
      <c r="Q8" s="162">
        <v>99.35</v>
      </c>
      <c r="R8" s="52">
        <v>70.806287431799618</v>
      </c>
    </row>
    <row r="9" spans="1:18" s="183" customFormat="1" ht="13.25" customHeight="1">
      <c r="A9" s="186" t="s">
        <v>376</v>
      </c>
      <c r="B9" s="163">
        <v>5</v>
      </c>
      <c r="C9" s="184" t="s">
        <v>370</v>
      </c>
      <c r="D9" s="164" t="s">
        <v>371</v>
      </c>
      <c r="E9" s="171" t="s">
        <v>97</v>
      </c>
      <c r="F9" s="162">
        <v>47.68</v>
      </c>
      <c r="G9" s="163">
        <v>2.17</v>
      </c>
      <c r="H9" s="162">
        <v>6.14</v>
      </c>
      <c r="I9" s="162">
        <v>9.83</v>
      </c>
      <c r="J9" s="162">
        <v>0.32</v>
      </c>
      <c r="K9" s="162">
        <v>11.35</v>
      </c>
      <c r="L9" s="162">
        <v>21.19</v>
      </c>
      <c r="M9" s="162">
        <v>0.8</v>
      </c>
      <c r="N9" s="162">
        <v>0.01</v>
      </c>
      <c r="O9" s="162">
        <v>0.01</v>
      </c>
      <c r="P9" s="162">
        <v>0.06</v>
      </c>
      <c r="Q9" s="162">
        <v>99.56</v>
      </c>
      <c r="R9" s="52">
        <v>67.293610735283352</v>
      </c>
    </row>
    <row r="10" spans="1:18" s="183" customFormat="1" ht="13.25" customHeight="1">
      <c r="A10" s="186" t="s">
        <v>377</v>
      </c>
      <c r="B10" s="163">
        <v>6</v>
      </c>
      <c r="C10" s="184" t="s">
        <v>370</v>
      </c>
      <c r="D10" s="164" t="s">
        <v>371</v>
      </c>
      <c r="E10" s="171" t="s">
        <v>97</v>
      </c>
      <c r="F10" s="162">
        <v>47.49</v>
      </c>
      <c r="G10" s="163">
        <v>2.09</v>
      </c>
      <c r="H10" s="162">
        <v>6</v>
      </c>
      <c r="I10" s="162">
        <v>10.18</v>
      </c>
      <c r="J10" s="162">
        <v>0.32</v>
      </c>
      <c r="K10" s="162">
        <v>11.13</v>
      </c>
      <c r="L10" s="162">
        <v>21.34</v>
      </c>
      <c r="M10" s="162">
        <v>0.82</v>
      </c>
      <c r="N10" s="162">
        <v>0.02</v>
      </c>
      <c r="O10" s="187"/>
      <c r="P10" s="162">
        <v>0.01</v>
      </c>
      <c r="Q10" s="162">
        <v>99.399999999999977</v>
      </c>
      <c r="R10" s="52">
        <v>66.081655772332326</v>
      </c>
    </row>
    <row r="11" spans="1:18" s="183" customFormat="1" ht="13.25" customHeight="1">
      <c r="A11" s="186" t="s">
        <v>378</v>
      </c>
      <c r="B11" s="163">
        <v>7</v>
      </c>
      <c r="C11" s="184" t="s">
        <v>370</v>
      </c>
      <c r="D11" s="164" t="s">
        <v>371</v>
      </c>
      <c r="E11" s="171" t="s">
        <v>97</v>
      </c>
      <c r="F11" s="162">
        <v>47.46</v>
      </c>
      <c r="G11" s="163">
        <v>2.16</v>
      </c>
      <c r="H11" s="162">
        <v>6.14</v>
      </c>
      <c r="I11" s="162">
        <v>10.23</v>
      </c>
      <c r="J11" s="162">
        <v>0.3</v>
      </c>
      <c r="K11" s="162">
        <v>11.01</v>
      </c>
      <c r="L11" s="162">
        <v>21.15</v>
      </c>
      <c r="M11" s="162">
        <v>0.81</v>
      </c>
      <c r="N11" s="162"/>
      <c r="O11" s="187"/>
      <c r="P11" s="162">
        <v>0.06</v>
      </c>
      <c r="Q11" s="162">
        <v>99.320000000000022</v>
      </c>
      <c r="R11" s="52">
        <v>65.727979430374845</v>
      </c>
    </row>
    <row r="12" spans="1:18" s="183" customFormat="1" ht="13.25" customHeight="1">
      <c r="A12" s="186" t="s">
        <v>379</v>
      </c>
      <c r="B12" s="163">
        <v>8</v>
      </c>
      <c r="C12" s="184" t="s">
        <v>370</v>
      </c>
      <c r="D12" s="164" t="s">
        <v>371</v>
      </c>
      <c r="E12" s="171" t="s">
        <v>97</v>
      </c>
      <c r="F12" s="162">
        <v>47.66</v>
      </c>
      <c r="G12" s="163">
        <v>2.12</v>
      </c>
      <c r="H12" s="162">
        <v>5.89</v>
      </c>
      <c r="I12" s="162">
        <v>9.98</v>
      </c>
      <c r="J12" s="162">
        <v>0.28000000000000003</v>
      </c>
      <c r="K12" s="162">
        <v>11.28</v>
      </c>
      <c r="L12" s="162">
        <v>21.15</v>
      </c>
      <c r="M12" s="162">
        <v>0.81</v>
      </c>
      <c r="N12" s="162"/>
      <c r="O12" s="187"/>
      <c r="P12" s="162">
        <v>0.02</v>
      </c>
      <c r="Q12" s="162">
        <v>99.189999999999984</v>
      </c>
      <c r="R12" s="52">
        <v>66.822417461590959</v>
      </c>
    </row>
    <row r="13" spans="1:18" s="183" customFormat="1" ht="13.25" customHeight="1">
      <c r="A13" s="186" t="s">
        <v>380</v>
      </c>
      <c r="B13" s="163">
        <v>9</v>
      </c>
      <c r="C13" s="184" t="s">
        <v>370</v>
      </c>
      <c r="D13" s="164" t="s">
        <v>371</v>
      </c>
      <c r="E13" s="171" t="s">
        <v>97</v>
      </c>
      <c r="F13" s="162">
        <v>49.52</v>
      </c>
      <c r="G13" s="163">
        <v>1.58</v>
      </c>
      <c r="H13" s="162">
        <v>4.4800000000000004</v>
      </c>
      <c r="I13" s="162">
        <v>9.34</v>
      </c>
      <c r="J13" s="162">
        <v>0.3</v>
      </c>
      <c r="K13" s="162">
        <v>12.33</v>
      </c>
      <c r="L13" s="162">
        <v>21.29</v>
      </c>
      <c r="M13" s="162">
        <v>0.73</v>
      </c>
      <c r="N13" s="162"/>
      <c r="O13" s="187"/>
      <c r="P13" s="162">
        <v>0.02</v>
      </c>
      <c r="Q13" s="162">
        <v>99.59</v>
      </c>
      <c r="R13" s="52">
        <v>70.170812778871266</v>
      </c>
    </row>
    <row r="14" spans="1:18" s="183" customFormat="1" ht="13.25" customHeight="1">
      <c r="A14" s="186" t="s">
        <v>381</v>
      </c>
      <c r="B14" s="163">
        <v>10</v>
      </c>
      <c r="C14" s="184" t="s">
        <v>370</v>
      </c>
      <c r="D14" s="164" t="s">
        <v>371</v>
      </c>
      <c r="E14" s="171" t="s">
        <v>97</v>
      </c>
      <c r="F14" s="162">
        <v>49.59</v>
      </c>
      <c r="G14" s="163">
        <v>1.61</v>
      </c>
      <c r="H14" s="162">
        <v>4.53</v>
      </c>
      <c r="I14" s="162">
        <v>9.17</v>
      </c>
      <c r="J14" s="162">
        <v>0.32</v>
      </c>
      <c r="K14" s="162">
        <v>12.28</v>
      </c>
      <c r="L14" s="162">
        <v>21.31</v>
      </c>
      <c r="M14" s="162">
        <v>0.77</v>
      </c>
      <c r="N14" s="162"/>
      <c r="O14" s="162">
        <v>0.01</v>
      </c>
      <c r="P14" s="162">
        <v>0.05</v>
      </c>
      <c r="Q14" s="162">
        <v>99.64</v>
      </c>
      <c r="R14" s="52">
        <v>70.469381550041447</v>
      </c>
    </row>
    <row r="15" spans="1:18" s="183" customFormat="1" ht="13.25" customHeight="1">
      <c r="A15" s="186" t="s">
        <v>382</v>
      </c>
      <c r="B15" s="163">
        <v>11</v>
      </c>
      <c r="C15" s="184" t="s">
        <v>370</v>
      </c>
      <c r="D15" s="164" t="s">
        <v>371</v>
      </c>
      <c r="E15" s="171" t="s">
        <v>97</v>
      </c>
      <c r="F15" s="162">
        <v>49.61</v>
      </c>
      <c r="G15" s="163">
        <v>1.63</v>
      </c>
      <c r="H15" s="162">
        <v>4.53</v>
      </c>
      <c r="I15" s="162">
        <v>9.17</v>
      </c>
      <c r="J15" s="162">
        <v>0.32</v>
      </c>
      <c r="K15" s="162">
        <v>12.33</v>
      </c>
      <c r="L15" s="162">
        <v>21.06</v>
      </c>
      <c r="M15" s="162">
        <v>0.74</v>
      </c>
      <c r="N15" s="162">
        <v>0.01</v>
      </c>
      <c r="O15" s="187"/>
      <c r="P15" s="162">
        <v>0.04</v>
      </c>
      <c r="Q15" s="162">
        <v>99.44</v>
      </c>
      <c r="R15" s="52">
        <v>70.553870578111599</v>
      </c>
    </row>
    <row r="16" spans="1:18" s="183" customFormat="1" ht="13.25" customHeight="1">
      <c r="A16" s="186" t="s">
        <v>383</v>
      </c>
      <c r="B16" s="163">
        <v>12</v>
      </c>
      <c r="C16" s="184" t="s">
        <v>370</v>
      </c>
      <c r="D16" s="164" t="s">
        <v>371</v>
      </c>
      <c r="E16" s="171" t="s">
        <v>97</v>
      </c>
      <c r="F16" s="162">
        <v>48.45</v>
      </c>
      <c r="G16" s="163">
        <v>2.0299999999999998</v>
      </c>
      <c r="H16" s="162">
        <v>5.76</v>
      </c>
      <c r="I16" s="162">
        <v>9.01</v>
      </c>
      <c r="J16" s="162">
        <v>0.28000000000000003</v>
      </c>
      <c r="K16" s="162">
        <v>12.29</v>
      </c>
      <c r="L16" s="162">
        <v>20.96</v>
      </c>
      <c r="M16" s="162">
        <v>0.67</v>
      </c>
      <c r="N16" s="162"/>
      <c r="O16" s="187"/>
      <c r="P16" s="162">
        <v>0.04</v>
      </c>
      <c r="Q16" s="162">
        <v>99.490000000000009</v>
      </c>
      <c r="R16" s="52">
        <v>70.851173781376545</v>
      </c>
    </row>
    <row r="17" spans="1:18" s="183" customFormat="1" ht="13.25" customHeight="1">
      <c r="A17" s="186" t="s">
        <v>384</v>
      </c>
      <c r="B17" s="163">
        <v>13</v>
      </c>
      <c r="C17" s="184" t="s">
        <v>370</v>
      </c>
      <c r="D17" s="164" t="s">
        <v>371</v>
      </c>
      <c r="E17" s="171" t="s">
        <v>97</v>
      </c>
      <c r="F17" s="162">
        <v>48.18</v>
      </c>
      <c r="G17" s="163">
        <v>2.16</v>
      </c>
      <c r="H17" s="162">
        <v>6.24</v>
      </c>
      <c r="I17" s="162">
        <v>8.6300000000000008</v>
      </c>
      <c r="J17" s="162">
        <v>0.26</v>
      </c>
      <c r="K17" s="162">
        <v>12.59</v>
      </c>
      <c r="L17" s="162">
        <v>20.91</v>
      </c>
      <c r="M17" s="162">
        <v>0.64</v>
      </c>
      <c r="N17" s="162"/>
      <c r="O17" s="187"/>
      <c r="P17" s="162">
        <v>0.02</v>
      </c>
      <c r="Q17" s="162">
        <v>99.63000000000001</v>
      </c>
      <c r="R17" s="52">
        <v>72.219472358910338</v>
      </c>
    </row>
    <row r="18" spans="1:18" s="183" customFormat="1" ht="13.25" customHeight="1">
      <c r="A18" s="186" t="s">
        <v>385</v>
      </c>
      <c r="B18" s="163">
        <v>14</v>
      </c>
      <c r="C18" s="184" t="s">
        <v>370</v>
      </c>
      <c r="D18" s="164" t="s">
        <v>371</v>
      </c>
      <c r="E18" s="171" t="s">
        <v>97</v>
      </c>
      <c r="F18" s="162">
        <v>47.94</v>
      </c>
      <c r="G18" s="163">
        <v>2.19</v>
      </c>
      <c r="H18" s="162">
        <v>6.32</v>
      </c>
      <c r="I18" s="162">
        <v>8.19</v>
      </c>
      <c r="J18" s="162">
        <v>0.23</v>
      </c>
      <c r="K18" s="162">
        <v>13.21</v>
      </c>
      <c r="L18" s="162">
        <v>20.63</v>
      </c>
      <c r="M18" s="162">
        <v>0.53</v>
      </c>
      <c r="N18" s="162"/>
      <c r="O18" s="187"/>
      <c r="P18" s="162">
        <v>0.02</v>
      </c>
      <c r="Q18" s="162">
        <v>99.26</v>
      </c>
      <c r="R18" s="52">
        <v>74.188255545084303</v>
      </c>
    </row>
    <row r="19" spans="1:18" s="183" customFormat="1" ht="13.25" customHeight="1">
      <c r="A19" s="186" t="s">
        <v>386</v>
      </c>
      <c r="B19" s="163">
        <v>15</v>
      </c>
      <c r="C19" s="184" t="s">
        <v>370</v>
      </c>
      <c r="D19" s="164" t="s">
        <v>371</v>
      </c>
      <c r="E19" s="171" t="s">
        <v>97</v>
      </c>
      <c r="F19" s="162">
        <v>49.28</v>
      </c>
      <c r="G19" s="163">
        <v>1.96</v>
      </c>
      <c r="H19" s="162">
        <v>5.38</v>
      </c>
      <c r="I19" s="162">
        <v>6.92</v>
      </c>
      <c r="J19" s="162">
        <v>0.14000000000000001</v>
      </c>
      <c r="K19" s="162">
        <v>14.27</v>
      </c>
      <c r="L19" s="162">
        <v>21.22</v>
      </c>
      <c r="M19" s="162">
        <v>0.39</v>
      </c>
      <c r="N19" s="162"/>
      <c r="O19" s="187"/>
      <c r="P19" s="162">
        <v>0.08</v>
      </c>
      <c r="Q19" s="162">
        <v>99.64</v>
      </c>
      <c r="R19" s="52">
        <v>78.608054532388167</v>
      </c>
    </row>
    <row r="20" spans="1:18" s="183" customFormat="1" ht="13.25" customHeight="1">
      <c r="A20" s="186" t="s">
        <v>387</v>
      </c>
      <c r="B20" s="163">
        <v>16</v>
      </c>
      <c r="C20" s="184" t="s">
        <v>370</v>
      </c>
      <c r="D20" s="164" t="s">
        <v>371</v>
      </c>
      <c r="E20" s="171" t="s">
        <v>97</v>
      </c>
      <c r="F20" s="162">
        <v>49.81</v>
      </c>
      <c r="G20" s="163">
        <v>1.8</v>
      </c>
      <c r="H20" s="162">
        <v>4.76</v>
      </c>
      <c r="I20" s="162">
        <v>6.36</v>
      </c>
      <c r="J20" s="162">
        <v>0.1</v>
      </c>
      <c r="K20" s="162">
        <v>14.59</v>
      </c>
      <c r="L20" s="162">
        <v>21.27</v>
      </c>
      <c r="M20" s="162">
        <v>0.35</v>
      </c>
      <c r="N20" s="162">
        <v>0.13</v>
      </c>
      <c r="O20" s="187"/>
      <c r="P20" s="162">
        <v>0.05</v>
      </c>
      <c r="Q20" s="162">
        <v>99.219999999999985</v>
      </c>
      <c r="R20" s="52">
        <v>80.345409284080276</v>
      </c>
    </row>
    <row r="21" spans="1:18" s="183" customFormat="1" ht="13.25" customHeight="1">
      <c r="A21" s="186" t="s">
        <v>388</v>
      </c>
      <c r="B21" s="163">
        <v>17</v>
      </c>
      <c r="C21" s="184" t="s">
        <v>370</v>
      </c>
      <c r="D21" s="164" t="s">
        <v>371</v>
      </c>
      <c r="E21" s="171" t="s">
        <v>97</v>
      </c>
      <c r="F21" s="162">
        <v>48.98</v>
      </c>
      <c r="G21" s="163">
        <v>2.09</v>
      </c>
      <c r="H21" s="162">
        <v>4.97</v>
      </c>
      <c r="I21" s="162">
        <v>6.99</v>
      </c>
      <c r="J21" s="162">
        <v>0.11</v>
      </c>
      <c r="K21" s="162">
        <v>14.35</v>
      </c>
      <c r="L21" s="162">
        <v>21.08</v>
      </c>
      <c r="M21" s="162">
        <v>0.35</v>
      </c>
      <c r="N21" s="162">
        <v>0.03</v>
      </c>
      <c r="O21" s="187"/>
      <c r="P21" s="162">
        <v>0.04</v>
      </c>
      <c r="Q21" s="162">
        <v>98.99</v>
      </c>
      <c r="R21" s="52">
        <v>78.532719735696105</v>
      </c>
    </row>
    <row r="22" spans="1:18" s="183" customFormat="1" ht="13.5" customHeight="1" thickBot="1">
      <c r="A22" s="188" t="s">
        <v>389</v>
      </c>
      <c r="B22" s="169">
        <v>18</v>
      </c>
      <c r="C22" s="180" t="s">
        <v>370</v>
      </c>
      <c r="D22" s="189" t="s">
        <v>371</v>
      </c>
      <c r="E22" s="176" t="s">
        <v>97</v>
      </c>
      <c r="F22" s="190">
        <v>47.48</v>
      </c>
      <c r="G22" s="169">
        <v>2.8</v>
      </c>
      <c r="H22" s="190">
        <v>6.31</v>
      </c>
      <c r="I22" s="190">
        <v>7.51</v>
      </c>
      <c r="J22" s="190">
        <v>0.12</v>
      </c>
      <c r="K22" s="190">
        <v>13.35</v>
      </c>
      <c r="L22" s="190">
        <v>21.16</v>
      </c>
      <c r="M22" s="190">
        <v>0.35</v>
      </c>
      <c r="N22" s="190"/>
      <c r="O22" s="191"/>
      <c r="P22" s="190">
        <v>0.05</v>
      </c>
      <c r="Q22" s="190">
        <v>99.129999999999981</v>
      </c>
      <c r="R22" s="30">
        <v>76.005789723697674</v>
      </c>
    </row>
    <row r="23" spans="1:18" s="183" customFormat="1" ht="13.25" customHeight="1">
      <c r="A23" s="186" t="s">
        <v>392</v>
      </c>
      <c r="B23" s="163">
        <v>1</v>
      </c>
      <c r="C23" s="184" t="s">
        <v>390</v>
      </c>
      <c r="D23" s="164" t="s">
        <v>391</v>
      </c>
      <c r="E23" s="171" t="s">
        <v>97</v>
      </c>
      <c r="F23" s="162">
        <v>49.78</v>
      </c>
      <c r="G23" s="163">
        <v>1.49</v>
      </c>
      <c r="H23" s="162">
        <v>4.18</v>
      </c>
      <c r="I23" s="162">
        <v>9.16</v>
      </c>
      <c r="J23" s="162">
        <v>0.34</v>
      </c>
      <c r="K23" s="162">
        <v>12.26</v>
      </c>
      <c r="L23" s="162">
        <v>19.62</v>
      </c>
      <c r="M23" s="162">
        <v>0.82</v>
      </c>
      <c r="N23" s="162">
        <v>0.01</v>
      </c>
      <c r="O23" s="187"/>
      <c r="P23" s="162">
        <v>0.04</v>
      </c>
      <c r="Q23" s="162">
        <v>97.700000000000017</v>
      </c>
      <c r="R23" s="52">
        <v>70.458166100243332</v>
      </c>
    </row>
    <row r="24" spans="1:18" s="183" customFormat="1" ht="13.25" customHeight="1">
      <c r="A24" s="186" t="s">
        <v>393</v>
      </c>
      <c r="B24" s="163">
        <v>2</v>
      </c>
      <c r="C24" s="184" t="s">
        <v>390</v>
      </c>
      <c r="D24" s="164" t="s">
        <v>391</v>
      </c>
      <c r="E24" s="171" t="s">
        <v>97</v>
      </c>
      <c r="F24" s="162">
        <v>49.35</v>
      </c>
      <c r="G24" s="163">
        <v>1.48</v>
      </c>
      <c r="H24" s="162">
        <v>4.3499999999999996</v>
      </c>
      <c r="I24" s="162">
        <v>9.3699999999999992</v>
      </c>
      <c r="J24" s="162">
        <v>0.33</v>
      </c>
      <c r="K24" s="162">
        <v>12.21</v>
      </c>
      <c r="L24" s="162">
        <v>19.61</v>
      </c>
      <c r="M24" s="162">
        <v>0.85</v>
      </c>
      <c r="N24" s="162">
        <v>0.02</v>
      </c>
      <c r="O24" s="187"/>
      <c r="P24" s="162">
        <v>0.02</v>
      </c>
      <c r="Q24" s="162">
        <v>97.589999999999989</v>
      </c>
      <c r="R24" s="52">
        <v>69.89826945082028</v>
      </c>
    </row>
    <row r="25" spans="1:18" s="183" customFormat="1" ht="13.25" customHeight="1">
      <c r="A25" s="186" t="s">
        <v>394</v>
      </c>
      <c r="B25" s="163">
        <v>3</v>
      </c>
      <c r="C25" s="184" t="s">
        <v>390</v>
      </c>
      <c r="D25" s="164" t="s">
        <v>391</v>
      </c>
      <c r="E25" s="171" t="s">
        <v>97</v>
      </c>
      <c r="F25" s="162">
        <v>49.46</v>
      </c>
      <c r="G25" s="163">
        <v>1.54</v>
      </c>
      <c r="H25" s="162">
        <v>4.38</v>
      </c>
      <c r="I25" s="162">
        <v>9.3800000000000008</v>
      </c>
      <c r="J25" s="162">
        <v>0.33</v>
      </c>
      <c r="K25" s="162">
        <v>12.1</v>
      </c>
      <c r="L25" s="162">
        <v>19.63</v>
      </c>
      <c r="M25" s="162">
        <v>0.85</v>
      </c>
      <c r="N25" s="162">
        <v>0.02</v>
      </c>
      <c r="O25" s="162">
        <v>0.01</v>
      </c>
      <c r="P25" s="162">
        <v>0.03</v>
      </c>
      <c r="Q25" s="162">
        <v>97.72999999999999</v>
      </c>
      <c r="R25" s="52">
        <v>69.684984761862552</v>
      </c>
    </row>
    <row r="26" spans="1:18" s="183" customFormat="1" ht="13.25" customHeight="1">
      <c r="A26" s="186" t="s">
        <v>395</v>
      </c>
      <c r="B26" s="163">
        <v>4</v>
      </c>
      <c r="C26" s="184" t="s">
        <v>390</v>
      </c>
      <c r="D26" s="164" t="s">
        <v>391</v>
      </c>
      <c r="E26" s="171" t="s">
        <v>97</v>
      </c>
      <c r="F26" s="162">
        <v>48.73</v>
      </c>
      <c r="G26" s="163">
        <v>1.61</v>
      </c>
      <c r="H26" s="162">
        <v>5</v>
      </c>
      <c r="I26" s="162">
        <v>10.39</v>
      </c>
      <c r="J26" s="162">
        <v>0.37</v>
      </c>
      <c r="K26" s="162">
        <v>11.52</v>
      </c>
      <c r="L26" s="162">
        <v>19.46</v>
      </c>
      <c r="M26" s="162">
        <v>0.88</v>
      </c>
      <c r="N26" s="162">
        <v>0.02</v>
      </c>
      <c r="O26" s="187"/>
      <c r="P26" s="162">
        <v>0.01</v>
      </c>
      <c r="Q26" s="162">
        <v>97.989999999999981</v>
      </c>
      <c r="R26" s="52">
        <v>66.395223103696694</v>
      </c>
    </row>
    <row r="27" spans="1:18" s="183" customFormat="1" ht="13.25" customHeight="1">
      <c r="A27" s="186" t="s">
        <v>396</v>
      </c>
      <c r="B27" s="163">
        <v>5</v>
      </c>
      <c r="C27" s="184" t="s">
        <v>390</v>
      </c>
      <c r="D27" s="164" t="s">
        <v>391</v>
      </c>
      <c r="E27" s="171" t="s">
        <v>97</v>
      </c>
      <c r="F27" s="162">
        <v>48.58</v>
      </c>
      <c r="G27" s="163">
        <v>1.88</v>
      </c>
      <c r="H27" s="162">
        <v>5.73</v>
      </c>
      <c r="I27" s="162">
        <v>9.16</v>
      </c>
      <c r="J27" s="162">
        <v>0.3</v>
      </c>
      <c r="K27" s="162">
        <v>12.1</v>
      </c>
      <c r="L27" s="162">
        <v>19.72</v>
      </c>
      <c r="M27" s="162">
        <v>0.72</v>
      </c>
      <c r="N27" s="162">
        <v>0.02</v>
      </c>
      <c r="O27" s="187"/>
      <c r="P27" s="162">
        <v>0.04</v>
      </c>
      <c r="Q27" s="162">
        <v>98.249999999999986</v>
      </c>
      <c r="R27" s="52">
        <v>70.18400224744147</v>
      </c>
    </row>
    <row r="28" spans="1:18" s="183" customFormat="1" ht="13.25" customHeight="1">
      <c r="A28" s="186" t="s">
        <v>397</v>
      </c>
      <c r="B28" s="163">
        <v>6</v>
      </c>
      <c r="C28" s="184" t="s">
        <v>390</v>
      </c>
      <c r="D28" s="164" t="s">
        <v>391</v>
      </c>
      <c r="E28" s="171" t="s">
        <v>97</v>
      </c>
      <c r="F28" s="162">
        <v>48.82</v>
      </c>
      <c r="G28" s="163">
        <v>1.88</v>
      </c>
      <c r="H28" s="162">
        <v>5.63</v>
      </c>
      <c r="I28" s="162">
        <v>8.77</v>
      </c>
      <c r="J28" s="162">
        <v>0.28000000000000003</v>
      </c>
      <c r="K28" s="162">
        <v>12.5</v>
      </c>
      <c r="L28" s="162">
        <v>19.670000000000002</v>
      </c>
      <c r="M28" s="162">
        <v>0.67</v>
      </c>
      <c r="N28" s="162">
        <v>0.03</v>
      </c>
      <c r="O28" s="187"/>
      <c r="P28" s="162">
        <v>0.02</v>
      </c>
      <c r="Q28" s="162">
        <v>98.27000000000001</v>
      </c>
      <c r="R28" s="52">
        <v>71.75027316973879</v>
      </c>
    </row>
    <row r="29" spans="1:18" s="183" customFormat="1" ht="13.25" customHeight="1">
      <c r="A29" s="186" t="s">
        <v>398</v>
      </c>
      <c r="B29" s="163">
        <v>7</v>
      </c>
      <c r="C29" s="184" t="s">
        <v>390</v>
      </c>
      <c r="D29" s="164" t="s">
        <v>391</v>
      </c>
      <c r="E29" s="171" t="s">
        <v>97</v>
      </c>
      <c r="F29" s="162">
        <v>49.66</v>
      </c>
      <c r="G29" s="163">
        <v>2.0299999999999998</v>
      </c>
      <c r="H29" s="162">
        <v>4.9400000000000004</v>
      </c>
      <c r="I29" s="162">
        <v>7</v>
      </c>
      <c r="J29" s="162">
        <v>0.12</v>
      </c>
      <c r="K29" s="162">
        <v>14.17</v>
      </c>
      <c r="L29" s="162">
        <v>20</v>
      </c>
      <c r="M29" s="162">
        <v>0.36</v>
      </c>
      <c r="N29" s="162">
        <v>0.09</v>
      </c>
      <c r="O29" s="187"/>
      <c r="P29" s="162">
        <v>0.04</v>
      </c>
      <c r="Q29" s="162">
        <v>98.41</v>
      </c>
      <c r="R29" s="52">
        <v>78.29486142324194</v>
      </c>
    </row>
    <row r="30" spans="1:18" s="183" customFormat="1" ht="13.25" customHeight="1">
      <c r="A30" s="186" t="s">
        <v>399</v>
      </c>
      <c r="B30" s="163">
        <v>8</v>
      </c>
      <c r="C30" s="184" t="s">
        <v>390</v>
      </c>
      <c r="D30" s="164" t="s">
        <v>391</v>
      </c>
      <c r="E30" s="171" t="s">
        <v>97</v>
      </c>
      <c r="F30" s="162">
        <v>49.89</v>
      </c>
      <c r="G30" s="163">
        <v>2.02</v>
      </c>
      <c r="H30" s="162">
        <v>4.75</v>
      </c>
      <c r="I30" s="162">
        <v>6.8</v>
      </c>
      <c r="J30" s="162">
        <v>0.12</v>
      </c>
      <c r="K30" s="162">
        <v>14.39</v>
      </c>
      <c r="L30" s="162">
        <v>20.059999999999999</v>
      </c>
      <c r="M30" s="162">
        <v>0.36</v>
      </c>
      <c r="N30" s="162">
        <v>0.1</v>
      </c>
      <c r="O30" s="187"/>
      <c r="P30" s="162">
        <v>0.03</v>
      </c>
      <c r="Q30" s="162">
        <v>98.52</v>
      </c>
      <c r="R30" s="52">
        <v>79.039813637353078</v>
      </c>
    </row>
    <row r="31" spans="1:18" s="183" customFormat="1" ht="13.25" customHeight="1">
      <c r="A31" s="186" t="s">
        <v>400</v>
      </c>
      <c r="B31" s="163">
        <v>9</v>
      </c>
      <c r="C31" s="184" t="s">
        <v>390</v>
      </c>
      <c r="D31" s="164" t="s">
        <v>391</v>
      </c>
      <c r="E31" s="171" t="s">
        <v>97</v>
      </c>
      <c r="F31" s="162">
        <v>49.92</v>
      </c>
      <c r="G31" s="163">
        <v>1.99</v>
      </c>
      <c r="H31" s="162">
        <v>4.78</v>
      </c>
      <c r="I31" s="162">
        <v>6.67</v>
      </c>
      <c r="J31" s="162">
        <v>0.13</v>
      </c>
      <c r="K31" s="162">
        <v>14.36</v>
      </c>
      <c r="L31" s="162">
        <v>20.2</v>
      </c>
      <c r="M31" s="162">
        <v>0.36</v>
      </c>
      <c r="N31" s="162">
        <v>0.13</v>
      </c>
      <c r="O31" s="187"/>
      <c r="P31" s="162"/>
      <c r="Q31" s="162">
        <v>98.54</v>
      </c>
      <c r="R31" s="52">
        <v>79.323600076623194</v>
      </c>
    </row>
    <row r="32" spans="1:18" s="183" customFormat="1" ht="13.25" customHeight="1">
      <c r="A32" s="186" t="s">
        <v>401</v>
      </c>
      <c r="B32" s="163">
        <v>10</v>
      </c>
      <c r="C32" s="184" t="s">
        <v>390</v>
      </c>
      <c r="D32" s="164" t="s">
        <v>391</v>
      </c>
      <c r="E32" s="171" t="s">
        <v>97</v>
      </c>
      <c r="F32" s="162">
        <v>49.89</v>
      </c>
      <c r="G32" s="163">
        <v>1.84</v>
      </c>
      <c r="H32" s="162">
        <v>4.63</v>
      </c>
      <c r="I32" s="162">
        <v>6.59</v>
      </c>
      <c r="J32" s="162">
        <v>0.12</v>
      </c>
      <c r="K32" s="162">
        <v>14.39</v>
      </c>
      <c r="L32" s="162">
        <v>20.149999999999999</v>
      </c>
      <c r="M32" s="162">
        <v>0.35</v>
      </c>
      <c r="N32" s="162">
        <v>0.13</v>
      </c>
      <c r="O32" s="187"/>
      <c r="P32" s="162">
        <v>0.02</v>
      </c>
      <c r="Q32" s="162">
        <v>98.11</v>
      </c>
      <c r="R32" s="52">
        <v>79.554771572679911</v>
      </c>
    </row>
    <row r="33" spans="1:18" s="183" customFormat="1" ht="13.25" customHeight="1">
      <c r="A33" s="186" t="s">
        <v>402</v>
      </c>
      <c r="B33" s="163">
        <v>11</v>
      </c>
      <c r="C33" s="184" t="s">
        <v>390</v>
      </c>
      <c r="D33" s="164" t="s">
        <v>391</v>
      </c>
      <c r="E33" s="171" t="s">
        <v>97</v>
      </c>
      <c r="F33" s="162">
        <v>49.86</v>
      </c>
      <c r="G33" s="163">
        <v>1.89</v>
      </c>
      <c r="H33" s="162">
        <v>4.68</v>
      </c>
      <c r="I33" s="162">
        <v>6.53</v>
      </c>
      <c r="J33" s="162">
        <v>0.11</v>
      </c>
      <c r="K33" s="162">
        <v>14.27</v>
      </c>
      <c r="L33" s="162">
        <v>20.22</v>
      </c>
      <c r="M33" s="162">
        <v>0.35</v>
      </c>
      <c r="N33" s="162">
        <v>0.1</v>
      </c>
      <c r="O33" s="187"/>
      <c r="P33" s="162">
        <v>0.03</v>
      </c>
      <c r="Q33" s="162">
        <v>98.039999999999992</v>
      </c>
      <c r="R33" s="52">
        <v>79.567330541666792</v>
      </c>
    </row>
    <row r="34" spans="1:18" s="183" customFormat="1" ht="13.5" customHeight="1" thickBot="1">
      <c r="A34" s="188" t="s">
        <v>403</v>
      </c>
      <c r="B34" s="169">
        <v>12</v>
      </c>
      <c r="C34" s="180" t="s">
        <v>390</v>
      </c>
      <c r="D34" s="189" t="s">
        <v>391</v>
      </c>
      <c r="E34" s="176" t="s">
        <v>97</v>
      </c>
      <c r="F34" s="190">
        <v>49.58</v>
      </c>
      <c r="G34" s="169">
        <v>1.92</v>
      </c>
      <c r="H34" s="190">
        <v>5.05</v>
      </c>
      <c r="I34" s="190">
        <v>6.71</v>
      </c>
      <c r="J34" s="190">
        <v>0.11</v>
      </c>
      <c r="K34" s="190">
        <v>13.99</v>
      </c>
      <c r="L34" s="190">
        <v>20.149999999999999</v>
      </c>
      <c r="M34" s="190">
        <v>0.37</v>
      </c>
      <c r="N34" s="190">
        <v>0.06</v>
      </c>
      <c r="O34" s="190">
        <v>0.01</v>
      </c>
      <c r="P34" s="190">
        <v>0.04</v>
      </c>
      <c r="Q34" s="190">
        <v>97.990000000000009</v>
      </c>
      <c r="R34" s="30">
        <v>78.792449065714777</v>
      </c>
    </row>
    <row r="35" spans="1:18" s="1" customFormat="1"/>
    <row r="36" spans="1:18" s="1" customFormat="1"/>
    <row r="37" spans="1:18" s="1" customFormat="1"/>
  </sheetData>
  <pageMargins left="0.7" right="0.7" top="0.75" bottom="0.75" header="0.3" footer="0.3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K65"/>
  <sheetViews>
    <sheetView zoomScale="40" zoomScaleNormal="40" workbookViewId="0">
      <pane xSplit="10" ySplit="6" topLeftCell="K19" activePane="bottomRight" state="frozen"/>
      <selection pane="topRight" activeCell="AD1" sqref="AD1"/>
      <selection pane="bottomLeft" activeCell="A14" sqref="A14"/>
      <selection pane="bottomRight" activeCell="J71" sqref="J71"/>
    </sheetView>
  </sheetViews>
  <sheetFormatPr defaultRowHeight="14.25"/>
  <cols>
    <col min="1" max="1" width="17.1328125" style="93" customWidth="1"/>
    <col min="2" max="2" width="14.19921875" customWidth="1"/>
    <col min="3" max="3" width="37.796875" customWidth="1"/>
    <col min="4" max="4" width="15.53125" style="267" customWidth="1"/>
    <col min="9" max="9" width="11.53125" customWidth="1"/>
    <col min="10" max="10" width="14.1328125" customWidth="1"/>
  </cols>
  <sheetData>
    <row r="1" spans="1:37" s="97" customFormat="1">
      <c r="A1" s="18" t="s">
        <v>455</v>
      </c>
      <c r="D1" s="264"/>
    </row>
    <row r="2" spans="1:37" s="97" customFormat="1" ht="13.15">
      <c r="A2" s="96"/>
      <c r="D2" s="264"/>
    </row>
    <row r="3" spans="1:37" s="48" customFormat="1" ht="13.15">
      <c r="A3" s="21"/>
      <c r="D3" s="265"/>
      <c r="U3" s="49" t="s">
        <v>181</v>
      </c>
    </row>
    <row r="4" spans="1:37" s="24" customFormat="1" ht="13.15">
      <c r="A4" s="21"/>
      <c r="D4" s="247"/>
      <c r="Y4" s="99" t="s">
        <v>206</v>
      </c>
      <c r="Z4" s="99" t="s">
        <v>206</v>
      </c>
      <c r="AA4" s="99" t="s">
        <v>206</v>
      </c>
      <c r="AB4" s="99" t="s">
        <v>206</v>
      </c>
      <c r="AC4" s="99" t="s">
        <v>206</v>
      </c>
      <c r="AD4" s="99" t="s">
        <v>206</v>
      </c>
      <c r="AE4" s="99" t="s">
        <v>206</v>
      </c>
      <c r="AF4" s="99" t="s">
        <v>206</v>
      </c>
      <c r="AG4" s="99" t="s">
        <v>206</v>
      </c>
      <c r="AH4" s="99" t="s">
        <v>206</v>
      </c>
      <c r="AI4" s="99" t="s">
        <v>206</v>
      </c>
      <c r="AJ4" s="99" t="s">
        <v>206</v>
      </c>
    </row>
    <row r="5" spans="1:37" s="24" customFormat="1" ht="13.15">
      <c r="A5" s="21"/>
      <c r="D5" s="247"/>
      <c r="J5" s="103" t="s">
        <v>180</v>
      </c>
      <c r="K5" s="103" t="s">
        <v>180</v>
      </c>
      <c r="L5" s="103" t="s">
        <v>180</v>
      </c>
      <c r="M5" s="103" t="s">
        <v>180</v>
      </c>
      <c r="N5" s="103" t="s">
        <v>180</v>
      </c>
      <c r="O5" s="103" t="s">
        <v>180</v>
      </c>
      <c r="P5" s="103" t="s">
        <v>180</v>
      </c>
      <c r="Q5" s="103" t="s">
        <v>180</v>
      </c>
      <c r="R5" s="103" t="s">
        <v>180</v>
      </c>
      <c r="S5" s="103" t="s">
        <v>180</v>
      </c>
      <c r="T5" s="103"/>
      <c r="V5" s="49"/>
      <c r="W5" s="48"/>
      <c r="X5" s="48"/>
      <c r="Y5" s="48"/>
      <c r="Z5" s="48"/>
      <c r="AA5" s="48"/>
      <c r="AB5" s="48"/>
      <c r="AC5" s="48"/>
      <c r="AD5" s="48"/>
      <c r="AE5" s="48"/>
      <c r="AF5" s="48"/>
      <c r="AG5" s="48"/>
      <c r="AH5" s="48"/>
      <c r="AI5" s="48"/>
      <c r="AJ5" s="48"/>
      <c r="AK5" s="48"/>
    </row>
    <row r="6" spans="1:37" s="7" customFormat="1" ht="89" customHeight="1">
      <c r="A6" s="35" t="s">
        <v>154</v>
      </c>
      <c r="B6" s="104" t="s">
        <v>184</v>
      </c>
      <c r="C6" s="35" t="s">
        <v>155</v>
      </c>
      <c r="D6" s="35" t="s">
        <v>444</v>
      </c>
      <c r="E6" s="104" t="s">
        <v>185</v>
      </c>
      <c r="F6" s="104" t="s">
        <v>186</v>
      </c>
      <c r="G6" s="35" t="s">
        <v>70</v>
      </c>
      <c r="H6" s="104" t="s">
        <v>321</v>
      </c>
      <c r="I6" s="105" t="s">
        <v>187</v>
      </c>
      <c r="J6" s="104" t="s">
        <v>82</v>
      </c>
      <c r="K6" s="104" t="s">
        <v>83</v>
      </c>
      <c r="L6" s="104" t="s">
        <v>84</v>
      </c>
      <c r="M6" s="104" t="s">
        <v>189</v>
      </c>
      <c r="N6" s="104" t="s">
        <v>86</v>
      </c>
      <c r="O6" s="104" t="s">
        <v>87</v>
      </c>
      <c r="P6" s="104" t="s">
        <v>89</v>
      </c>
      <c r="Q6" s="104" t="s">
        <v>91</v>
      </c>
      <c r="R6" s="104" t="s">
        <v>194</v>
      </c>
      <c r="S6" s="104" t="s">
        <v>92</v>
      </c>
      <c r="T6" s="104"/>
      <c r="U6" s="104" t="s">
        <v>204</v>
      </c>
      <c r="V6" s="106" t="s">
        <v>190</v>
      </c>
      <c r="W6" s="107" t="s">
        <v>205</v>
      </c>
      <c r="X6" s="107"/>
      <c r="Y6" s="106" t="s">
        <v>207</v>
      </c>
      <c r="Z6" s="106" t="s">
        <v>208</v>
      </c>
      <c r="AA6" s="106" t="s">
        <v>209</v>
      </c>
      <c r="AB6" s="106" t="s">
        <v>210</v>
      </c>
      <c r="AC6" s="106" t="s">
        <v>211</v>
      </c>
      <c r="AD6" s="106" t="s">
        <v>212</v>
      </c>
      <c r="AE6" s="106" t="s">
        <v>213</v>
      </c>
      <c r="AF6" s="106" t="s">
        <v>214</v>
      </c>
      <c r="AG6" s="106" t="s">
        <v>215</v>
      </c>
      <c r="AH6" s="106" t="s">
        <v>216</v>
      </c>
      <c r="AI6" s="106" t="s">
        <v>217</v>
      </c>
      <c r="AJ6" s="106" t="s">
        <v>218</v>
      </c>
      <c r="AK6" s="98"/>
    </row>
    <row r="7" spans="1:37" s="48" customFormat="1">
      <c r="A7" s="108" t="s">
        <v>235</v>
      </c>
      <c r="B7" s="146" t="s">
        <v>275</v>
      </c>
      <c r="C7" s="147" t="s">
        <v>323</v>
      </c>
      <c r="D7" s="38" t="s">
        <v>294</v>
      </c>
      <c r="E7" s="108" t="s">
        <v>277</v>
      </c>
      <c r="F7" s="40">
        <v>82.396211630135795</v>
      </c>
      <c r="G7" s="37" t="s">
        <v>236</v>
      </c>
      <c r="H7" s="37" t="s">
        <v>237</v>
      </c>
      <c r="I7" s="38" t="s">
        <v>294</v>
      </c>
      <c r="J7" s="39">
        <v>0.23</v>
      </c>
      <c r="K7" s="39">
        <v>5.01</v>
      </c>
      <c r="L7" s="39">
        <v>14.05</v>
      </c>
      <c r="M7" s="39">
        <v>49.89</v>
      </c>
      <c r="N7" s="39">
        <v>0.37</v>
      </c>
      <c r="O7" s="39">
        <v>9.24</v>
      </c>
      <c r="P7" s="39">
        <v>0.22</v>
      </c>
      <c r="Q7" s="39">
        <v>17.8</v>
      </c>
      <c r="R7" s="39">
        <v>0.31</v>
      </c>
      <c r="S7" s="39">
        <f t="shared" ref="S7:S39" si="0">SUM(J7:R7)</f>
        <v>97.12</v>
      </c>
      <c r="T7" s="109"/>
      <c r="U7" s="110">
        <v>23.923238906235472</v>
      </c>
      <c r="V7" s="110">
        <v>28.858369741903232</v>
      </c>
      <c r="W7" s="111">
        <v>100.0116086481387</v>
      </c>
      <c r="X7" s="112"/>
      <c r="Y7" s="113">
        <v>7.5989443926951202E-3</v>
      </c>
      <c r="Z7" s="113">
        <v>0.12448544639880389</v>
      </c>
      <c r="AA7" s="113">
        <v>0.54714713256917036</v>
      </c>
      <c r="AB7" s="113">
        <v>0.4651633722874296</v>
      </c>
      <c r="AC7" s="113">
        <v>0.71750429877636968</v>
      </c>
      <c r="AD7" s="113">
        <v>5.8664103912125683E-3</v>
      </c>
      <c r="AE7" s="113">
        <v>0.6610294969042616</v>
      </c>
      <c r="AF7" s="113">
        <v>1.035471558120815E-2</v>
      </c>
      <c r="AG7" s="113">
        <v>0.45507901302591219</v>
      </c>
      <c r="AH7" s="113">
        <v>5.8461718693470378E-3</v>
      </c>
      <c r="AI7" s="114">
        <v>3.0000750021964104</v>
      </c>
      <c r="AJ7" s="114">
        <v>4</v>
      </c>
    </row>
    <row r="8" spans="1:37" s="48" customFormat="1">
      <c r="A8" s="108" t="s">
        <v>238</v>
      </c>
      <c r="B8" s="146" t="s">
        <v>275</v>
      </c>
      <c r="C8" s="147" t="s">
        <v>323</v>
      </c>
      <c r="D8" s="38" t="s">
        <v>294</v>
      </c>
      <c r="E8" s="108" t="s">
        <v>277</v>
      </c>
      <c r="F8" s="40">
        <v>78.319825766220063</v>
      </c>
      <c r="G8" s="37" t="s">
        <v>236</v>
      </c>
      <c r="H8" s="37" t="s">
        <v>237</v>
      </c>
      <c r="I8" s="38" t="s">
        <v>294</v>
      </c>
      <c r="J8" s="39">
        <v>0.26</v>
      </c>
      <c r="K8" s="39">
        <v>3.28</v>
      </c>
      <c r="L8" s="39">
        <v>14.66</v>
      </c>
      <c r="M8" s="39">
        <v>51.19</v>
      </c>
      <c r="N8" s="39">
        <v>0.45</v>
      </c>
      <c r="O8" s="39">
        <v>7.83</v>
      </c>
      <c r="P8" s="39">
        <v>0.13</v>
      </c>
      <c r="Q8" s="39">
        <v>18.29</v>
      </c>
      <c r="R8" s="39">
        <v>0.22</v>
      </c>
      <c r="S8" s="39">
        <f t="shared" si="0"/>
        <v>96.31</v>
      </c>
      <c r="T8" s="109"/>
      <c r="U8" s="110">
        <v>24.430461852137178</v>
      </c>
      <c r="V8" s="110">
        <v>29.739428926275636</v>
      </c>
      <c r="W8" s="111">
        <v>99.289890778412811</v>
      </c>
      <c r="X8" s="112"/>
      <c r="Y8" s="113">
        <v>8.7086066586407902E-3</v>
      </c>
      <c r="Z8" s="113">
        <v>8.2623691687019246E-2</v>
      </c>
      <c r="AA8" s="113">
        <v>0.57877754115987035</v>
      </c>
      <c r="AB8" s="113">
        <v>0.48456172905363404</v>
      </c>
      <c r="AC8" s="113">
        <v>0.74960976519829248</v>
      </c>
      <c r="AD8" s="113">
        <v>4.22068873341617E-3</v>
      </c>
      <c r="AE8" s="113">
        <v>0.68435656233605402</v>
      </c>
      <c r="AF8" s="113">
        <v>1.2767294048761481E-2</v>
      </c>
      <c r="AG8" s="113">
        <v>0.39095475100106736</v>
      </c>
      <c r="AH8" s="113">
        <v>3.5022097049774133E-3</v>
      </c>
      <c r="AI8" s="114">
        <v>3.0000828395817334</v>
      </c>
      <c r="AJ8" s="114">
        <v>4</v>
      </c>
    </row>
    <row r="9" spans="1:37" s="48" customFormat="1">
      <c r="A9" s="108" t="s">
        <v>239</v>
      </c>
      <c r="B9" s="146" t="s">
        <v>279</v>
      </c>
      <c r="C9" s="147" t="s">
        <v>326</v>
      </c>
      <c r="D9" s="38" t="s">
        <v>294</v>
      </c>
      <c r="E9" s="108" t="s">
        <v>277</v>
      </c>
      <c r="F9" s="40">
        <v>81.412922397311206</v>
      </c>
      <c r="G9" s="37" t="s">
        <v>236</v>
      </c>
      <c r="H9" s="37" t="s">
        <v>237</v>
      </c>
      <c r="I9" s="38" t="s">
        <v>294</v>
      </c>
      <c r="J9" s="39">
        <v>0.16</v>
      </c>
      <c r="K9" s="39">
        <v>11</v>
      </c>
      <c r="L9" s="39">
        <v>8.24</v>
      </c>
      <c r="M9" s="39">
        <v>60.73</v>
      </c>
      <c r="N9" s="39">
        <v>0.45</v>
      </c>
      <c r="O9" s="39">
        <v>7.48</v>
      </c>
      <c r="P9" s="39">
        <v>0.21</v>
      </c>
      <c r="Q9" s="39">
        <v>7.4</v>
      </c>
      <c r="R9" s="39">
        <v>0.34</v>
      </c>
      <c r="S9" s="39">
        <f t="shared" si="0"/>
        <v>96.01</v>
      </c>
      <c r="T9" s="109"/>
      <c r="U9" s="110">
        <v>30.64568625322805</v>
      </c>
      <c r="V9" s="110">
        <v>33.43444515089125</v>
      </c>
      <c r="W9" s="111">
        <v>99.360131404119301</v>
      </c>
      <c r="X9" s="41"/>
      <c r="Y9" s="113">
        <v>5.5374233150546764E-3</v>
      </c>
      <c r="Z9" s="113">
        <v>0.28630956171917943</v>
      </c>
      <c r="AA9" s="113">
        <v>0.33613777953284091</v>
      </c>
      <c r="AB9" s="113">
        <v>0.20257205770469452</v>
      </c>
      <c r="AC9" s="113">
        <v>0.87078140475243582</v>
      </c>
      <c r="AD9" s="113">
        <v>6.7398770839622105E-3</v>
      </c>
      <c r="AE9" s="113">
        <v>0.88701818773915619</v>
      </c>
      <c r="AF9" s="113">
        <v>1.3192019237272342E-2</v>
      </c>
      <c r="AG9" s="113">
        <v>0.38590352536160899</v>
      </c>
      <c r="AH9" s="113">
        <v>5.8456189825946544E-3</v>
      </c>
      <c r="AI9" s="114">
        <v>3.0000374554288003</v>
      </c>
      <c r="AJ9" s="114">
        <v>4</v>
      </c>
    </row>
    <row r="10" spans="1:37" s="48" customFormat="1">
      <c r="A10" s="108" t="s">
        <v>240</v>
      </c>
      <c r="B10" s="146" t="s">
        <v>279</v>
      </c>
      <c r="C10" s="147" t="s">
        <v>326</v>
      </c>
      <c r="D10" s="38" t="s">
        <v>294</v>
      </c>
      <c r="E10" s="108" t="s">
        <v>277</v>
      </c>
      <c r="F10" s="40">
        <v>79.729922529858371</v>
      </c>
      <c r="G10" s="37" t="s">
        <v>236</v>
      </c>
      <c r="H10" s="37" t="s">
        <v>237</v>
      </c>
      <c r="I10" s="38" t="s">
        <v>294</v>
      </c>
      <c r="J10" s="39">
        <v>0.17</v>
      </c>
      <c r="K10" s="39">
        <v>12.75</v>
      </c>
      <c r="L10" s="39">
        <v>10.86</v>
      </c>
      <c r="M10" s="39">
        <v>57.24</v>
      </c>
      <c r="N10" s="39">
        <v>0.56999999999999995</v>
      </c>
      <c r="O10" s="39">
        <v>7.05</v>
      </c>
      <c r="P10" s="39">
        <v>0.14000000000000001</v>
      </c>
      <c r="Q10" s="39">
        <v>8.33</v>
      </c>
      <c r="R10" s="39">
        <v>0.4</v>
      </c>
      <c r="S10" s="39">
        <f t="shared" si="0"/>
        <v>97.51</v>
      </c>
      <c r="T10" s="109"/>
      <c r="U10" s="110">
        <v>33.606755353375107</v>
      </c>
      <c r="V10" s="110">
        <v>26.264997384557564</v>
      </c>
      <c r="W10" s="111">
        <v>100.14175273793266</v>
      </c>
      <c r="X10" s="41"/>
      <c r="Y10" s="113">
        <v>5.7722730296853372E-3</v>
      </c>
      <c r="Z10" s="113">
        <v>0.32558437392408496</v>
      </c>
      <c r="AA10" s="113">
        <v>0.43464045021140696</v>
      </c>
      <c r="AB10" s="113">
        <v>0.22371907899612747</v>
      </c>
      <c r="AC10" s="113">
        <v>0.67112372079271732</v>
      </c>
      <c r="AD10" s="113">
        <v>7.7793489400728227E-3</v>
      </c>
      <c r="AE10" s="113">
        <v>0.95433303987637352</v>
      </c>
      <c r="AF10" s="113">
        <v>1.6393958044218091E-2</v>
      </c>
      <c r="AG10" s="113">
        <v>0.35684241230379743</v>
      </c>
      <c r="AH10" s="113">
        <v>3.8233974575835089E-3</v>
      </c>
      <c r="AI10" s="114">
        <v>3.0000120535760675</v>
      </c>
      <c r="AJ10" s="114">
        <v>4</v>
      </c>
    </row>
    <row r="11" spans="1:37" s="48" customFormat="1">
      <c r="A11" s="108" t="s">
        <v>241</v>
      </c>
      <c r="B11" s="146" t="s">
        <v>275</v>
      </c>
      <c r="C11" s="147" t="s">
        <v>323</v>
      </c>
      <c r="D11" s="38" t="s">
        <v>294</v>
      </c>
      <c r="E11" s="108" t="s">
        <v>277</v>
      </c>
      <c r="F11" s="40">
        <v>82.597621497170834</v>
      </c>
      <c r="G11" s="37" t="s">
        <v>236</v>
      </c>
      <c r="H11" s="37" t="s">
        <v>237</v>
      </c>
      <c r="I11" s="38" t="s">
        <v>294</v>
      </c>
      <c r="J11" s="39">
        <v>0.11</v>
      </c>
      <c r="K11" s="39">
        <v>3.45</v>
      </c>
      <c r="L11" s="39">
        <v>15.48</v>
      </c>
      <c r="M11" s="39">
        <v>44.4</v>
      </c>
      <c r="N11" s="39">
        <v>0.4</v>
      </c>
      <c r="O11" s="39">
        <v>9.5</v>
      </c>
      <c r="P11" s="39">
        <v>0.17</v>
      </c>
      <c r="Q11" s="39">
        <v>23.07</v>
      </c>
      <c r="R11" s="39">
        <v>0.21</v>
      </c>
      <c r="S11" s="39">
        <f t="shared" si="0"/>
        <v>96.79</v>
      </c>
      <c r="T11" s="109"/>
      <c r="U11" s="110">
        <v>22.044220900916457</v>
      </c>
      <c r="V11" s="110">
        <v>24.845275726921027</v>
      </c>
      <c r="W11" s="111">
        <v>99.279496627837489</v>
      </c>
      <c r="X11" s="41"/>
      <c r="Y11" s="113">
        <v>3.622910279649014E-3</v>
      </c>
      <c r="Z11" s="113">
        <v>8.5455380763360678E-2</v>
      </c>
      <c r="AA11" s="113">
        <v>0.60094983885652342</v>
      </c>
      <c r="AB11" s="113">
        <v>0.60099736232050938</v>
      </c>
      <c r="AC11" s="113">
        <v>0.61579477296538276</v>
      </c>
      <c r="AD11" s="113">
        <v>3.9615898066622428E-3</v>
      </c>
      <c r="AE11" s="113">
        <v>0.60720463739265185</v>
      </c>
      <c r="AF11" s="113">
        <v>1.1159273070923407E-2</v>
      </c>
      <c r="AG11" s="113">
        <v>0.46642079513070023</v>
      </c>
      <c r="AH11" s="113">
        <v>4.5033663960889481E-3</v>
      </c>
      <c r="AI11" s="114">
        <v>3.0000699269824516</v>
      </c>
      <c r="AJ11" s="114">
        <v>4</v>
      </c>
    </row>
    <row r="12" spans="1:37" s="48" customFormat="1">
      <c r="A12" s="108" t="s">
        <v>242</v>
      </c>
      <c r="B12" s="146" t="s">
        <v>279</v>
      </c>
      <c r="C12" s="147" t="s">
        <v>326</v>
      </c>
      <c r="D12" s="38" t="s">
        <v>294</v>
      </c>
      <c r="E12" s="108" t="s">
        <v>277</v>
      </c>
      <c r="F12" s="40">
        <v>82.309239507267179</v>
      </c>
      <c r="G12" s="37" t="s">
        <v>236</v>
      </c>
      <c r="H12" s="37" t="s">
        <v>237</v>
      </c>
      <c r="I12" s="38" t="s">
        <v>294</v>
      </c>
      <c r="J12" s="39">
        <v>0.13</v>
      </c>
      <c r="K12" s="39">
        <v>8.9600000000000009</v>
      </c>
      <c r="L12" s="39">
        <v>9.2899999999999991</v>
      </c>
      <c r="M12" s="39">
        <v>56.28</v>
      </c>
      <c r="N12" s="39">
        <v>0.37</v>
      </c>
      <c r="O12" s="39">
        <v>8.42</v>
      </c>
      <c r="P12" s="39">
        <v>0.24</v>
      </c>
      <c r="Q12" s="39">
        <v>12.29</v>
      </c>
      <c r="R12" s="39">
        <v>0.27</v>
      </c>
      <c r="S12" s="39">
        <f t="shared" si="0"/>
        <v>96.249999999999986</v>
      </c>
      <c r="T12" s="109"/>
      <c r="U12" s="110">
        <v>27.606010266290564</v>
      </c>
      <c r="V12" s="110">
        <v>31.867070164158076</v>
      </c>
      <c r="W12" s="111">
        <v>99.443080430448646</v>
      </c>
      <c r="X12" s="104"/>
      <c r="Y12" s="113">
        <v>4.4409118059676256E-3</v>
      </c>
      <c r="Z12" s="113">
        <v>0.23019306230562508</v>
      </c>
      <c r="AA12" s="113">
        <v>0.37406483492882941</v>
      </c>
      <c r="AB12" s="113">
        <v>0.33207849842236387</v>
      </c>
      <c r="AC12" s="113">
        <v>0.81921560456112152</v>
      </c>
      <c r="AD12" s="113">
        <v>5.2829667490494094E-3</v>
      </c>
      <c r="AE12" s="113">
        <v>0.78869279391420655</v>
      </c>
      <c r="AF12" s="113">
        <v>1.0706352546639632E-2</v>
      </c>
      <c r="AG12" s="113">
        <v>0.42877582721245089</v>
      </c>
      <c r="AH12" s="113">
        <v>6.5942211114713E-3</v>
      </c>
      <c r="AI12" s="114">
        <v>3.0000450735577253</v>
      </c>
      <c r="AJ12" s="114">
        <v>4</v>
      </c>
    </row>
    <row r="13" spans="1:37" s="48" customFormat="1">
      <c r="A13" s="108" t="s">
        <v>244</v>
      </c>
      <c r="B13" s="146" t="s">
        <v>275</v>
      </c>
      <c r="C13" s="147" t="s">
        <v>323</v>
      </c>
      <c r="D13" s="38" t="s">
        <v>294</v>
      </c>
      <c r="E13" s="108" t="s">
        <v>277</v>
      </c>
      <c r="F13" s="40">
        <v>81.859355023455535</v>
      </c>
      <c r="G13" s="37" t="s">
        <v>236</v>
      </c>
      <c r="H13" s="37" t="s">
        <v>237</v>
      </c>
      <c r="I13" s="38" t="s">
        <v>294</v>
      </c>
      <c r="J13" s="39">
        <v>0.14000000000000001</v>
      </c>
      <c r="K13" s="39">
        <v>3.26</v>
      </c>
      <c r="L13" s="39">
        <v>17.350000000000001</v>
      </c>
      <c r="M13" s="39">
        <v>50.01</v>
      </c>
      <c r="N13" s="39">
        <v>0.39</v>
      </c>
      <c r="O13" s="39">
        <v>9.2200000000000006</v>
      </c>
      <c r="P13" s="39">
        <v>0.22</v>
      </c>
      <c r="Q13" s="39">
        <v>16.43</v>
      </c>
      <c r="R13" s="39">
        <v>0.33</v>
      </c>
      <c r="S13" s="39">
        <f t="shared" si="0"/>
        <v>97.34999999999998</v>
      </c>
      <c r="T13" s="109"/>
      <c r="U13" s="110">
        <v>22.856463436563278</v>
      </c>
      <c r="V13" s="110">
        <v>30.177302248762746</v>
      </c>
      <c r="W13" s="111">
        <v>100.37376568532602</v>
      </c>
      <c r="X13" s="109"/>
      <c r="Y13" s="113">
        <v>4.5503563723437689E-3</v>
      </c>
      <c r="Z13" s="113">
        <v>7.9687536294483011E-2</v>
      </c>
      <c r="AA13" s="113">
        <v>0.66469012569148667</v>
      </c>
      <c r="AB13" s="113">
        <v>0.42239135032853875</v>
      </c>
      <c r="AC13" s="113">
        <v>0.73811676790687841</v>
      </c>
      <c r="AD13" s="113">
        <v>6.1435108839321632E-3</v>
      </c>
      <c r="AE13" s="113">
        <v>0.62130069566883273</v>
      </c>
      <c r="AF13" s="113">
        <v>1.0737248441491147E-2</v>
      </c>
      <c r="AG13" s="113">
        <v>0.44672237142473403</v>
      </c>
      <c r="AH13" s="113">
        <v>5.7512669150343388E-3</v>
      </c>
      <c r="AI13" s="114">
        <v>3.0000912299277545</v>
      </c>
      <c r="AJ13" s="114">
        <v>4</v>
      </c>
    </row>
    <row r="14" spans="1:37" s="48" customFormat="1">
      <c r="A14" s="108" t="s">
        <v>245</v>
      </c>
      <c r="B14" s="146" t="s">
        <v>275</v>
      </c>
      <c r="C14" s="147" t="s">
        <v>323</v>
      </c>
      <c r="D14" s="38" t="s">
        <v>294</v>
      </c>
      <c r="E14" s="108" t="s">
        <v>277</v>
      </c>
      <c r="F14" s="40">
        <v>80.929688515357611</v>
      </c>
      <c r="G14" s="37" t="s">
        <v>236</v>
      </c>
      <c r="H14" s="37" t="s">
        <v>237</v>
      </c>
      <c r="I14" s="38" t="s">
        <v>294</v>
      </c>
      <c r="J14" s="39">
        <v>0.14000000000000001</v>
      </c>
      <c r="K14" s="39">
        <v>4.2699999999999996</v>
      </c>
      <c r="L14" s="39">
        <v>18.29</v>
      </c>
      <c r="M14" s="39">
        <v>40.98</v>
      </c>
      <c r="N14" s="39">
        <v>0.35</v>
      </c>
      <c r="O14" s="39">
        <v>9.31</v>
      </c>
      <c r="P14" s="39">
        <v>0.18</v>
      </c>
      <c r="Q14" s="39">
        <v>24.4</v>
      </c>
      <c r="R14" s="39">
        <v>0.22</v>
      </c>
      <c r="S14" s="39">
        <f t="shared" si="0"/>
        <v>98.139999999999986</v>
      </c>
      <c r="T14" s="109"/>
      <c r="U14" s="110">
        <v>23.928216754501072</v>
      </c>
      <c r="V14" s="110">
        <v>18.950637081016808</v>
      </c>
      <c r="W14" s="111">
        <v>100.03885383551788</v>
      </c>
      <c r="X14" s="41"/>
      <c r="Y14" s="113">
        <v>4.5197121072898683E-3</v>
      </c>
      <c r="Z14" s="113">
        <v>0.10367308843648271</v>
      </c>
      <c r="AA14" s="113">
        <v>0.69598329381826374</v>
      </c>
      <c r="AB14" s="113">
        <v>0.62306397382989298</v>
      </c>
      <c r="AC14" s="113">
        <v>0.46039843094218746</v>
      </c>
      <c r="AD14" s="113">
        <v>4.0680917055401639E-3</v>
      </c>
      <c r="AE14" s="113">
        <v>0.64605352787134829</v>
      </c>
      <c r="AF14" s="113">
        <v>9.5710988344744913E-3</v>
      </c>
      <c r="AG14" s="113">
        <v>0.4480451943698513</v>
      </c>
      <c r="AH14" s="113">
        <v>4.6738923929545359E-3</v>
      </c>
      <c r="AI14" s="114">
        <v>3.0000503043082856</v>
      </c>
      <c r="AJ14" s="114">
        <v>4</v>
      </c>
    </row>
    <row r="15" spans="1:37" s="48" customFormat="1">
      <c r="A15" s="108" t="s">
        <v>246</v>
      </c>
      <c r="B15" s="146" t="s">
        <v>275</v>
      </c>
      <c r="C15" s="147" t="s">
        <v>323</v>
      </c>
      <c r="D15" s="38" t="s">
        <v>294</v>
      </c>
      <c r="E15" s="108" t="s">
        <v>277</v>
      </c>
      <c r="F15" s="40">
        <v>80.306423942369577</v>
      </c>
      <c r="G15" s="37" t="s">
        <v>236</v>
      </c>
      <c r="H15" s="37" t="s">
        <v>237</v>
      </c>
      <c r="I15" s="38" t="s">
        <v>294</v>
      </c>
      <c r="J15" s="39">
        <v>0.1</v>
      </c>
      <c r="K15" s="39">
        <v>3.77</v>
      </c>
      <c r="L15" s="39">
        <v>15.77</v>
      </c>
      <c r="M15" s="39">
        <v>42.95</v>
      </c>
      <c r="N15" s="39">
        <v>0.35</v>
      </c>
      <c r="O15" s="39">
        <v>8.7100000000000009</v>
      </c>
      <c r="P15" s="116"/>
      <c r="Q15" s="39">
        <v>25.74</v>
      </c>
      <c r="R15" s="39">
        <v>0.23</v>
      </c>
      <c r="S15" s="39">
        <f t="shared" si="0"/>
        <v>97.62</v>
      </c>
      <c r="T15" s="109"/>
      <c r="U15" s="110">
        <v>23.991910363446323</v>
      </c>
      <c r="V15" s="110">
        <v>21.069226090857612</v>
      </c>
      <c r="W15" s="111">
        <v>99.731136454303922</v>
      </c>
      <c r="X15" s="41"/>
      <c r="Y15" s="113">
        <v>3.2889829563486589E-3</v>
      </c>
      <c r="Z15" s="113">
        <v>9.3252052145576442E-2</v>
      </c>
      <c r="AA15" s="113">
        <v>0.61135812609004458</v>
      </c>
      <c r="AB15" s="113">
        <v>0.66962281633559906</v>
      </c>
      <c r="AC15" s="113">
        <v>0.52147979965857183</v>
      </c>
      <c r="AD15" s="113">
        <v>4.3328611900493681E-3</v>
      </c>
      <c r="AE15" s="113">
        <v>0.65993609813806398</v>
      </c>
      <c r="AF15" s="113">
        <v>9.7508098458481563E-3</v>
      </c>
      <c r="AG15" s="113">
        <v>0.42704061690084122</v>
      </c>
      <c r="AH15" s="113">
        <v>0</v>
      </c>
      <c r="AI15" s="114">
        <v>3.0000621632609437</v>
      </c>
      <c r="AJ15" s="114">
        <v>4</v>
      </c>
    </row>
    <row r="16" spans="1:37" s="48" customFormat="1">
      <c r="A16" s="108" t="s">
        <v>247</v>
      </c>
      <c r="B16" s="146" t="s">
        <v>279</v>
      </c>
      <c r="C16" s="147" t="s">
        <v>326</v>
      </c>
      <c r="D16" s="38" t="s">
        <v>294</v>
      </c>
      <c r="E16" s="108" t="s">
        <v>277</v>
      </c>
      <c r="F16" s="40">
        <v>81.472165083009642</v>
      </c>
      <c r="G16" s="37" t="s">
        <v>236</v>
      </c>
      <c r="H16" s="37" t="s">
        <v>237</v>
      </c>
      <c r="I16" s="38" t="s">
        <v>294</v>
      </c>
      <c r="J16" s="39">
        <v>0.1</v>
      </c>
      <c r="K16" s="39">
        <v>11.31</v>
      </c>
      <c r="L16" s="39">
        <v>9.16</v>
      </c>
      <c r="M16" s="39">
        <v>60.2</v>
      </c>
      <c r="N16" s="39">
        <v>0.52</v>
      </c>
      <c r="O16" s="39">
        <v>6.64</v>
      </c>
      <c r="P16" s="39">
        <v>0.24</v>
      </c>
      <c r="Q16" s="39">
        <v>8.67</v>
      </c>
      <c r="R16" s="39">
        <v>0.43</v>
      </c>
      <c r="S16" s="39">
        <f t="shared" si="0"/>
        <v>97.27000000000001</v>
      </c>
      <c r="T16" s="109"/>
      <c r="U16" s="110">
        <v>32.529939531684448</v>
      </c>
      <c r="V16" s="110">
        <v>30.751345263742554</v>
      </c>
      <c r="W16" s="111">
        <v>100.35128479542699</v>
      </c>
      <c r="X16" s="41"/>
      <c r="Y16" s="113">
        <v>3.4331044942492511E-3</v>
      </c>
      <c r="Z16" s="113">
        <v>0.29201492701655046</v>
      </c>
      <c r="AA16" s="113">
        <v>0.37066780725469745</v>
      </c>
      <c r="AB16" s="113">
        <v>0.23543238243323983</v>
      </c>
      <c r="AC16" s="113">
        <v>0.79447168817739811</v>
      </c>
      <c r="AD16" s="113">
        <v>8.4555292246266452E-3</v>
      </c>
      <c r="AE16" s="113">
        <v>0.93399749166002577</v>
      </c>
      <c r="AF16" s="113">
        <v>1.5121726742445378E-2</v>
      </c>
      <c r="AG16" s="113">
        <v>0.33981653529016742</v>
      </c>
      <c r="AH16" s="113">
        <v>6.6270726508184975E-3</v>
      </c>
      <c r="AI16" s="114">
        <v>3.0000382649442194</v>
      </c>
      <c r="AJ16" s="114">
        <v>4</v>
      </c>
    </row>
    <row r="17" spans="1:36" s="48" customFormat="1">
      <c r="A17" s="108" t="s">
        <v>248</v>
      </c>
      <c r="B17" s="146" t="s">
        <v>275</v>
      </c>
      <c r="C17" s="147" t="s">
        <v>323</v>
      </c>
      <c r="D17" s="38" t="s">
        <v>294</v>
      </c>
      <c r="E17" s="108" t="s">
        <v>277</v>
      </c>
      <c r="F17" s="40">
        <v>82.927743957257718</v>
      </c>
      <c r="G17" s="37" t="s">
        <v>236</v>
      </c>
      <c r="H17" s="37" t="s">
        <v>237</v>
      </c>
      <c r="I17" s="38" t="s">
        <v>294</v>
      </c>
      <c r="J17" s="39">
        <v>0.11</v>
      </c>
      <c r="K17" s="39">
        <v>6.17</v>
      </c>
      <c r="L17" s="39">
        <v>19.739999999999998</v>
      </c>
      <c r="M17" s="39">
        <v>46.54</v>
      </c>
      <c r="N17" s="39">
        <v>0.53</v>
      </c>
      <c r="O17" s="39">
        <v>7.91</v>
      </c>
      <c r="P17" s="39">
        <v>0.14000000000000001</v>
      </c>
      <c r="Q17" s="39">
        <v>16.96</v>
      </c>
      <c r="R17" s="39">
        <v>0.2</v>
      </c>
      <c r="S17" s="39">
        <f t="shared" si="0"/>
        <v>98.3</v>
      </c>
      <c r="T17" s="109"/>
      <c r="U17" s="110">
        <v>27.908985077314984</v>
      </c>
      <c r="V17" s="110">
        <v>20.705728964975567</v>
      </c>
      <c r="W17" s="111">
        <v>100.37471404229055</v>
      </c>
      <c r="X17" s="41"/>
      <c r="Y17" s="113">
        <v>3.5551965463843198E-3</v>
      </c>
      <c r="Z17" s="113">
        <v>0.1499724612713258</v>
      </c>
      <c r="AA17" s="113">
        <v>0.75200452079637203</v>
      </c>
      <c r="AB17" s="113">
        <v>0.43356763526381054</v>
      </c>
      <c r="AC17" s="113">
        <v>0.50360349867918874</v>
      </c>
      <c r="AD17" s="113">
        <v>3.7024247705346367E-3</v>
      </c>
      <c r="AE17" s="113">
        <v>0.75438041564624558</v>
      </c>
      <c r="AF17" s="113">
        <v>1.4509679505123911E-2</v>
      </c>
      <c r="AG17" s="113">
        <v>0.3810981316017612</v>
      </c>
      <c r="AH17" s="113">
        <v>3.6393383465901773E-3</v>
      </c>
      <c r="AI17" s="114">
        <v>3.0000333024273367</v>
      </c>
      <c r="AJ17" s="114">
        <v>4</v>
      </c>
    </row>
    <row r="18" spans="1:36" s="48" customFormat="1">
      <c r="A18" s="108" t="s">
        <v>249</v>
      </c>
      <c r="B18" s="146" t="s">
        <v>275</v>
      </c>
      <c r="C18" s="147" t="s">
        <v>323</v>
      </c>
      <c r="D18" s="38" t="s">
        <v>294</v>
      </c>
      <c r="E18" s="108" t="s">
        <v>277</v>
      </c>
      <c r="F18" s="40">
        <v>81.666819768204704</v>
      </c>
      <c r="G18" s="37" t="s">
        <v>236</v>
      </c>
      <c r="H18" s="37" t="s">
        <v>237</v>
      </c>
      <c r="I18" s="39" t="s">
        <v>294</v>
      </c>
      <c r="J18" s="39">
        <v>0.22</v>
      </c>
      <c r="K18" s="39">
        <v>4.82</v>
      </c>
      <c r="L18" s="39">
        <v>14.3</v>
      </c>
      <c r="M18" s="39">
        <v>49.79</v>
      </c>
      <c r="N18" s="39">
        <v>0.26</v>
      </c>
      <c r="O18" s="39">
        <v>8.91</v>
      </c>
      <c r="P18" s="39">
        <v>0.19</v>
      </c>
      <c r="Q18" s="39">
        <v>17.28</v>
      </c>
      <c r="R18" s="39">
        <v>0.26</v>
      </c>
      <c r="S18" s="39">
        <f t="shared" si="0"/>
        <v>96.03</v>
      </c>
      <c r="T18" s="109"/>
      <c r="U18" s="110">
        <v>24.073440830985916</v>
      </c>
      <c r="V18" s="110">
        <v>28.580305811307049</v>
      </c>
      <c r="W18" s="111">
        <v>98.893746642292967</v>
      </c>
      <c r="X18" s="41"/>
      <c r="Y18" s="113">
        <v>7.3487496453499062E-3</v>
      </c>
      <c r="Z18" s="113">
        <v>0.12108580526973181</v>
      </c>
      <c r="AA18" s="113">
        <v>0.56302694786759389</v>
      </c>
      <c r="AB18" s="113">
        <v>0.45655655987095578</v>
      </c>
      <c r="AC18" s="113">
        <v>0.7184307729144197</v>
      </c>
      <c r="AD18" s="113">
        <v>4.9745000133950201E-3</v>
      </c>
      <c r="AE18" s="113">
        <v>0.67251871058536083</v>
      </c>
      <c r="AF18" s="113">
        <v>7.3565660615346994E-3</v>
      </c>
      <c r="AG18" s="113">
        <v>0.44366777054471779</v>
      </c>
      <c r="AH18" s="113">
        <v>5.1046719786766058E-3</v>
      </c>
      <c r="AI18" s="114">
        <v>3.0000710547517357</v>
      </c>
      <c r="AJ18" s="114">
        <v>4</v>
      </c>
    </row>
    <row r="19" spans="1:36" s="48" customFormat="1">
      <c r="A19" s="166" t="s">
        <v>300</v>
      </c>
      <c r="B19" s="167" t="s">
        <v>298</v>
      </c>
      <c r="C19" s="168" t="s">
        <v>324</v>
      </c>
      <c r="D19" s="224" t="s">
        <v>299</v>
      </c>
      <c r="E19" s="108" t="s">
        <v>277</v>
      </c>
      <c r="F19" s="40">
        <v>77.91304141238173</v>
      </c>
      <c r="G19" s="37" t="s">
        <v>322</v>
      </c>
      <c r="H19" s="37" t="s">
        <v>131</v>
      </c>
      <c r="I19" s="38" t="s">
        <v>300</v>
      </c>
      <c r="J19" s="166">
        <v>0.08</v>
      </c>
      <c r="K19" s="166">
        <v>14.85</v>
      </c>
      <c r="L19" s="166">
        <v>7.62</v>
      </c>
      <c r="M19" s="230">
        <v>65</v>
      </c>
      <c r="N19" s="166">
        <v>0.52</v>
      </c>
      <c r="O19" s="166">
        <v>5.88</v>
      </c>
      <c r="P19" s="166">
        <v>0.1</v>
      </c>
      <c r="Q19" s="166">
        <v>0.91</v>
      </c>
      <c r="R19" s="166">
        <v>0.26</v>
      </c>
      <c r="S19" s="39">
        <f t="shared" si="0"/>
        <v>95.219999999999985</v>
      </c>
      <c r="T19" s="109"/>
      <c r="U19" s="110">
        <v>36.122180037044146</v>
      </c>
      <c r="V19" s="110">
        <v>32.09359853629234</v>
      </c>
      <c r="W19" s="111">
        <v>98.435778573336478</v>
      </c>
      <c r="X19" s="41"/>
      <c r="Y19" s="113">
        <v>2.8319739394559308E-3</v>
      </c>
      <c r="Z19" s="113">
        <v>0.39534945450959275</v>
      </c>
      <c r="AA19" s="113">
        <v>0.31794837506054591</v>
      </c>
      <c r="AB19" s="113">
        <v>2.5480076964580635E-2</v>
      </c>
      <c r="AC19" s="113">
        <v>0.85495836283805393</v>
      </c>
      <c r="AD19" s="113">
        <v>5.2717879188942654E-3</v>
      </c>
      <c r="AE19" s="113">
        <v>1.0694208570980812</v>
      </c>
      <c r="AF19" s="113">
        <v>1.559242375447413E-2</v>
      </c>
      <c r="AG19" s="113">
        <v>0.31028872688191905</v>
      </c>
      <c r="AH19" s="113">
        <v>2.8472311943164722E-3</v>
      </c>
      <c r="AI19" s="114">
        <v>2.9999892701599142</v>
      </c>
      <c r="AJ19" s="114">
        <v>4</v>
      </c>
    </row>
    <row r="20" spans="1:36" s="48" customFormat="1">
      <c r="A20" s="166" t="s">
        <v>302</v>
      </c>
      <c r="B20" s="167" t="s">
        <v>298</v>
      </c>
      <c r="C20" s="168" t="s">
        <v>324</v>
      </c>
      <c r="D20" s="224" t="s">
        <v>299</v>
      </c>
      <c r="E20" s="108" t="s">
        <v>277</v>
      </c>
      <c r="F20" s="40">
        <v>77.870193486653037</v>
      </c>
      <c r="G20" s="37" t="s">
        <v>322</v>
      </c>
      <c r="H20" s="37" t="s">
        <v>131</v>
      </c>
      <c r="I20" s="38" t="s">
        <v>302</v>
      </c>
      <c r="J20" s="166">
        <v>0.08</v>
      </c>
      <c r="K20" s="166">
        <v>13.44</v>
      </c>
      <c r="L20" s="166">
        <v>7.26</v>
      </c>
      <c r="M20" s="166">
        <v>65.02</v>
      </c>
      <c r="N20" s="166">
        <v>0.44</v>
      </c>
      <c r="O20" s="166">
        <v>6.42</v>
      </c>
      <c r="P20" s="166">
        <v>0.1</v>
      </c>
      <c r="Q20" s="166">
        <v>1.66</v>
      </c>
      <c r="R20" s="166">
        <v>0.25</v>
      </c>
      <c r="S20" s="39">
        <f t="shared" si="0"/>
        <v>94.669999999999987</v>
      </c>
      <c r="T20" s="109"/>
      <c r="U20" s="110">
        <v>33.917224171025808</v>
      </c>
      <c r="V20" s="110">
        <v>34.566321214685694</v>
      </c>
      <c r="W20" s="111">
        <v>98.1335453857115</v>
      </c>
      <c r="X20" s="41"/>
      <c r="Y20" s="113">
        <v>2.8367866383117997E-3</v>
      </c>
      <c r="Z20" s="113">
        <v>0.35841929321845073</v>
      </c>
      <c r="AA20" s="113">
        <v>0.30344199098619384</v>
      </c>
      <c r="AB20" s="113">
        <v>4.6559129442480425E-2</v>
      </c>
      <c r="AC20" s="113">
        <v>0.9223954045834396</v>
      </c>
      <c r="AD20" s="113">
        <v>5.0776412251023516E-3</v>
      </c>
      <c r="AE20" s="113">
        <v>1.0058481443580116</v>
      </c>
      <c r="AF20" s="113">
        <v>1.3216010713685626E-2</v>
      </c>
      <c r="AG20" s="113">
        <v>0.33936036603737341</v>
      </c>
      <c r="AH20" s="113">
        <v>2.8520698215793749E-3</v>
      </c>
      <c r="AI20" s="114">
        <v>3.0000068370246291</v>
      </c>
      <c r="AJ20" s="114">
        <v>4</v>
      </c>
    </row>
    <row r="21" spans="1:36" s="48" customFormat="1">
      <c r="A21" s="117" t="s">
        <v>250</v>
      </c>
      <c r="B21" s="146" t="s">
        <v>275</v>
      </c>
      <c r="C21" s="147" t="s">
        <v>323</v>
      </c>
      <c r="D21" s="38" t="s">
        <v>294</v>
      </c>
      <c r="E21" s="108" t="s">
        <v>277</v>
      </c>
      <c r="F21" s="40">
        <v>78.114960663357721</v>
      </c>
      <c r="G21" s="37" t="s">
        <v>251</v>
      </c>
      <c r="H21" s="37" t="s">
        <v>131</v>
      </c>
      <c r="I21" s="38" t="s">
        <v>274</v>
      </c>
      <c r="J21" s="39">
        <v>0.08</v>
      </c>
      <c r="K21" s="39">
        <v>4.59</v>
      </c>
      <c r="L21" s="39">
        <v>12.9</v>
      </c>
      <c r="M21" s="39">
        <v>55.67</v>
      </c>
      <c r="N21" s="39">
        <v>0.41</v>
      </c>
      <c r="O21" s="39">
        <v>7.36</v>
      </c>
      <c r="P21" s="39">
        <v>0.08</v>
      </c>
      <c r="Q21" s="39">
        <v>13.68</v>
      </c>
      <c r="R21" s="39">
        <v>0.2</v>
      </c>
      <c r="S21" s="39">
        <f t="shared" si="0"/>
        <v>94.970000000000013</v>
      </c>
      <c r="T21" s="118"/>
      <c r="U21" s="110">
        <v>25.539723414071361</v>
      </c>
      <c r="V21" s="110">
        <v>33.485526323548164</v>
      </c>
      <c r="W21" s="111">
        <v>98.325249737619515</v>
      </c>
      <c r="X21" s="41"/>
      <c r="Y21" s="113">
        <v>2.7393605100270941E-3</v>
      </c>
      <c r="Z21" s="113">
        <v>0.11820267745434196</v>
      </c>
      <c r="AA21" s="113">
        <v>0.52065649085747168</v>
      </c>
      <c r="AB21" s="113">
        <v>0.37051464513791366</v>
      </c>
      <c r="AC21" s="113">
        <v>0.86286651716565022</v>
      </c>
      <c r="AD21" s="113">
        <v>3.9226044478011647E-3</v>
      </c>
      <c r="AE21" s="113">
        <v>0.73139304302878638</v>
      </c>
      <c r="AF21" s="113">
        <v>1.1891977542551189E-2</v>
      </c>
      <c r="AG21" s="113">
        <v>0.37568722203851607</v>
      </c>
      <c r="AH21" s="113">
        <v>2.2032950481532341E-3</v>
      </c>
      <c r="AI21" s="114">
        <v>3.0000778332312126</v>
      </c>
      <c r="AJ21" s="114">
        <v>4</v>
      </c>
    </row>
    <row r="22" spans="1:36" s="48" customFormat="1">
      <c r="A22" s="117" t="s">
        <v>253</v>
      </c>
      <c r="B22" s="146" t="s">
        <v>279</v>
      </c>
      <c r="C22" s="147" t="s">
        <v>326</v>
      </c>
      <c r="D22" s="38" t="s">
        <v>294</v>
      </c>
      <c r="E22" s="108" t="s">
        <v>277</v>
      </c>
      <c r="F22" s="40">
        <v>81.615437686990617</v>
      </c>
      <c r="G22" s="37" t="s">
        <v>251</v>
      </c>
      <c r="H22" s="37" t="s">
        <v>131</v>
      </c>
      <c r="I22" s="38" t="s">
        <v>278</v>
      </c>
      <c r="J22" s="39">
        <v>0.06</v>
      </c>
      <c r="K22" s="39">
        <v>12.63</v>
      </c>
      <c r="L22" s="39">
        <v>8.86</v>
      </c>
      <c r="M22" s="39">
        <v>56.13</v>
      </c>
      <c r="N22" s="39">
        <v>0.35</v>
      </c>
      <c r="O22" s="39">
        <v>8.6999999999999993</v>
      </c>
      <c r="P22" s="39">
        <v>0.17</v>
      </c>
      <c r="Q22" s="39">
        <v>8.5399999999999991</v>
      </c>
      <c r="R22" s="39">
        <v>0.24</v>
      </c>
      <c r="S22" s="39">
        <f t="shared" si="0"/>
        <v>95.679999999999993</v>
      </c>
      <c r="T22" s="118"/>
      <c r="U22" s="110">
        <v>30.175313686144133</v>
      </c>
      <c r="V22" s="110">
        <v>28.844950337692673</v>
      </c>
      <c r="W22" s="111">
        <v>98.570264023836813</v>
      </c>
      <c r="X22" s="41"/>
      <c r="Y22" s="113">
        <v>2.0632820207382783E-3</v>
      </c>
      <c r="Z22" s="113">
        <v>0.32663755694377156</v>
      </c>
      <c r="AA22" s="113">
        <v>0.35912318010586031</v>
      </c>
      <c r="AB22" s="113">
        <v>0.23228720678939785</v>
      </c>
      <c r="AC22" s="113">
        <v>0.74645635969919988</v>
      </c>
      <c r="AD22" s="113">
        <v>4.7271991850600771E-3</v>
      </c>
      <c r="AE22" s="113">
        <v>0.86782981867859488</v>
      </c>
      <c r="AF22" s="113">
        <v>1.0194980692406048E-2</v>
      </c>
      <c r="AG22" s="113">
        <v>0.44598063534591059</v>
      </c>
      <c r="AH22" s="113">
        <v>4.7019686847918039E-3</v>
      </c>
      <c r="AI22" s="114">
        <v>3.0000021881457317</v>
      </c>
      <c r="AJ22" s="114">
        <v>4</v>
      </c>
    </row>
    <row r="23" spans="1:36" s="48" customFormat="1">
      <c r="A23" s="117" t="s">
        <v>255</v>
      </c>
      <c r="B23" s="146" t="s">
        <v>275</v>
      </c>
      <c r="C23" s="147" t="s">
        <v>323</v>
      </c>
      <c r="D23" s="38" t="s">
        <v>294</v>
      </c>
      <c r="E23" s="108" t="s">
        <v>277</v>
      </c>
      <c r="F23" s="40">
        <v>82.425690481201329</v>
      </c>
      <c r="G23" s="37" t="s">
        <v>251</v>
      </c>
      <c r="H23" s="37" t="s">
        <v>131</v>
      </c>
      <c r="I23" s="38" t="s">
        <v>255</v>
      </c>
      <c r="J23" s="39">
        <v>0.04</v>
      </c>
      <c r="K23" s="39">
        <v>1.7</v>
      </c>
      <c r="L23" s="39">
        <v>15.39</v>
      </c>
      <c r="M23" s="39">
        <v>41.23</v>
      </c>
      <c r="N23" s="39">
        <v>0.28000000000000003</v>
      </c>
      <c r="O23" s="39">
        <v>9.51</v>
      </c>
      <c r="P23" s="39">
        <v>0.15</v>
      </c>
      <c r="Q23" s="39">
        <v>27.64</v>
      </c>
      <c r="R23" s="39">
        <v>0.13</v>
      </c>
      <c r="S23" s="39">
        <f t="shared" si="0"/>
        <v>96.070000000000007</v>
      </c>
      <c r="T23" s="118"/>
      <c r="U23" s="110">
        <v>20.240266643479092</v>
      </c>
      <c r="V23" s="110">
        <v>23.327109753857417</v>
      </c>
      <c r="W23" s="111">
        <v>98.407376397336506</v>
      </c>
      <c r="X23" s="41"/>
      <c r="Y23" s="113">
        <v>1.3272929666254853E-3</v>
      </c>
      <c r="Z23" s="113">
        <v>4.2423954449215644E-2</v>
      </c>
      <c r="AA23" s="113">
        <v>0.60193250238821416</v>
      </c>
      <c r="AB23" s="113">
        <v>0.72544571206906761</v>
      </c>
      <c r="AC23" s="113">
        <v>0.58249877716451548</v>
      </c>
      <c r="AD23" s="113">
        <v>2.4707879295082225E-3</v>
      </c>
      <c r="AE23" s="113">
        <v>0.5616922902683088</v>
      </c>
      <c r="AF23" s="113">
        <v>7.8700203066207775E-3</v>
      </c>
      <c r="AG23" s="113">
        <v>0.47041019400064293</v>
      </c>
      <c r="AH23" s="113">
        <v>4.0033312657873155E-3</v>
      </c>
      <c r="AI23" s="114">
        <v>3.0000748628085065</v>
      </c>
      <c r="AJ23" s="114">
        <v>4</v>
      </c>
    </row>
    <row r="24" spans="1:36" s="48" customFormat="1">
      <c r="A24" s="117" t="s">
        <v>256</v>
      </c>
      <c r="B24" s="146" t="s">
        <v>279</v>
      </c>
      <c r="C24" s="147" t="s">
        <v>326</v>
      </c>
      <c r="D24" s="38" t="s">
        <v>294</v>
      </c>
      <c r="E24" s="108" t="s">
        <v>277</v>
      </c>
      <c r="F24" s="40">
        <v>82.378127372800591</v>
      </c>
      <c r="G24" s="37" t="s">
        <v>251</v>
      </c>
      <c r="H24" s="37" t="s">
        <v>131</v>
      </c>
      <c r="I24" s="38" t="s">
        <v>256</v>
      </c>
      <c r="J24" s="39">
        <v>0.04</v>
      </c>
      <c r="K24" s="39">
        <v>8.6300000000000008</v>
      </c>
      <c r="L24" s="39">
        <v>10.66</v>
      </c>
      <c r="M24" s="39">
        <v>55.37</v>
      </c>
      <c r="N24" s="39">
        <v>0.5</v>
      </c>
      <c r="O24" s="39">
        <v>6.32</v>
      </c>
      <c r="P24" s="39">
        <v>0.11</v>
      </c>
      <c r="Q24" s="39">
        <v>14.4</v>
      </c>
      <c r="R24" s="39">
        <v>0.21</v>
      </c>
      <c r="S24" s="39">
        <f t="shared" si="0"/>
        <v>96.239999999999981</v>
      </c>
      <c r="T24" s="118"/>
      <c r="U24" s="110">
        <v>30.548359457612023</v>
      </c>
      <c r="V24" s="110">
        <v>27.585730765045536</v>
      </c>
      <c r="W24" s="111">
        <v>99.004090222657553</v>
      </c>
      <c r="X24" s="41"/>
      <c r="Y24" s="113">
        <v>1.3817657951850891E-3</v>
      </c>
      <c r="Z24" s="113">
        <v>0.22420261146431769</v>
      </c>
      <c r="AA24" s="113">
        <v>0.4340442667243446</v>
      </c>
      <c r="AB24" s="113">
        <v>0.39345676435121657</v>
      </c>
      <c r="AC24" s="113">
        <v>0.71711073390985114</v>
      </c>
      <c r="AD24" s="113">
        <v>4.1550768260559335E-3</v>
      </c>
      <c r="AE24" s="113">
        <v>0.88254685208441619</v>
      </c>
      <c r="AF24" s="113">
        <v>1.4630375428649563E-2</v>
      </c>
      <c r="AG24" s="113">
        <v>0.32544749312731769</v>
      </c>
      <c r="AH24" s="113">
        <v>3.0562621234084862E-3</v>
      </c>
      <c r="AI24" s="114">
        <v>3.0000322018347627</v>
      </c>
      <c r="AJ24" s="114">
        <v>4</v>
      </c>
    </row>
    <row r="25" spans="1:36" s="48" customFormat="1">
      <c r="A25" s="117" t="s">
        <v>257</v>
      </c>
      <c r="B25" s="146" t="s">
        <v>275</v>
      </c>
      <c r="C25" s="147" t="s">
        <v>323</v>
      </c>
      <c r="D25" s="38" t="s">
        <v>294</v>
      </c>
      <c r="E25" s="108" t="s">
        <v>277</v>
      </c>
      <c r="F25" s="40">
        <v>82.917300059308076</v>
      </c>
      <c r="G25" s="37" t="s">
        <v>251</v>
      </c>
      <c r="H25" s="37" t="s">
        <v>131</v>
      </c>
      <c r="I25" s="38" t="s">
        <v>257</v>
      </c>
      <c r="J25" s="39">
        <v>0.05</v>
      </c>
      <c r="K25" s="39">
        <v>3.79</v>
      </c>
      <c r="L25" s="39">
        <v>13.2</v>
      </c>
      <c r="M25" s="39">
        <v>45.86</v>
      </c>
      <c r="N25" s="39">
        <v>0.3</v>
      </c>
      <c r="O25" s="39">
        <v>9.08</v>
      </c>
      <c r="P25" s="39">
        <v>0.16</v>
      </c>
      <c r="Q25" s="39">
        <v>23.27</v>
      </c>
      <c r="R25" s="39">
        <v>0.16</v>
      </c>
      <c r="S25" s="39">
        <f t="shared" si="0"/>
        <v>95.86999999999999</v>
      </c>
      <c r="T25" s="118"/>
      <c r="U25" s="110">
        <v>22.395950962700354</v>
      </c>
      <c r="V25" s="110">
        <v>26.076960477105629</v>
      </c>
      <c r="W25" s="111">
        <v>98.482911439805989</v>
      </c>
      <c r="X25" s="41"/>
      <c r="Y25" s="113">
        <v>1.681102227260286E-3</v>
      </c>
      <c r="Z25" s="113">
        <v>9.5833809874520018E-2</v>
      </c>
      <c r="AA25" s="113">
        <v>0.52311891464736437</v>
      </c>
      <c r="AB25" s="113">
        <v>0.61884313863245033</v>
      </c>
      <c r="AC25" s="113">
        <v>0.65979401466872523</v>
      </c>
      <c r="AD25" s="113">
        <v>3.0812676110516242E-3</v>
      </c>
      <c r="AE25" s="113">
        <v>0.62975127965887645</v>
      </c>
      <c r="AF25" s="113">
        <v>8.5439046661463704E-3</v>
      </c>
      <c r="AG25" s="113">
        <v>0.45509218067552509</v>
      </c>
      <c r="AH25" s="113">
        <v>4.326807456504162E-3</v>
      </c>
      <c r="AI25" s="114">
        <v>3.0000664201184239</v>
      </c>
      <c r="AJ25" s="114">
        <v>4</v>
      </c>
    </row>
    <row r="26" spans="1:36" s="48" customFormat="1">
      <c r="A26" s="117" t="s">
        <v>258</v>
      </c>
      <c r="B26" s="146" t="s">
        <v>275</v>
      </c>
      <c r="C26" s="147" t="s">
        <v>323</v>
      </c>
      <c r="D26" s="38" t="s">
        <v>294</v>
      </c>
      <c r="E26" s="108" t="s">
        <v>277</v>
      </c>
      <c r="F26" s="40">
        <v>82.438023166999201</v>
      </c>
      <c r="G26" s="37" t="s">
        <v>251</v>
      </c>
      <c r="H26" s="37" t="s">
        <v>131</v>
      </c>
      <c r="I26" s="38" t="s">
        <v>258</v>
      </c>
      <c r="J26" s="39">
        <v>0.06</v>
      </c>
      <c r="K26" s="39">
        <v>6.66</v>
      </c>
      <c r="L26" s="39">
        <v>11.4</v>
      </c>
      <c r="M26" s="39">
        <v>49.9</v>
      </c>
      <c r="N26" s="39">
        <v>0.32</v>
      </c>
      <c r="O26" s="39">
        <v>8.6</v>
      </c>
      <c r="P26" s="39">
        <v>0.16</v>
      </c>
      <c r="Q26" s="39">
        <v>17.66</v>
      </c>
      <c r="R26" s="39">
        <v>0.19</v>
      </c>
      <c r="S26" s="39">
        <f t="shared" si="0"/>
        <v>94.949999999999974</v>
      </c>
      <c r="T26" s="118"/>
      <c r="U26" s="110">
        <v>25.147340787056063</v>
      </c>
      <c r="V26" s="110">
        <v>27.509067807228199</v>
      </c>
      <c r="W26" s="111">
        <v>97.706408594284255</v>
      </c>
      <c r="X26" s="41"/>
      <c r="Y26" s="113">
        <v>2.0563309740380489E-3</v>
      </c>
      <c r="Z26" s="113">
        <v>0.17166091406162762</v>
      </c>
      <c r="AA26" s="113">
        <v>0.46052052498410778</v>
      </c>
      <c r="AB26" s="113">
        <v>0.47873209436638431</v>
      </c>
      <c r="AC26" s="113">
        <v>0.70948778736649576</v>
      </c>
      <c r="AD26" s="113">
        <v>3.7297582632240039E-3</v>
      </c>
      <c r="AE26" s="113">
        <v>0.72079085120078534</v>
      </c>
      <c r="AF26" s="113">
        <v>9.2897230132466032E-3</v>
      </c>
      <c r="AG26" s="113">
        <v>0.43936921474304919</v>
      </c>
      <c r="AH26" s="113">
        <v>4.4104735012696697E-3</v>
      </c>
      <c r="AI26" s="114">
        <v>3.0000476724742287</v>
      </c>
      <c r="AJ26" s="114">
        <v>4</v>
      </c>
    </row>
    <row r="27" spans="1:36" s="48" customFormat="1">
      <c r="A27" s="117" t="s">
        <v>259</v>
      </c>
      <c r="B27" s="146" t="s">
        <v>279</v>
      </c>
      <c r="C27" s="147" t="s">
        <v>326</v>
      </c>
      <c r="D27" s="38" t="s">
        <v>294</v>
      </c>
      <c r="E27" s="108" t="s">
        <v>277</v>
      </c>
      <c r="F27" s="40">
        <v>80.879932819475798</v>
      </c>
      <c r="G27" s="37" t="s">
        <v>251</v>
      </c>
      <c r="H27" s="37" t="s">
        <v>131</v>
      </c>
      <c r="I27" s="38" t="s">
        <v>294</v>
      </c>
      <c r="J27" s="39">
        <v>7.0000000000000007E-2</v>
      </c>
      <c r="K27" s="39">
        <v>8</v>
      </c>
      <c r="L27" s="39">
        <v>12.82</v>
      </c>
      <c r="M27" s="39">
        <v>52.66</v>
      </c>
      <c r="N27" s="39">
        <v>0.31</v>
      </c>
      <c r="O27" s="39">
        <v>8.91</v>
      </c>
      <c r="P27" s="39">
        <v>0.18</v>
      </c>
      <c r="Q27" s="39">
        <v>12.31</v>
      </c>
      <c r="R27" s="39">
        <v>0.26</v>
      </c>
      <c r="S27" s="39">
        <f t="shared" si="0"/>
        <v>95.52000000000001</v>
      </c>
      <c r="T27" s="118"/>
      <c r="U27" s="110">
        <v>26.311751979596878</v>
      </c>
      <c r="V27" s="110">
        <v>29.282338320074594</v>
      </c>
      <c r="W27" s="111">
        <v>98.454090299671464</v>
      </c>
      <c r="X27" s="41"/>
      <c r="Y27" s="113">
        <v>2.3645307702811584E-3</v>
      </c>
      <c r="Z27" s="113">
        <v>0.20323211726972262</v>
      </c>
      <c r="AA27" s="113">
        <v>0.5104313355666138</v>
      </c>
      <c r="AB27" s="113">
        <v>0.32890089895824637</v>
      </c>
      <c r="AC27" s="113">
        <v>0.74435475590204714</v>
      </c>
      <c r="AD27" s="113">
        <v>5.0304356164345837E-3</v>
      </c>
      <c r="AE27" s="113">
        <v>0.74331368442024048</v>
      </c>
      <c r="AF27" s="113">
        <v>8.8699187916791641E-3</v>
      </c>
      <c r="AG27" s="113">
        <v>0.44865657830988265</v>
      </c>
      <c r="AH27" s="113">
        <v>4.8903833331768679E-3</v>
      </c>
      <c r="AI27" s="114">
        <v>3.0000446389383248</v>
      </c>
      <c r="AJ27" s="114">
        <v>4</v>
      </c>
    </row>
    <row r="28" spans="1:36" s="48" customFormat="1">
      <c r="A28" s="117" t="s">
        <v>260</v>
      </c>
      <c r="B28" s="146" t="s">
        <v>275</v>
      </c>
      <c r="C28" s="147" t="s">
        <v>323</v>
      </c>
      <c r="D28" s="38" t="s">
        <v>294</v>
      </c>
      <c r="E28" s="108" t="s">
        <v>277</v>
      </c>
      <c r="F28" s="40">
        <v>81.313473598424167</v>
      </c>
      <c r="G28" s="37" t="s">
        <v>251</v>
      </c>
      <c r="H28" s="37" t="s">
        <v>131</v>
      </c>
      <c r="I28" s="38" t="s">
        <v>260</v>
      </c>
      <c r="J28" s="39">
        <v>0.05</v>
      </c>
      <c r="K28" s="39">
        <v>4.5</v>
      </c>
      <c r="L28" s="39">
        <v>15.59</v>
      </c>
      <c r="M28" s="39">
        <v>47.08</v>
      </c>
      <c r="N28" s="39">
        <v>0.31</v>
      </c>
      <c r="O28" s="39">
        <v>9.0500000000000007</v>
      </c>
      <c r="P28" s="39">
        <v>0.17</v>
      </c>
      <c r="Q28" s="39">
        <v>19.13</v>
      </c>
      <c r="R28" s="39">
        <v>0.2</v>
      </c>
      <c r="S28" s="39">
        <f t="shared" si="0"/>
        <v>96.08</v>
      </c>
      <c r="T28" s="118"/>
      <c r="U28" s="110">
        <v>23.502806164987941</v>
      </c>
      <c r="V28" s="110">
        <v>26.202704862204996</v>
      </c>
      <c r="W28" s="111">
        <v>98.705511027192941</v>
      </c>
      <c r="X28" s="41"/>
      <c r="Y28" s="113">
        <v>1.6607847936596816E-3</v>
      </c>
      <c r="Z28" s="113">
        <v>0.11241164258561856</v>
      </c>
      <c r="AA28" s="113">
        <v>0.61036812206090629</v>
      </c>
      <c r="AB28" s="113">
        <v>0.50259527690978711</v>
      </c>
      <c r="AC28" s="113">
        <v>0.65496299614654252</v>
      </c>
      <c r="AD28" s="113">
        <v>3.8050351063200942E-3</v>
      </c>
      <c r="AE28" s="113">
        <v>0.65288772846386156</v>
      </c>
      <c r="AF28" s="113">
        <v>8.7219997343707875E-3</v>
      </c>
      <c r="AG28" s="113">
        <v>0.44810659993631508</v>
      </c>
      <c r="AH28" s="113">
        <v>4.5416717715625081E-3</v>
      </c>
      <c r="AI28" s="114">
        <v>3.0000618575089444</v>
      </c>
      <c r="AJ28" s="114">
        <v>4</v>
      </c>
    </row>
    <row r="29" spans="1:36" s="48" customFormat="1">
      <c r="A29" s="117" t="s">
        <v>261</v>
      </c>
      <c r="B29" s="146" t="s">
        <v>275</v>
      </c>
      <c r="C29" s="147" t="s">
        <v>323</v>
      </c>
      <c r="D29" s="38" t="s">
        <v>294</v>
      </c>
      <c r="E29" s="108" t="s">
        <v>277</v>
      </c>
      <c r="F29" s="40">
        <v>83.236604511045741</v>
      </c>
      <c r="G29" s="37" t="s">
        <v>251</v>
      </c>
      <c r="H29" s="37" t="s">
        <v>131</v>
      </c>
      <c r="I29" s="38" t="s">
        <v>261</v>
      </c>
      <c r="J29" s="39">
        <v>0.04</v>
      </c>
      <c r="K29" s="39">
        <v>5.71</v>
      </c>
      <c r="L29" s="39">
        <v>15.63</v>
      </c>
      <c r="M29" s="39">
        <v>44.15</v>
      </c>
      <c r="N29" s="39">
        <v>0.28000000000000003</v>
      </c>
      <c r="O29" s="39">
        <v>10.32</v>
      </c>
      <c r="P29" s="39">
        <v>0.19</v>
      </c>
      <c r="Q29" s="39">
        <v>20.12</v>
      </c>
      <c r="R29" s="39">
        <v>0.18</v>
      </c>
      <c r="S29" s="39">
        <f t="shared" si="0"/>
        <v>96.62</v>
      </c>
      <c r="T29" s="118"/>
      <c r="U29" s="110">
        <v>22.783984722802305</v>
      </c>
      <c r="V29" s="110">
        <v>23.745293706598904</v>
      </c>
      <c r="W29" s="111">
        <v>98.999278429401215</v>
      </c>
      <c r="X29" s="41"/>
      <c r="Y29" s="113">
        <v>1.3118853535846716E-3</v>
      </c>
      <c r="Z29" s="113">
        <v>0.14084045682769575</v>
      </c>
      <c r="AA29" s="113">
        <v>0.60422298632728155</v>
      </c>
      <c r="AB29" s="113">
        <v>0.52194404397975735</v>
      </c>
      <c r="AC29" s="113">
        <v>0.58605816565057167</v>
      </c>
      <c r="AD29" s="113">
        <v>3.3813779338105342E-3</v>
      </c>
      <c r="AE29" s="113">
        <v>0.6249438584117426</v>
      </c>
      <c r="AF29" s="113">
        <v>7.7786627611829773E-3</v>
      </c>
      <c r="AG29" s="113">
        <v>0.50455091171919997</v>
      </c>
      <c r="AH29" s="113">
        <v>5.0120219081821555E-3</v>
      </c>
      <c r="AI29" s="114">
        <v>3.0000443708730091</v>
      </c>
      <c r="AJ29" s="114">
        <v>4</v>
      </c>
    </row>
    <row r="30" spans="1:36" s="48" customFormat="1">
      <c r="A30" s="117" t="s">
        <v>263</v>
      </c>
      <c r="B30" s="146" t="s">
        <v>275</v>
      </c>
      <c r="C30" s="147" t="s">
        <v>323</v>
      </c>
      <c r="D30" s="38" t="s">
        <v>294</v>
      </c>
      <c r="E30" s="108" t="s">
        <v>277</v>
      </c>
      <c r="F30" s="40">
        <v>81.16573485681019</v>
      </c>
      <c r="G30" s="37" t="s">
        <v>251</v>
      </c>
      <c r="H30" s="37" t="s">
        <v>131</v>
      </c>
      <c r="I30" s="38" t="s">
        <v>294</v>
      </c>
      <c r="J30" s="39">
        <v>0.06</v>
      </c>
      <c r="K30" s="39">
        <v>5.77</v>
      </c>
      <c r="L30" s="39">
        <v>13.37</v>
      </c>
      <c r="M30" s="39">
        <v>51.49</v>
      </c>
      <c r="N30" s="39">
        <v>0.31</v>
      </c>
      <c r="O30" s="39">
        <v>8.7200000000000006</v>
      </c>
      <c r="P30" s="39">
        <v>0.18</v>
      </c>
      <c r="Q30" s="39">
        <v>15.59</v>
      </c>
      <c r="R30" s="39">
        <v>0.2</v>
      </c>
      <c r="S30" s="39">
        <f t="shared" si="0"/>
        <v>95.690000000000012</v>
      </c>
      <c r="T30" s="118"/>
      <c r="U30" s="110">
        <v>24.737924475257575</v>
      </c>
      <c r="V30" s="110">
        <v>29.73113527977598</v>
      </c>
      <c r="W30" s="111">
        <v>98.669059755033558</v>
      </c>
      <c r="X30" s="41"/>
      <c r="Y30" s="113">
        <v>2.0208466068443068E-3</v>
      </c>
      <c r="Z30" s="113">
        <v>0.14615488546775829</v>
      </c>
      <c r="AA30" s="113">
        <v>0.530781624405819</v>
      </c>
      <c r="AB30" s="113">
        <v>0.41532520861660926</v>
      </c>
      <c r="AC30" s="113">
        <v>0.75356527167859755</v>
      </c>
      <c r="AD30" s="113">
        <v>3.8583126046221978E-3</v>
      </c>
      <c r="AE30" s="113">
        <v>0.69682029314264871</v>
      </c>
      <c r="AF30" s="113">
        <v>8.8441237918511113E-3</v>
      </c>
      <c r="AG30" s="113">
        <v>0.43781233156288474</v>
      </c>
      <c r="AH30" s="113">
        <v>4.8761613949380705E-3</v>
      </c>
      <c r="AI30" s="114">
        <v>3.0000590592725738</v>
      </c>
      <c r="AJ30" s="114">
        <v>4</v>
      </c>
    </row>
    <row r="31" spans="1:36" s="48" customFormat="1">
      <c r="A31" s="117" t="s">
        <v>264</v>
      </c>
      <c r="B31" s="146" t="s">
        <v>275</v>
      </c>
      <c r="C31" s="147" t="s">
        <v>323</v>
      </c>
      <c r="D31" s="38" t="s">
        <v>294</v>
      </c>
      <c r="E31" s="108" t="s">
        <v>277</v>
      </c>
      <c r="F31" s="40">
        <v>81.378941483026537</v>
      </c>
      <c r="G31" s="37" t="s">
        <v>251</v>
      </c>
      <c r="H31" s="37" t="s">
        <v>131</v>
      </c>
      <c r="I31" s="38" t="s">
        <v>294</v>
      </c>
      <c r="J31" s="39">
        <v>7.0000000000000007E-2</v>
      </c>
      <c r="K31" s="39">
        <v>6.55</v>
      </c>
      <c r="L31" s="39">
        <v>12.21</v>
      </c>
      <c r="M31" s="39">
        <v>51.88</v>
      </c>
      <c r="N31" s="39">
        <v>0.32</v>
      </c>
      <c r="O31" s="39">
        <v>8.5</v>
      </c>
      <c r="P31" s="39">
        <v>0.2</v>
      </c>
      <c r="Q31" s="39">
        <v>14.86</v>
      </c>
      <c r="R31" s="39">
        <v>0.23</v>
      </c>
      <c r="S31" s="39">
        <f t="shared" si="0"/>
        <v>94.820000000000007</v>
      </c>
      <c r="T31" s="118"/>
      <c r="U31" s="110">
        <v>25.29231587144675</v>
      </c>
      <c r="V31" s="110">
        <v>29.548437573408815</v>
      </c>
      <c r="W31" s="111">
        <v>97.780753444855563</v>
      </c>
      <c r="X31" s="41"/>
      <c r="Y31" s="113">
        <v>2.3927925889231515E-3</v>
      </c>
      <c r="Z31" s="113">
        <v>0.16838513117789533</v>
      </c>
      <c r="AA31" s="113">
        <v>0.49195462938437162</v>
      </c>
      <c r="AB31" s="113">
        <v>0.40177776812130872</v>
      </c>
      <c r="AC31" s="113">
        <v>0.76009665297687667</v>
      </c>
      <c r="AD31" s="113">
        <v>4.5031889284325617E-3</v>
      </c>
      <c r="AE31" s="113">
        <v>0.72305451682507649</v>
      </c>
      <c r="AF31" s="113">
        <v>9.2654819231313169E-3</v>
      </c>
      <c r="AG31" s="113">
        <v>0.43312708887597312</v>
      </c>
      <c r="AH31" s="113">
        <v>5.4987057256971608E-3</v>
      </c>
      <c r="AI31" s="114">
        <v>3.0000559565276861</v>
      </c>
      <c r="AJ31" s="114">
        <v>4</v>
      </c>
    </row>
    <row r="32" spans="1:36" s="48" customFormat="1">
      <c r="A32" s="117" t="s">
        <v>265</v>
      </c>
      <c r="B32" s="146" t="s">
        <v>279</v>
      </c>
      <c r="C32" s="147" t="s">
        <v>326</v>
      </c>
      <c r="D32" s="38" t="s">
        <v>294</v>
      </c>
      <c r="E32" s="108" t="s">
        <v>277</v>
      </c>
      <c r="F32" s="40">
        <v>81.804340693225271</v>
      </c>
      <c r="G32" s="37" t="s">
        <v>251</v>
      </c>
      <c r="H32" s="37" t="s">
        <v>131</v>
      </c>
      <c r="I32" s="38" t="s">
        <v>294</v>
      </c>
      <c r="J32" s="39">
        <v>0.04</v>
      </c>
      <c r="K32" s="39">
        <v>7.89</v>
      </c>
      <c r="L32" s="39">
        <v>8.5</v>
      </c>
      <c r="M32" s="39">
        <v>55.44</v>
      </c>
      <c r="N32" s="39">
        <v>0.35</v>
      </c>
      <c r="O32" s="39">
        <v>8.0299999999999994</v>
      </c>
      <c r="P32" s="39">
        <v>0.16</v>
      </c>
      <c r="Q32" s="39">
        <v>14.12</v>
      </c>
      <c r="R32" s="39">
        <v>0.18</v>
      </c>
      <c r="S32" s="39">
        <f t="shared" si="0"/>
        <v>94.710000000000008</v>
      </c>
      <c r="T32" s="118"/>
      <c r="U32" s="110">
        <v>26.613100897109454</v>
      </c>
      <c r="V32" s="110">
        <v>32.037007227039943</v>
      </c>
      <c r="W32" s="111">
        <v>97.920108124149408</v>
      </c>
      <c r="X32" s="41"/>
      <c r="Y32" s="113">
        <v>1.3949487392400882E-3</v>
      </c>
      <c r="Z32" s="113">
        <v>0.20693344375969713</v>
      </c>
      <c r="AA32" s="113">
        <v>0.34939730913984096</v>
      </c>
      <c r="AB32" s="113">
        <v>0.38948705829341479</v>
      </c>
      <c r="AC32" s="113">
        <v>0.84077052876604019</v>
      </c>
      <c r="AD32" s="113">
        <v>3.5954733946641504E-3</v>
      </c>
      <c r="AE32" s="113">
        <v>0.77619201275590044</v>
      </c>
      <c r="AF32" s="113">
        <v>1.0338971105627259E-2</v>
      </c>
      <c r="AG32" s="113">
        <v>0.41744879187529343</v>
      </c>
      <c r="AH32" s="113">
        <v>4.4878848743641767E-3</v>
      </c>
      <c r="AI32" s="114">
        <v>3.0000464227040831</v>
      </c>
      <c r="AJ32" s="114">
        <v>4</v>
      </c>
    </row>
    <row r="33" spans="1:36" s="48" customFormat="1">
      <c r="A33" s="117" t="s">
        <v>266</v>
      </c>
      <c r="B33" s="146" t="s">
        <v>279</v>
      </c>
      <c r="C33" s="147" t="s">
        <v>326</v>
      </c>
      <c r="D33" s="38" t="s">
        <v>294</v>
      </c>
      <c r="E33" s="108" t="s">
        <v>277</v>
      </c>
      <c r="F33" s="40">
        <v>81.568481194794543</v>
      </c>
      <c r="G33" s="37" t="s">
        <v>251</v>
      </c>
      <c r="H33" s="37" t="s">
        <v>131</v>
      </c>
      <c r="I33" s="38" t="s">
        <v>294</v>
      </c>
      <c r="J33" s="39">
        <v>0.14000000000000001</v>
      </c>
      <c r="K33" s="39">
        <v>8.74</v>
      </c>
      <c r="L33" s="39">
        <v>8.2200000000000006</v>
      </c>
      <c r="M33" s="39">
        <v>58.29</v>
      </c>
      <c r="N33" s="39">
        <v>0.36</v>
      </c>
      <c r="O33" s="39">
        <v>7.7</v>
      </c>
      <c r="P33" s="39">
        <v>0.15</v>
      </c>
      <c r="Q33" s="39">
        <v>9.92</v>
      </c>
      <c r="R33" s="39">
        <v>0.19</v>
      </c>
      <c r="S33" s="39">
        <f t="shared" si="0"/>
        <v>93.710000000000008</v>
      </c>
      <c r="T33" s="118"/>
      <c r="U33" s="110">
        <v>27.679837976756179</v>
      </c>
      <c r="V33" s="110">
        <v>34.018850881577926</v>
      </c>
      <c r="W33" s="111">
        <v>97.11868885833411</v>
      </c>
      <c r="X33" s="41"/>
      <c r="Y33" s="113">
        <v>4.9406136955200417E-3</v>
      </c>
      <c r="Z33" s="113">
        <v>0.23196353555011678</v>
      </c>
      <c r="AA33" s="113">
        <v>0.34192200591862787</v>
      </c>
      <c r="AB33" s="113">
        <v>0.27690105600715409</v>
      </c>
      <c r="AC33" s="113">
        <v>0.90344097811379398</v>
      </c>
      <c r="AD33" s="113">
        <v>3.8405354673476501E-3</v>
      </c>
      <c r="AE33" s="113">
        <v>0.81694315346038759</v>
      </c>
      <c r="AF33" s="113">
        <v>1.0761340741367731E-2</v>
      </c>
      <c r="AG33" s="113">
        <v>0.40507271726640942</v>
      </c>
      <c r="AH33" s="113">
        <v>4.2576267801757179E-3</v>
      </c>
      <c r="AI33" s="114">
        <v>3.0000435630009008</v>
      </c>
      <c r="AJ33" s="114">
        <v>4</v>
      </c>
    </row>
    <row r="34" spans="1:36" s="48" customFormat="1">
      <c r="A34" s="117" t="s">
        <v>267</v>
      </c>
      <c r="B34" s="146" t="s">
        <v>279</v>
      </c>
      <c r="C34" s="147" t="s">
        <v>326</v>
      </c>
      <c r="D34" s="38" t="s">
        <v>294</v>
      </c>
      <c r="E34" s="108" t="s">
        <v>277</v>
      </c>
      <c r="F34" s="40">
        <v>81.670321350807427</v>
      </c>
      <c r="G34" s="37" t="s">
        <v>251</v>
      </c>
      <c r="H34" s="37" t="s">
        <v>131</v>
      </c>
      <c r="I34" s="38" t="s">
        <v>294</v>
      </c>
      <c r="J34" s="39">
        <v>0.06</v>
      </c>
      <c r="K34" s="39">
        <v>9.1300000000000008</v>
      </c>
      <c r="L34" s="39">
        <v>8</v>
      </c>
      <c r="M34" s="39">
        <v>58.82</v>
      </c>
      <c r="N34" s="39">
        <v>0.36</v>
      </c>
      <c r="O34" s="39">
        <v>7.81</v>
      </c>
      <c r="P34" s="39">
        <v>0.16</v>
      </c>
      <c r="Q34" s="39">
        <v>10.26</v>
      </c>
      <c r="R34" s="39">
        <v>0.2</v>
      </c>
      <c r="S34" s="39">
        <f t="shared" si="0"/>
        <v>94.800000000000011</v>
      </c>
      <c r="T34" s="118"/>
      <c r="U34" s="110">
        <v>28.06540934732007</v>
      </c>
      <c r="V34" s="110">
        <v>34.179362805823438</v>
      </c>
      <c r="W34" s="111">
        <v>98.224772153143505</v>
      </c>
      <c r="X34" s="41"/>
      <c r="Y34" s="113">
        <v>2.096591006247984E-3</v>
      </c>
      <c r="Z34" s="113">
        <v>0.23993227410356274</v>
      </c>
      <c r="AA34" s="113">
        <v>0.32949955162924383</v>
      </c>
      <c r="AB34" s="113">
        <v>0.28357628352889919</v>
      </c>
      <c r="AC34" s="113">
        <v>0.89878064965514404</v>
      </c>
      <c r="AD34" s="113">
        <v>4.0029280197452222E-3</v>
      </c>
      <c r="AE34" s="113">
        <v>0.82018019974246015</v>
      </c>
      <c r="AF34" s="113">
        <v>1.0655552881204514E-2</v>
      </c>
      <c r="AG34" s="113">
        <v>0.40682057361535479</v>
      </c>
      <c r="AH34" s="113">
        <v>4.4968242918106954E-3</v>
      </c>
      <c r="AI34" s="114">
        <v>3.0000414284736734</v>
      </c>
      <c r="AJ34" s="114">
        <v>4</v>
      </c>
    </row>
    <row r="35" spans="1:36" s="48" customFormat="1">
      <c r="A35" s="117" t="s">
        <v>268</v>
      </c>
      <c r="B35" s="146" t="s">
        <v>275</v>
      </c>
      <c r="C35" s="147" t="s">
        <v>323</v>
      </c>
      <c r="D35" s="38" t="s">
        <v>294</v>
      </c>
      <c r="E35" s="108" t="s">
        <v>277</v>
      </c>
      <c r="F35" s="40">
        <v>79.134213991820218</v>
      </c>
      <c r="G35" s="37" t="s">
        <v>251</v>
      </c>
      <c r="H35" s="37" t="s">
        <v>131</v>
      </c>
      <c r="I35" s="38" t="s">
        <v>294</v>
      </c>
      <c r="J35" s="39">
        <v>7.0000000000000007E-2</v>
      </c>
      <c r="K35" s="39">
        <v>3.99</v>
      </c>
      <c r="L35" s="39">
        <v>12.4</v>
      </c>
      <c r="M35" s="39">
        <v>48.29</v>
      </c>
      <c r="N35" s="39">
        <v>0.38</v>
      </c>
      <c r="O35" s="39">
        <v>7.59</v>
      </c>
      <c r="P35" s="39">
        <v>0.09</v>
      </c>
      <c r="Q35" s="39">
        <v>22.45</v>
      </c>
      <c r="R35" s="39">
        <v>0.17</v>
      </c>
      <c r="S35" s="39">
        <f t="shared" si="0"/>
        <v>95.43</v>
      </c>
      <c r="T35" s="118"/>
      <c r="U35" s="110">
        <v>24.6069597565035</v>
      </c>
      <c r="V35" s="110">
        <v>26.320338123467991</v>
      </c>
      <c r="W35" s="111">
        <v>98.067297879971491</v>
      </c>
      <c r="X35" s="41"/>
      <c r="Y35" s="113">
        <v>2.3963201079183665E-3</v>
      </c>
      <c r="Z35" s="113">
        <v>0.10272475458366001</v>
      </c>
      <c r="AA35" s="113">
        <v>0.50034648140214699</v>
      </c>
      <c r="AB35" s="113">
        <v>0.60788750261270219</v>
      </c>
      <c r="AC35" s="113">
        <v>0.67805596306340932</v>
      </c>
      <c r="AD35" s="113">
        <v>3.3333508719607953E-3</v>
      </c>
      <c r="AE35" s="113">
        <v>0.70449867805471222</v>
      </c>
      <c r="AF35" s="113">
        <v>1.1018980347220904E-2</v>
      </c>
      <c r="AG35" s="113">
        <v>0.38732717986027682</v>
      </c>
      <c r="AH35" s="113">
        <v>2.4780654293044186E-3</v>
      </c>
      <c r="AI35" s="114">
        <v>3.0000672763333123</v>
      </c>
      <c r="AJ35" s="114">
        <v>4</v>
      </c>
    </row>
    <row r="36" spans="1:36" s="48" customFormat="1">
      <c r="A36" s="117" t="s">
        <v>269</v>
      </c>
      <c r="B36" s="146" t="s">
        <v>275</v>
      </c>
      <c r="C36" s="147" t="s">
        <v>323</v>
      </c>
      <c r="D36" s="38" t="s">
        <v>294</v>
      </c>
      <c r="E36" s="108" t="s">
        <v>277</v>
      </c>
      <c r="F36" s="40">
        <v>79.062444854323601</v>
      </c>
      <c r="G36" s="37" t="s">
        <v>251</v>
      </c>
      <c r="H36" s="37" t="s">
        <v>131</v>
      </c>
      <c r="I36" s="38" t="s">
        <v>294</v>
      </c>
      <c r="J36" s="39">
        <v>0.04</v>
      </c>
      <c r="K36" s="39">
        <v>3.78</v>
      </c>
      <c r="L36" s="39">
        <v>11.91</v>
      </c>
      <c r="M36" s="39">
        <v>48.15</v>
      </c>
      <c r="N36" s="39">
        <v>0.4</v>
      </c>
      <c r="O36" s="39">
        <v>7.7</v>
      </c>
      <c r="P36" s="39">
        <v>0.09</v>
      </c>
      <c r="Q36" s="39">
        <v>22.75</v>
      </c>
      <c r="R36" s="39">
        <v>0.17</v>
      </c>
      <c r="S36" s="39">
        <f t="shared" si="0"/>
        <v>94.990000000000009</v>
      </c>
      <c r="T36" s="118"/>
      <c r="U36" s="110">
        <v>23.981133892184332</v>
      </c>
      <c r="V36" s="110">
        <v>26.860264623044749</v>
      </c>
      <c r="W36" s="111">
        <v>97.681398515229091</v>
      </c>
      <c r="X36" s="41"/>
      <c r="Y36" s="113">
        <v>1.3766218230465658E-3</v>
      </c>
      <c r="Z36" s="113">
        <v>9.78367197156325E-2</v>
      </c>
      <c r="AA36" s="113">
        <v>0.4831353254615533</v>
      </c>
      <c r="AB36" s="113">
        <v>0.61929295170503162</v>
      </c>
      <c r="AC36" s="113">
        <v>0.69565230605951867</v>
      </c>
      <c r="AD36" s="113">
        <v>3.3511116454502869E-3</v>
      </c>
      <c r="AE36" s="113">
        <v>0.69023949239600535</v>
      </c>
      <c r="AF36" s="113">
        <v>1.1660728128963651E-2</v>
      </c>
      <c r="AG36" s="113">
        <v>0.39503428502287558</v>
      </c>
      <c r="AH36" s="113">
        <v>2.4912690674669161E-3</v>
      </c>
      <c r="AI36" s="114">
        <v>3.0000708110255441</v>
      </c>
      <c r="AJ36" s="114">
        <v>4</v>
      </c>
    </row>
    <row r="37" spans="1:36" s="48" customFormat="1">
      <c r="A37" s="117" t="s">
        <v>270</v>
      </c>
      <c r="B37" s="146" t="s">
        <v>275</v>
      </c>
      <c r="C37" s="147" t="s">
        <v>323</v>
      </c>
      <c r="D37" s="38" t="s">
        <v>294</v>
      </c>
      <c r="E37" s="108" t="s">
        <v>277</v>
      </c>
      <c r="F37" s="40">
        <v>78.913580166917214</v>
      </c>
      <c r="G37" s="37" t="s">
        <v>251</v>
      </c>
      <c r="H37" s="37" t="s">
        <v>131</v>
      </c>
      <c r="I37" s="38" t="s">
        <v>294</v>
      </c>
      <c r="J37" s="39">
        <v>0.06</v>
      </c>
      <c r="K37" s="39">
        <v>3.58</v>
      </c>
      <c r="L37" s="39">
        <v>12.57</v>
      </c>
      <c r="M37" s="39">
        <v>48.71</v>
      </c>
      <c r="N37" s="39">
        <v>0.39</v>
      </c>
      <c r="O37" s="39">
        <v>7.69</v>
      </c>
      <c r="P37" s="39">
        <v>0.09</v>
      </c>
      <c r="Q37" s="39">
        <v>21.87</v>
      </c>
      <c r="R37" s="39">
        <v>0.16</v>
      </c>
      <c r="S37" s="39">
        <f t="shared" si="0"/>
        <v>95.12</v>
      </c>
      <c r="T37" s="118"/>
      <c r="U37" s="110">
        <v>24.009016778873722</v>
      </c>
      <c r="V37" s="110">
        <v>27.451637276201687</v>
      </c>
      <c r="W37" s="111">
        <v>97.87065405507542</v>
      </c>
      <c r="X37" s="41"/>
      <c r="Y37" s="113">
        <v>2.0557195228962438E-3</v>
      </c>
      <c r="Z37" s="113">
        <v>9.2246747256652148E-2</v>
      </c>
      <c r="AA37" s="113">
        <v>0.50763348360945471</v>
      </c>
      <c r="AB37" s="113">
        <v>0.59268163544411567</v>
      </c>
      <c r="AC37" s="113">
        <v>0.70779606742868284</v>
      </c>
      <c r="AD37" s="113">
        <v>3.1399151305775822E-3</v>
      </c>
      <c r="AE37" s="113">
        <v>0.68795877835283259</v>
      </c>
      <c r="AF37" s="113">
        <v>1.1318483364116571E-2</v>
      </c>
      <c r="AG37" s="113">
        <v>0.39276099865464464</v>
      </c>
      <c r="AH37" s="113">
        <v>2.480153650063619E-3</v>
      </c>
      <c r="AI37" s="114">
        <v>3.0000719824140365</v>
      </c>
      <c r="AJ37" s="114">
        <v>4</v>
      </c>
    </row>
    <row r="38" spans="1:36" s="48" customFormat="1">
      <c r="A38" s="117" t="s">
        <v>271</v>
      </c>
      <c r="B38" s="146" t="s">
        <v>275</v>
      </c>
      <c r="C38" s="147" t="s">
        <v>323</v>
      </c>
      <c r="D38" s="38" t="s">
        <v>294</v>
      </c>
      <c r="E38" s="108" t="s">
        <v>277</v>
      </c>
      <c r="F38" s="40">
        <v>78.906601855871713</v>
      </c>
      <c r="G38" s="37" t="s">
        <v>251</v>
      </c>
      <c r="H38" s="37" t="s">
        <v>131</v>
      </c>
      <c r="I38" s="38" t="s">
        <v>294</v>
      </c>
      <c r="J38" s="39">
        <v>2.0499999999999998</v>
      </c>
      <c r="K38" s="39">
        <v>3.28</v>
      </c>
      <c r="L38" s="39">
        <v>14.2</v>
      </c>
      <c r="M38" s="39">
        <v>47.57</v>
      </c>
      <c r="N38" s="39">
        <v>0.36</v>
      </c>
      <c r="O38" s="39">
        <v>6.88</v>
      </c>
      <c r="P38" s="39">
        <v>0.08</v>
      </c>
      <c r="Q38" s="39">
        <v>18.850000000000001</v>
      </c>
      <c r="R38" s="39">
        <v>0.17</v>
      </c>
      <c r="S38" s="39">
        <f t="shared" si="0"/>
        <v>93.439999999999984</v>
      </c>
      <c r="T38" s="118"/>
      <c r="U38" s="110">
        <v>27.246589423718735</v>
      </c>
      <c r="V38" s="110">
        <v>22.58658654843439</v>
      </c>
      <c r="W38" s="111">
        <v>95.703175972153133</v>
      </c>
      <c r="X38" s="41"/>
      <c r="Y38" s="113">
        <v>7.0959623205642156E-2</v>
      </c>
      <c r="Z38" s="113">
        <v>8.5386007678138406E-2</v>
      </c>
      <c r="AA38" s="113">
        <v>0.57935953238155491</v>
      </c>
      <c r="AB38" s="113">
        <v>0.51609407337523905</v>
      </c>
      <c r="AC38" s="113">
        <v>0.58834941410938113</v>
      </c>
      <c r="AD38" s="113">
        <v>3.3704794071229296E-3</v>
      </c>
      <c r="AE38" s="113">
        <v>0.78876025489062995</v>
      </c>
      <c r="AF38" s="113">
        <v>1.0555309213789279E-2</v>
      </c>
      <c r="AG38" s="113">
        <v>0.35500566533727052</v>
      </c>
      <c r="AH38" s="113">
        <v>2.2272598808019497E-3</v>
      </c>
      <c r="AI38" s="114">
        <v>3.0000676194795703</v>
      </c>
      <c r="AJ38" s="114">
        <v>4</v>
      </c>
    </row>
    <row r="39" spans="1:36" s="48" customFormat="1" ht="14.65" thickBot="1">
      <c r="A39" s="133" t="s">
        <v>272</v>
      </c>
      <c r="B39" s="152" t="s">
        <v>275</v>
      </c>
      <c r="C39" s="150" t="s">
        <v>323</v>
      </c>
      <c r="D39" s="61" t="s">
        <v>294</v>
      </c>
      <c r="E39" s="134" t="s">
        <v>277</v>
      </c>
      <c r="F39" s="63">
        <v>81.38089770300671</v>
      </c>
      <c r="G39" s="60" t="s">
        <v>251</v>
      </c>
      <c r="H39" s="60" t="s">
        <v>131</v>
      </c>
      <c r="I39" s="61" t="s">
        <v>294</v>
      </c>
      <c r="J39" s="62">
        <v>0.1</v>
      </c>
      <c r="K39" s="62">
        <v>3.17</v>
      </c>
      <c r="L39" s="62">
        <v>15.7</v>
      </c>
      <c r="M39" s="62">
        <v>45.32</v>
      </c>
      <c r="N39" s="62">
        <v>0.28999999999999998</v>
      </c>
      <c r="O39" s="62">
        <v>9.23</v>
      </c>
      <c r="P39" s="62">
        <v>0.16</v>
      </c>
      <c r="Q39" s="62">
        <v>21.78</v>
      </c>
      <c r="R39" s="62">
        <v>0.19</v>
      </c>
      <c r="S39" s="62">
        <f t="shared" si="0"/>
        <v>95.94</v>
      </c>
      <c r="T39" s="135"/>
      <c r="U39" s="136">
        <v>22.093014855346556</v>
      </c>
      <c r="V39" s="136">
        <v>25.81349760463819</v>
      </c>
      <c r="W39" s="137">
        <v>98.526512459984744</v>
      </c>
      <c r="X39" s="66"/>
      <c r="Y39" s="138">
        <v>3.3200680241649017E-3</v>
      </c>
      <c r="Z39" s="138">
        <v>7.9151959149369025E-2</v>
      </c>
      <c r="AA39" s="138">
        <v>0.61439688797204439</v>
      </c>
      <c r="AB39" s="138">
        <v>0.5719590484822511</v>
      </c>
      <c r="AC39" s="138">
        <v>0.64494268133500365</v>
      </c>
      <c r="AD39" s="138">
        <v>3.6131492363638456E-3</v>
      </c>
      <c r="AE39" s="138">
        <v>0.613447496007551</v>
      </c>
      <c r="AF39" s="138">
        <v>8.1556015500281916E-3</v>
      </c>
      <c r="AG39" s="138">
        <v>0.45681261530394351</v>
      </c>
      <c r="AH39" s="138">
        <v>4.2725822529154104E-3</v>
      </c>
      <c r="AI39" s="139">
        <v>3.0000720893136354</v>
      </c>
      <c r="AJ39" s="139">
        <v>4</v>
      </c>
    </row>
    <row r="40" spans="1:36" s="48" customFormat="1">
      <c r="A40" s="124" t="s">
        <v>274</v>
      </c>
      <c r="B40" s="153" t="s">
        <v>275</v>
      </c>
      <c r="C40" s="154" t="s">
        <v>323</v>
      </c>
      <c r="D40" s="127" t="s">
        <v>276</v>
      </c>
      <c r="E40" s="124" t="s">
        <v>277</v>
      </c>
      <c r="F40" s="125">
        <v>77.809981757155512</v>
      </c>
      <c r="G40" s="148" t="s">
        <v>130</v>
      </c>
      <c r="H40" s="154" t="s">
        <v>131</v>
      </c>
      <c r="I40" s="127" t="s">
        <v>250</v>
      </c>
      <c r="J40" s="127">
        <v>0.24</v>
      </c>
      <c r="K40" s="127">
        <v>4.62</v>
      </c>
      <c r="L40" s="127">
        <v>14.06</v>
      </c>
      <c r="M40" s="127">
        <v>54.56</v>
      </c>
      <c r="N40" s="127">
        <v>0.52</v>
      </c>
      <c r="O40" s="127">
        <v>7.39</v>
      </c>
      <c r="P40" s="127"/>
      <c r="Q40" s="127">
        <v>13.92</v>
      </c>
      <c r="R40" s="127">
        <v>0.41</v>
      </c>
      <c r="S40" s="128">
        <v>95.72</v>
      </c>
      <c r="T40" s="126"/>
      <c r="U40" s="129">
        <v>26.072419389359681</v>
      </c>
      <c r="V40" s="129">
        <v>31.659902879129053</v>
      </c>
      <c r="W40" s="130">
        <v>98.892322268488726</v>
      </c>
      <c r="X40" s="56"/>
      <c r="Y40" s="131">
        <v>8.124913461441674E-3</v>
      </c>
      <c r="Z40" s="131">
        <v>0.11762642628957549</v>
      </c>
      <c r="AA40" s="131">
        <v>0.56104176977624443</v>
      </c>
      <c r="AB40" s="131">
        <v>0.37274069888226607</v>
      </c>
      <c r="AC40" s="131">
        <v>0.80657427065500187</v>
      </c>
      <c r="AD40" s="131">
        <v>7.9501747711606934E-3</v>
      </c>
      <c r="AE40" s="131">
        <v>0.73818338725074761</v>
      </c>
      <c r="AF40" s="131">
        <v>1.4911518298736947E-2</v>
      </c>
      <c r="AG40" s="131">
        <v>0.37294204382147145</v>
      </c>
      <c r="AH40" s="131">
        <v>0</v>
      </c>
      <c r="AI40" s="132">
        <v>3.0000952032066461</v>
      </c>
      <c r="AJ40" s="132">
        <v>4</v>
      </c>
    </row>
    <row r="41" spans="1:36" s="48" customFormat="1">
      <c r="A41" s="119" t="s">
        <v>278</v>
      </c>
      <c r="B41" s="146" t="s">
        <v>279</v>
      </c>
      <c r="C41" s="147" t="s">
        <v>326</v>
      </c>
      <c r="D41" s="121" t="s">
        <v>280</v>
      </c>
      <c r="E41" s="119" t="s">
        <v>277</v>
      </c>
      <c r="F41" s="120">
        <v>81.174060019656579</v>
      </c>
      <c r="G41" s="149" t="s">
        <v>130</v>
      </c>
      <c r="H41" s="147" t="s">
        <v>131</v>
      </c>
      <c r="I41" s="121" t="s">
        <v>253</v>
      </c>
      <c r="J41" s="121">
        <v>0.22</v>
      </c>
      <c r="K41" s="121">
        <v>12.86</v>
      </c>
      <c r="L41" s="121">
        <v>9.6199999999999992</v>
      </c>
      <c r="M41" s="121">
        <v>55</v>
      </c>
      <c r="N41" s="121">
        <v>0.37</v>
      </c>
      <c r="O41" s="121">
        <v>9.02</v>
      </c>
      <c r="P41" s="121">
        <v>0.24</v>
      </c>
      <c r="Q41" s="121">
        <v>8.83</v>
      </c>
      <c r="R41" s="121">
        <v>0.54</v>
      </c>
      <c r="S41" s="122">
        <v>96.69</v>
      </c>
      <c r="T41" s="115"/>
      <c r="U41" s="110">
        <v>30.41034354390683</v>
      </c>
      <c r="V41" s="110">
        <v>27.327913376409391</v>
      </c>
      <c r="W41" s="111">
        <v>99.438256920316235</v>
      </c>
      <c r="X41" s="41"/>
      <c r="Y41" s="113">
        <v>7.4598139162809496E-3</v>
      </c>
      <c r="Z41" s="113">
        <v>0.32794552317835274</v>
      </c>
      <c r="AA41" s="113">
        <v>0.38448797205375373</v>
      </c>
      <c r="AB41" s="113">
        <v>0.23682420853715677</v>
      </c>
      <c r="AC41" s="113">
        <v>0.69733115579559912</v>
      </c>
      <c r="AD41" s="113">
        <v>1.0487799838989008E-2</v>
      </c>
      <c r="AE41" s="113">
        <v>0.86238674216615041</v>
      </c>
      <c r="AF41" s="113">
        <v>1.0627180507525518E-2</v>
      </c>
      <c r="AG41" s="113">
        <v>0.45593324106678768</v>
      </c>
      <c r="AH41" s="113">
        <v>6.5454577320206223E-3</v>
      </c>
      <c r="AI41" s="114">
        <v>3.0000290947926165</v>
      </c>
      <c r="AJ41" s="114">
        <v>4</v>
      </c>
    </row>
    <row r="42" spans="1:36" s="48" customFormat="1">
      <c r="A42" s="119" t="s">
        <v>281</v>
      </c>
      <c r="B42" s="146" t="s">
        <v>279</v>
      </c>
      <c r="C42" s="147" t="s">
        <v>327</v>
      </c>
      <c r="D42" s="121" t="s">
        <v>280</v>
      </c>
      <c r="E42" s="119" t="s">
        <v>277</v>
      </c>
      <c r="F42" s="120">
        <v>81.414334900729074</v>
      </c>
      <c r="G42" s="149" t="s">
        <v>130</v>
      </c>
      <c r="H42" s="147" t="s">
        <v>131</v>
      </c>
      <c r="I42" s="121" t="s">
        <v>294</v>
      </c>
      <c r="J42" s="121">
        <v>0.18</v>
      </c>
      <c r="K42" s="121">
        <v>9.01</v>
      </c>
      <c r="L42" s="121">
        <v>9.25</v>
      </c>
      <c r="M42" s="121">
        <v>56.13</v>
      </c>
      <c r="N42" s="121">
        <v>0.37</v>
      </c>
      <c r="O42" s="121">
        <v>7.74</v>
      </c>
      <c r="P42" s="121"/>
      <c r="Q42" s="121">
        <v>12.05</v>
      </c>
      <c r="R42" s="121">
        <v>0.35</v>
      </c>
      <c r="S42" s="122">
        <v>95.08</v>
      </c>
      <c r="T42" s="115"/>
      <c r="U42" s="110">
        <v>28.581882367461262</v>
      </c>
      <c r="V42" s="110">
        <v>30.615823107955922</v>
      </c>
      <c r="W42" s="111">
        <v>98.147705475417183</v>
      </c>
      <c r="X42" s="41"/>
      <c r="Y42" s="113">
        <v>6.2511631353952711E-3</v>
      </c>
      <c r="Z42" s="113">
        <v>0.23532525790440659</v>
      </c>
      <c r="AA42" s="113">
        <v>0.37864518040349077</v>
      </c>
      <c r="AB42" s="113">
        <v>0.33100568450346757</v>
      </c>
      <c r="AC42" s="113">
        <v>0.80013183690000045</v>
      </c>
      <c r="AD42" s="113">
        <v>6.9621229562940529E-3</v>
      </c>
      <c r="AE42" s="113">
        <v>0.83014620463823474</v>
      </c>
      <c r="AF42" s="113">
        <v>1.0884314235675194E-2</v>
      </c>
      <c r="AG42" s="113">
        <v>0.40069940190160708</v>
      </c>
      <c r="AH42" s="113">
        <v>0</v>
      </c>
      <c r="AI42" s="114">
        <v>3.0000511665785714</v>
      </c>
      <c r="AJ42" s="114">
        <v>4</v>
      </c>
    </row>
    <row r="43" spans="1:36" s="48" customFormat="1">
      <c r="A43" s="119" t="s">
        <v>282</v>
      </c>
      <c r="B43" s="146" t="s">
        <v>275</v>
      </c>
      <c r="C43" s="147" t="s">
        <v>323</v>
      </c>
      <c r="D43" s="121" t="s">
        <v>294</v>
      </c>
      <c r="E43" s="119" t="s">
        <v>277</v>
      </c>
      <c r="F43" s="120">
        <v>82.291514159356893</v>
      </c>
      <c r="G43" s="149" t="s">
        <v>130</v>
      </c>
      <c r="H43" s="147" t="s">
        <v>131</v>
      </c>
      <c r="I43" s="121" t="s">
        <v>255</v>
      </c>
      <c r="J43" s="121">
        <v>0.2</v>
      </c>
      <c r="K43" s="121">
        <v>1.68</v>
      </c>
      <c r="L43" s="121">
        <v>17.420000000000002</v>
      </c>
      <c r="M43" s="121">
        <v>40.25</v>
      </c>
      <c r="N43" s="121"/>
      <c r="O43" s="121">
        <v>9.94</v>
      </c>
      <c r="P43" s="121"/>
      <c r="Q43" s="121">
        <v>28.64</v>
      </c>
      <c r="R43" s="121">
        <v>0.26</v>
      </c>
      <c r="S43" s="122">
        <v>99.06</v>
      </c>
      <c r="T43" s="115"/>
      <c r="U43" s="110">
        <v>21.218501640892871</v>
      </c>
      <c r="V43" s="110">
        <v>21.150809467778537</v>
      </c>
      <c r="W43" s="111">
        <v>100.5093111086714</v>
      </c>
      <c r="X43" s="41"/>
      <c r="Y43" s="113">
        <v>6.4325233652364052E-3</v>
      </c>
      <c r="Z43" s="113">
        <v>4.0636480146974553E-2</v>
      </c>
      <c r="AA43" s="113">
        <v>0.6603921470652323</v>
      </c>
      <c r="AB43" s="113">
        <v>0.72859211682562008</v>
      </c>
      <c r="AC43" s="113">
        <v>0.51192419176941095</v>
      </c>
      <c r="AD43" s="113">
        <v>4.789719070843316E-3</v>
      </c>
      <c r="AE43" s="113">
        <v>0.5707442185458077</v>
      </c>
      <c r="AF43" s="113">
        <v>0</v>
      </c>
      <c r="AG43" s="113">
        <v>0.47657051233310993</v>
      </c>
      <c r="AH43" s="113">
        <v>0</v>
      </c>
      <c r="AI43" s="114">
        <v>3.0000819091222355</v>
      </c>
      <c r="AJ43" s="114">
        <v>4</v>
      </c>
    </row>
    <row r="44" spans="1:36" s="48" customFormat="1">
      <c r="A44" s="119" t="s">
        <v>283</v>
      </c>
      <c r="B44" s="146" t="s">
        <v>279</v>
      </c>
      <c r="C44" s="147" t="s">
        <v>327</v>
      </c>
      <c r="D44" s="121" t="s">
        <v>294</v>
      </c>
      <c r="E44" s="119" t="s">
        <v>277</v>
      </c>
      <c r="F44" s="120">
        <v>82.291514159356893</v>
      </c>
      <c r="G44" s="149" t="s">
        <v>130</v>
      </c>
      <c r="H44" s="147" t="s">
        <v>131</v>
      </c>
      <c r="I44" s="121" t="s">
        <v>256</v>
      </c>
      <c r="J44" s="121">
        <v>0.28000000000000003</v>
      </c>
      <c r="K44" s="121">
        <v>8.74</v>
      </c>
      <c r="L44" s="121">
        <v>11.76</v>
      </c>
      <c r="M44" s="121">
        <v>55.6</v>
      </c>
      <c r="N44" s="121">
        <v>0.42</v>
      </c>
      <c r="O44" s="121">
        <v>6.61</v>
      </c>
      <c r="P44" s="121"/>
      <c r="Q44" s="121">
        <v>14.78</v>
      </c>
      <c r="R44" s="121">
        <v>0.34</v>
      </c>
      <c r="S44" s="122">
        <v>98.52</v>
      </c>
      <c r="T44" s="115"/>
      <c r="U44" s="110">
        <v>31.586830752349929</v>
      </c>
      <c r="V44" s="110">
        <v>26.687229659535532</v>
      </c>
      <c r="W44" s="111">
        <v>101.20406041188546</v>
      </c>
      <c r="X44" s="41"/>
      <c r="Y44" s="113">
        <v>9.4056750798582871E-3</v>
      </c>
      <c r="Z44" s="113">
        <v>0.22079986214444405</v>
      </c>
      <c r="AA44" s="113">
        <v>0.46563073073842187</v>
      </c>
      <c r="AB44" s="113">
        <v>0.39270501935959479</v>
      </c>
      <c r="AC44" s="113">
        <v>0.67462544433917271</v>
      </c>
      <c r="AD44" s="113">
        <v>6.5417836133880988E-3</v>
      </c>
      <c r="AE44" s="113">
        <v>0.88738774249736874</v>
      </c>
      <c r="AF44" s="113">
        <v>1.1950669908697868E-2</v>
      </c>
      <c r="AG44" s="113">
        <v>0.33099604606946204</v>
      </c>
      <c r="AH44" s="113">
        <v>0</v>
      </c>
      <c r="AI44" s="114">
        <v>3.0000429737504084</v>
      </c>
      <c r="AJ44" s="114">
        <v>4</v>
      </c>
    </row>
    <row r="45" spans="1:36" s="48" customFormat="1">
      <c r="A45" s="119" t="s">
        <v>284</v>
      </c>
      <c r="B45" s="146" t="s">
        <v>279</v>
      </c>
      <c r="C45" s="147" t="s">
        <v>327</v>
      </c>
      <c r="D45" s="121" t="s">
        <v>294</v>
      </c>
      <c r="E45" s="119" t="s">
        <v>277</v>
      </c>
      <c r="F45" s="120">
        <v>82.291514159356893</v>
      </c>
      <c r="G45" s="149" t="s">
        <v>130</v>
      </c>
      <c r="H45" s="147" t="s">
        <v>131</v>
      </c>
      <c r="I45" s="121" t="s">
        <v>294</v>
      </c>
      <c r="J45" s="121"/>
      <c r="K45" s="121">
        <v>12.47</v>
      </c>
      <c r="L45" s="121">
        <v>9.52</v>
      </c>
      <c r="M45" s="121">
        <v>57.08</v>
      </c>
      <c r="N45" s="123">
        <v>0.7</v>
      </c>
      <c r="O45" s="121">
        <v>5.76</v>
      </c>
      <c r="P45" s="121"/>
      <c r="Q45" s="121">
        <v>11.04</v>
      </c>
      <c r="R45" s="121">
        <v>0.49</v>
      </c>
      <c r="S45" s="122">
        <v>97.06</v>
      </c>
      <c r="T45" s="115"/>
      <c r="U45" s="110">
        <v>34.727830174687639</v>
      </c>
      <c r="V45" s="110">
        <v>24.841264531354028</v>
      </c>
      <c r="W45" s="111">
        <v>99.549094706041672</v>
      </c>
      <c r="X45" s="41"/>
      <c r="Y45" s="113">
        <v>0</v>
      </c>
      <c r="Z45" s="113">
        <v>0.32514881174472249</v>
      </c>
      <c r="AA45" s="113">
        <v>0.38904479948581139</v>
      </c>
      <c r="AB45" s="113">
        <v>0.30275368927524016</v>
      </c>
      <c r="AC45" s="113">
        <v>0.64812873456498588</v>
      </c>
      <c r="AD45" s="113">
        <v>9.7306463764814267E-3</v>
      </c>
      <c r="AE45" s="113">
        <v>1.0069626767319637</v>
      </c>
      <c r="AF45" s="113">
        <v>2.0557455220843901E-2</v>
      </c>
      <c r="AG45" s="113">
        <v>0.29769544000396914</v>
      </c>
      <c r="AH45" s="113">
        <v>0</v>
      </c>
      <c r="AI45" s="114">
        <v>3.0000222534040186</v>
      </c>
      <c r="AJ45" s="114">
        <v>4</v>
      </c>
    </row>
    <row r="46" spans="1:36" s="48" customFormat="1">
      <c r="A46" s="119" t="s">
        <v>285</v>
      </c>
      <c r="B46" s="146" t="s">
        <v>279</v>
      </c>
      <c r="C46" s="147" t="s">
        <v>327</v>
      </c>
      <c r="D46" s="121" t="s">
        <v>294</v>
      </c>
      <c r="E46" s="119" t="s">
        <v>277</v>
      </c>
      <c r="F46" s="120">
        <v>82.291514159356893</v>
      </c>
      <c r="G46" s="149" t="s">
        <v>130</v>
      </c>
      <c r="H46" s="147" t="s">
        <v>131</v>
      </c>
      <c r="I46" s="121" t="s">
        <v>294</v>
      </c>
      <c r="J46" s="121">
        <v>0.27</v>
      </c>
      <c r="K46" s="121">
        <v>14.36</v>
      </c>
      <c r="L46" s="121">
        <v>8.82</v>
      </c>
      <c r="M46" s="121">
        <v>61.54</v>
      </c>
      <c r="N46" s="121">
        <v>0.65</v>
      </c>
      <c r="O46" s="121">
        <v>5.73</v>
      </c>
      <c r="P46" s="121"/>
      <c r="Q46" s="121">
        <v>6.36</v>
      </c>
      <c r="R46" s="121">
        <v>0.51</v>
      </c>
      <c r="S46" s="122">
        <v>98.25</v>
      </c>
      <c r="T46" s="115"/>
      <c r="U46" s="110">
        <v>37.179875221766835</v>
      </c>
      <c r="V46" s="110">
        <v>27.072821491701674</v>
      </c>
      <c r="W46" s="111">
        <v>100.95269671346851</v>
      </c>
      <c r="X46" s="41"/>
      <c r="Y46" s="113">
        <v>9.27323751475332E-3</v>
      </c>
      <c r="Z46" s="113">
        <v>0.37091763662334987</v>
      </c>
      <c r="AA46" s="113">
        <v>0.35705784321714168</v>
      </c>
      <c r="AB46" s="113">
        <v>0.17277655589113206</v>
      </c>
      <c r="AC46" s="113">
        <v>0.69972666233325964</v>
      </c>
      <c r="AD46" s="113">
        <v>1.0032822121020092E-2</v>
      </c>
      <c r="AE46" s="113">
        <v>1.067950144346667</v>
      </c>
      <c r="AF46" s="113">
        <v>1.8910020333823708E-2</v>
      </c>
      <c r="AG46" s="113">
        <v>0.29336726169947258</v>
      </c>
      <c r="AH46" s="113">
        <v>0</v>
      </c>
      <c r="AI46" s="114">
        <v>3.00001218408062</v>
      </c>
      <c r="AJ46" s="114">
        <v>4</v>
      </c>
    </row>
    <row r="47" spans="1:36" s="48" customFormat="1">
      <c r="A47" s="119" t="s">
        <v>286</v>
      </c>
      <c r="B47" s="146" t="s">
        <v>275</v>
      </c>
      <c r="C47" s="147" t="s">
        <v>323</v>
      </c>
      <c r="D47" s="121" t="s">
        <v>294</v>
      </c>
      <c r="E47" s="119" t="s">
        <v>277</v>
      </c>
      <c r="F47" s="120">
        <v>82.184956110543183</v>
      </c>
      <c r="G47" s="149" t="s">
        <v>130</v>
      </c>
      <c r="H47" s="147" t="s">
        <v>131</v>
      </c>
      <c r="I47" s="121" t="s">
        <v>257</v>
      </c>
      <c r="J47" s="121">
        <v>0.16</v>
      </c>
      <c r="K47" s="121">
        <v>3.84</v>
      </c>
      <c r="L47" s="121">
        <v>14.594999999999999</v>
      </c>
      <c r="M47" s="121">
        <v>44.980000000000004</v>
      </c>
      <c r="N47" s="121">
        <v>0.30000000000000004</v>
      </c>
      <c r="O47" s="121">
        <v>9.3049999999999997</v>
      </c>
      <c r="P47" s="121">
        <v>0.26</v>
      </c>
      <c r="Q47" s="121">
        <v>23.759999999999998</v>
      </c>
      <c r="R47" s="121">
        <v>0.31999999999999995</v>
      </c>
      <c r="S47" s="122">
        <v>97.600000000000009</v>
      </c>
      <c r="T47" s="115"/>
      <c r="U47" s="110">
        <v>22.854082905094263</v>
      </c>
      <c r="V47" s="110">
        <v>24.589816731391132</v>
      </c>
      <c r="W47" s="111">
        <v>99.983899636485404</v>
      </c>
      <c r="X47" s="41"/>
      <c r="Y47" s="113">
        <v>5.2644429797446728E-3</v>
      </c>
      <c r="Z47" s="113">
        <v>9.5020889707992204E-2</v>
      </c>
      <c r="AA47" s="113">
        <v>0.56602930394743689</v>
      </c>
      <c r="AB47" s="113">
        <v>0.61835653850137318</v>
      </c>
      <c r="AC47" s="113">
        <v>0.60885660111244833</v>
      </c>
      <c r="AD47" s="113">
        <v>6.0307001935536626E-3</v>
      </c>
      <c r="AE47" s="113">
        <v>0.62888563326037883</v>
      </c>
      <c r="AF47" s="113">
        <v>8.3611250348760609E-3</v>
      </c>
      <c r="AG47" s="113">
        <v>0.4563922139923155</v>
      </c>
      <c r="AH47" s="113">
        <v>6.8806467047368945E-3</v>
      </c>
      <c r="AI47" s="114">
        <v>3.0000780954348563</v>
      </c>
      <c r="AJ47" s="114">
        <v>4</v>
      </c>
    </row>
    <row r="48" spans="1:36" s="48" customFormat="1">
      <c r="A48" s="119" t="s">
        <v>287</v>
      </c>
      <c r="B48" s="146" t="s">
        <v>275</v>
      </c>
      <c r="C48" s="147" t="s">
        <v>323</v>
      </c>
      <c r="D48" s="121" t="s">
        <v>294</v>
      </c>
      <c r="E48" s="119" t="s">
        <v>277</v>
      </c>
      <c r="F48" s="120">
        <v>82.184956110543183</v>
      </c>
      <c r="G48" s="149" t="s">
        <v>130</v>
      </c>
      <c r="H48" s="147" t="s">
        <v>131</v>
      </c>
      <c r="I48" s="121" t="s">
        <v>258</v>
      </c>
      <c r="J48" s="121">
        <v>0.23</v>
      </c>
      <c r="K48" s="121">
        <v>6.85</v>
      </c>
      <c r="L48" s="121">
        <v>12.22</v>
      </c>
      <c r="M48" s="121">
        <v>48.73</v>
      </c>
      <c r="N48" s="121">
        <v>0.28000000000000003</v>
      </c>
      <c r="O48" s="121">
        <v>8.7899999999999991</v>
      </c>
      <c r="P48" s="121">
        <v>0.18</v>
      </c>
      <c r="Q48" s="121">
        <v>18</v>
      </c>
      <c r="R48" s="121">
        <v>0.31</v>
      </c>
      <c r="S48" s="122">
        <v>95.65</v>
      </c>
      <c r="T48" s="115"/>
      <c r="U48" s="110">
        <v>25.565104354158979</v>
      </c>
      <c r="V48" s="110">
        <v>25.744493938476346</v>
      </c>
      <c r="W48" s="111">
        <v>98.169598292635328</v>
      </c>
      <c r="X48" s="41"/>
      <c r="Y48" s="113">
        <v>7.8020470568691182E-3</v>
      </c>
      <c r="Z48" s="113">
        <v>0.17475383916764256</v>
      </c>
      <c r="AA48" s="113">
        <v>0.48860095122124469</v>
      </c>
      <c r="AB48" s="113">
        <v>0.48296239005389863</v>
      </c>
      <c r="AC48" s="113">
        <v>0.65719215744636139</v>
      </c>
      <c r="AD48" s="113">
        <v>6.0232063247028407E-3</v>
      </c>
      <c r="AE48" s="113">
        <v>0.72527670838048586</v>
      </c>
      <c r="AF48" s="113">
        <v>8.0454396330784314E-3</v>
      </c>
      <c r="AG48" s="113">
        <v>0.44448694543585704</v>
      </c>
      <c r="AH48" s="113">
        <v>4.9110765322439671E-3</v>
      </c>
      <c r="AI48" s="114">
        <v>3.0000547612523847</v>
      </c>
      <c r="AJ48" s="114">
        <v>4</v>
      </c>
    </row>
    <row r="49" spans="1:36" s="48" customFormat="1">
      <c r="A49" s="119" t="s">
        <v>288</v>
      </c>
      <c r="B49" s="146" t="s">
        <v>275</v>
      </c>
      <c r="C49" s="147" t="s">
        <v>323</v>
      </c>
      <c r="D49" s="121" t="s">
        <v>294</v>
      </c>
      <c r="E49" s="119" t="s">
        <v>277</v>
      </c>
      <c r="F49" s="120">
        <v>81.164474095387234</v>
      </c>
      <c r="G49" s="149" t="s">
        <v>130</v>
      </c>
      <c r="H49" s="147" t="s">
        <v>131</v>
      </c>
      <c r="I49" s="121" t="s">
        <v>260</v>
      </c>
      <c r="J49" s="121">
        <v>0.23</v>
      </c>
      <c r="K49" s="121">
        <v>4.47</v>
      </c>
      <c r="L49" s="121">
        <v>17.41</v>
      </c>
      <c r="M49" s="121">
        <v>45.4</v>
      </c>
      <c r="N49" s="121"/>
      <c r="O49" s="121">
        <v>9.39</v>
      </c>
      <c r="P49" s="121">
        <v>0.21</v>
      </c>
      <c r="Q49" s="121">
        <v>19.649999999999999</v>
      </c>
      <c r="R49" s="121">
        <v>0.33</v>
      </c>
      <c r="S49" s="122">
        <v>97.67</v>
      </c>
      <c r="T49" s="115"/>
      <c r="U49" s="110">
        <v>24.022911898484999</v>
      </c>
      <c r="V49" s="110">
        <v>23.757599579367636</v>
      </c>
      <c r="W49" s="111">
        <v>99.470511477852639</v>
      </c>
      <c r="X49" s="41"/>
      <c r="Y49" s="113">
        <v>7.5017703118926467E-3</v>
      </c>
      <c r="Z49" s="113">
        <v>0.10964753549796387</v>
      </c>
      <c r="AA49" s="113">
        <v>0.66932503724433823</v>
      </c>
      <c r="AB49" s="113">
        <v>0.50694233298716374</v>
      </c>
      <c r="AC49" s="113">
        <v>0.58313051522411985</v>
      </c>
      <c r="AD49" s="113">
        <v>6.1650298497568359E-3</v>
      </c>
      <c r="AE49" s="113">
        <v>0.65529523041189186</v>
      </c>
      <c r="AF49" s="113">
        <v>0</v>
      </c>
      <c r="AG49" s="113">
        <v>0.45655270995555075</v>
      </c>
      <c r="AH49" s="113">
        <v>5.5090750547765639E-3</v>
      </c>
      <c r="AI49" s="114">
        <v>3.0000692365374544</v>
      </c>
      <c r="AJ49" s="114">
        <v>4</v>
      </c>
    </row>
    <row r="50" spans="1:36" s="48" customFormat="1" ht="14.65" thickBot="1">
      <c r="A50" s="140" t="s">
        <v>289</v>
      </c>
      <c r="B50" s="152" t="s">
        <v>275</v>
      </c>
      <c r="C50" s="150" t="s">
        <v>323</v>
      </c>
      <c r="D50" s="143" t="s">
        <v>294</v>
      </c>
      <c r="E50" s="140" t="s">
        <v>277</v>
      </c>
      <c r="F50" s="142">
        <v>82.950116703894793</v>
      </c>
      <c r="G50" s="151" t="s">
        <v>130</v>
      </c>
      <c r="H50" s="150" t="s">
        <v>131</v>
      </c>
      <c r="I50" s="143" t="s">
        <v>261</v>
      </c>
      <c r="J50" s="143">
        <v>0.26</v>
      </c>
      <c r="K50" s="143">
        <v>5.8</v>
      </c>
      <c r="L50" s="143">
        <v>16.86</v>
      </c>
      <c r="M50" s="143">
        <v>43.4</v>
      </c>
      <c r="N50" s="143">
        <v>0.34</v>
      </c>
      <c r="O50" s="143">
        <v>10.56</v>
      </c>
      <c r="P50" s="143"/>
      <c r="Q50" s="143">
        <v>20.79</v>
      </c>
      <c r="R50" s="155">
        <v>0.4</v>
      </c>
      <c r="S50" s="144">
        <v>98.41</v>
      </c>
      <c r="T50" s="141"/>
      <c r="U50" s="136">
        <v>23.629871162232565</v>
      </c>
      <c r="V50" s="136">
        <v>21.971692418056715</v>
      </c>
      <c r="W50" s="137">
        <v>100.61156358028929</v>
      </c>
      <c r="X50" s="66"/>
      <c r="Y50" s="138">
        <v>8.3428897681634574E-3</v>
      </c>
      <c r="Z50" s="138">
        <v>0.13996729699527602</v>
      </c>
      <c r="AA50" s="138">
        <v>0.63768044711412952</v>
      </c>
      <c r="AB50" s="138">
        <v>0.5276643147523975</v>
      </c>
      <c r="AC50" s="138">
        <v>0.53055932462492872</v>
      </c>
      <c r="AD50" s="138">
        <v>7.3517116674210441E-3</v>
      </c>
      <c r="AE50" s="138">
        <v>0.63413239909402419</v>
      </c>
      <c r="AF50" s="138">
        <v>9.2413005409468629E-3</v>
      </c>
      <c r="AG50" s="138">
        <v>0.50512222959983488</v>
      </c>
      <c r="AH50" s="138">
        <v>0</v>
      </c>
      <c r="AI50" s="139">
        <v>3.0000619141571225</v>
      </c>
      <c r="AJ50" s="139">
        <v>4</v>
      </c>
    </row>
    <row r="51" spans="1:36" s="48" customFormat="1">
      <c r="A51" s="124" t="s">
        <v>297</v>
      </c>
      <c r="B51" s="153" t="s">
        <v>298</v>
      </c>
      <c r="C51" s="154" t="s">
        <v>325</v>
      </c>
      <c r="D51" s="127" t="s">
        <v>299</v>
      </c>
      <c r="E51" s="124" t="s">
        <v>277</v>
      </c>
      <c r="F51" s="125">
        <v>77.509818940958596</v>
      </c>
      <c r="G51" s="148" t="s">
        <v>130</v>
      </c>
      <c r="H51" s="154" t="s">
        <v>131</v>
      </c>
      <c r="I51" s="127" t="s">
        <v>300</v>
      </c>
      <c r="J51" s="127">
        <v>0.24</v>
      </c>
      <c r="K51" s="127">
        <v>15.6</v>
      </c>
      <c r="L51" s="127">
        <v>8.1199999999999992</v>
      </c>
      <c r="M51" s="127">
        <v>64.67</v>
      </c>
      <c r="N51" s="127">
        <v>0.59</v>
      </c>
      <c r="O51" s="127">
        <v>5.99</v>
      </c>
      <c r="P51" s="127"/>
      <c r="Q51" s="127">
        <v>1.02</v>
      </c>
      <c r="R51" s="127">
        <v>0.46</v>
      </c>
      <c r="S51" s="128">
        <v>96.69</v>
      </c>
      <c r="T51" s="126"/>
      <c r="U51" s="129">
        <v>37.36896550824541</v>
      </c>
      <c r="V51" s="129">
        <v>30.341225263119131</v>
      </c>
      <c r="W51" s="130">
        <v>99.730190771364533</v>
      </c>
      <c r="X51" s="56"/>
      <c r="Y51" s="131">
        <v>8.3596512785577039E-3</v>
      </c>
      <c r="Z51" s="131">
        <v>0.40865511822721662</v>
      </c>
      <c r="AA51" s="131">
        <v>0.33337676017291779</v>
      </c>
      <c r="AB51" s="131">
        <v>2.8101996085905794E-2</v>
      </c>
      <c r="AC51" s="131">
        <v>0.79531160193389783</v>
      </c>
      <c r="AD51" s="131">
        <v>9.177408606230935E-3</v>
      </c>
      <c r="AE51" s="131">
        <v>1.0885877090111922</v>
      </c>
      <c r="AF51" s="131">
        <v>1.7407642182585878E-2</v>
      </c>
      <c r="AG51" s="131">
        <v>0.31102345959624472</v>
      </c>
      <c r="AH51" s="131">
        <v>0</v>
      </c>
      <c r="AI51" s="132">
        <v>3.0000013470947491</v>
      </c>
      <c r="AJ51" s="132">
        <v>4</v>
      </c>
    </row>
    <row r="52" spans="1:36" s="48" customFormat="1">
      <c r="A52" s="119" t="s">
        <v>301</v>
      </c>
      <c r="B52" s="146" t="s">
        <v>298</v>
      </c>
      <c r="C52" s="147" t="s">
        <v>324</v>
      </c>
      <c r="D52" s="121" t="s">
        <v>299</v>
      </c>
      <c r="E52" s="119" t="s">
        <v>277</v>
      </c>
      <c r="F52" s="120">
        <v>77.811399397541024</v>
      </c>
      <c r="G52" s="149" t="s">
        <v>130</v>
      </c>
      <c r="H52" s="147" t="s">
        <v>131</v>
      </c>
      <c r="I52" s="121" t="s">
        <v>302</v>
      </c>
      <c r="J52" s="121">
        <v>0.19</v>
      </c>
      <c r="K52" s="121">
        <v>13.59</v>
      </c>
      <c r="L52" s="121">
        <v>7.77</v>
      </c>
      <c r="M52" s="121">
        <v>64.55</v>
      </c>
      <c r="N52" s="121">
        <v>0.45</v>
      </c>
      <c r="O52" s="121">
        <v>6.8</v>
      </c>
      <c r="P52" s="121"/>
      <c r="Q52" s="121">
        <v>1.72</v>
      </c>
      <c r="R52" s="121">
        <v>0.54</v>
      </c>
      <c r="S52" s="122">
        <v>95.6</v>
      </c>
      <c r="T52" s="115"/>
      <c r="U52" s="110">
        <v>34.048978421201809</v>
      </c>
      <c r="V52" s="110">
        <v>33.897556766835059</v>
      </c>
      <c r="W52" s="111">
        <v>99.006535188036878</v>
      </c>
      <c r="X52" s="41"/>
      <c r="Y52" s="113">
        <v>6.6479388391225483E-3</v>
      </c>
      <c r="Z52" s="113">
        <v>0.35760888106281907</v>
      </c>
      <c r="AA52" s="113">
        <v>0.3204474397007217</v>
      </c>
      <c r="AB52" s="113">
        <v>4.7601642554868838E-2</v>
      </c>
      <c r="AC52" s="113">
        <v>0.89254288965973017</v>
      </c>
      <c r="AD52" s="113">
        <v>1.0822123635554886E-2</v>
      </c>
      <c r="AE52" s="113">
        <v>0.9963523101543621</v>
      </c>
      <c r="AF52" s="113">
        <v>1.3336963051006285E-2</v>
      </c>
      <c r="AG52" s="113">
        <v>0.35467594366443522</v>
      </c>
      <c r="AH52" s="113">
        <v>0</v>
      </c>
      <c r="AI52" s="114">
        <v>3.000036132322621</v>
      </c>
      <c r="AJ52" s="114">
        <v>4</v>
      </c>
    </row>
    <row r="53" spans="1:36" s="48" customFormat="1">
      <c r="A53" s="119" t="s">
        <v>303</v>
      </c>
      <c r="B53" s="146" t="s">
        <v>298</v>
      </c>
      <c r="C53" s="147" t="s">
        <v>304</v>
      </c>
      <c r="D53" s="121" t="s">
        <v>299</v>
      </c>
      <c r="E53" s="119" t="s">
        <v>305</v>
      </c>
      <c r="F53" s="120">
        <v>75.276622585231834</v>
      </c>
      <c r="G53" s="149" t="s">
        <v>130</v>
      </c>
      <c r="H53" s="147" t="s">
        <v>131</v>
      </c>
      <c r="I53" s="121" t="s">
        <v>294</v>
      </c>
      <c r="J53" s="121">
        <v>0.23</v>
      </c>
      <c r="K53" s="121">
        <v>13.93</v>
      </c>
      <c r="L53" s="121">
        <v>8.01</v>
      </c>
      <c r="M53" s="121">
        <v>64.73</v>
      </c>
      <c r="N53" s="121">
        <v>0.51</v>
      </c>
      <c r="O53" s="121">
        <v>6.54</v>
      </c>
      <c r="P53" s="121"/>
      <c r="Q53" s="121">
        <v>0.93</v>
      </c>
      <c r="R53" s="121">
        <v>0.56000000000000005</v>
      </c>
      <c r="S53" s="122">
        <v>95.44</v>
      </c>
      <c r="T53" s="115"/>
      <c r="U53" s="110">
        <v>34.716893156460571</v>
      </c>
      <c r="V53" s="110">
        <v>33.355308783662409</v>
      </c>
      <c r="W53" s="111">
        <v>98.782201940122988</v>
      </c>
      <c r="X53" s="41"/>
      <c r="Y53" s="113">
        <v>8.0682990906365791E-3</v>
      </c>
      <c r="Z53" s="113">
        <v>0.36750283542057921</v>
      </c>
      <c r="AA53" s="113">
        <v>0.33119901920398287</v>
      </c>
      <c r="AB53" s="113">
        <v>2.5804602840446597E-2</v>
      </c>
      <c r="AC53" s="113">
        <v>0.88053455153984306</v>
      </c>
      <c r="AD53" s="113">
        <v>1.1251942315755417E-2</v>
      </c>
      <c r="AE53" s="113">
        <v>1.0185220546436384</v>
      </c>
      <c r="AF53" s="113">
        <v>1.5154281456573196E-2</v>
      </c>
      <c r="AG53" s="113">
        <v>0.3419962210273147</v>
      </c>
      <c r="AH53" s="113">
        <v>0</v>
      </c>
      <c r="AI53" s="114">
        <v>3.0000338075387698</v>
      </c>
      <c r="AJ53" s="114">
        <v>4</v>
      </c>
    </row>
    <row r="54" spans="1:36" s="48" customFormat="1">
      <c r="A54" s="119" t="s">
        <v>307</v>
      </c>
      <c r="B54" s="146" t="s">
        <v>298</v>
      </c>
      <c r="C54" s="147" t="s">
        <v>304</v>
      </c>
      <c r="D54" s="121" t="s">
        <v>299</v>
      </c>
      <c r="E54" s="119" t="s">
        <v>305</v>
      </c>
      <c r="F54" s="120">
        <v>78.147581957041027</v>
      </c>
      <c r="G54" s="149" t="s">
        <v>130</v>
      </c>
      <c r="H54" s="147" t="s">
        <v>131</v>
      </c>
      <c r="I54" s="121" t="s">
        <v>294</v>
      </c>
      <c r="J54" s="121">
        <v>0.28999999999999998</v>
      </c>
      <c r="K54" s="121">
        <v>14.15</v>
      </c>
      <c r="L54" s="121">
        <v>7.84</v>
      </c>
      <c r="M54" s="121">
        <v>64.8</v>
      </c>
      <c r="N54" s="121">
        <v>0.57999999999999996</v>
      </c>
      <c r="O54" s="121">
        <v>5.91</v>
      </c>
      <c r="P54" s="121"/>
      <c r="Q54" s="121">
        <v>0.95</v>
      </c>
      <c r="R54" s="121">
        <v>0.48</v>
      </c>
      <c r="S54" s="122">
        <v>95.01</v>
      </c>
      <c r="T54" s="115"/>
      <c r="U54" s="110">
        <v>35.708005390712152</v>
      </c>
      <c r="V54" s="110">
        <v>32.331623259933146</v>
      </c>
      <c r="W54" s="111">
        <v>98.239628650645301</v>
      </c>
      <c r="X54" s="41"/>
      <c r="Y54" s="113">
        <v>1.0272272318190227E-2</v>
      </c>
      <c r="Z54" s="113">
        <v>0.37694708631223162</v>
      </c>
      <c r="AA54" s="113">
        <v>0.32733086767118941</v>
      </c>
      <c r="AB54" s="113">
        <v>2.6616577388535775E-2</v>
      </c>
      <c r="AC54" s="113">
        <v>0.86183339660075409</v>
      </c>
      <c r="AD54" s="113">
        <v>9.738567538284849E-3</v>
      </c>
      <c r="AE54" s="113">
        <v>1.0578145816594029</v>
      </c>
      <c r="AF54" s="113">
        <v>1.7402335596279975E-2</v>
      </c>
      <c r="AG54" s="113">
        <v>0.31206525168532667</v>
      </c>
      <c r="AH54" s="113">
        <v>0</v>
      </c>
      <c r="AI54" s="114">
        <v>3.0000209367701953</v>
      </c>
      <c r="AJ54" s="114">
        <v>4</v>
      </c>
    </row>
    <row r="55" spans="1:36" s="48" customFormat="1">
      <c r="A55" s="119" t="s">
        <v>309</v>
      </c>
      <c r="B55" s="146" t="s">
        <v>298</v>
      </c>
      <c r="C55" s="147" t="s">
        <v>310</v>
      </c>
      <c r="D55" s="121" t="s">
        <v>276</v>
      </c>
      <c r="E55" s="119" t="s">
        <v>294</v>
      </c>
      <c r="F55" s="120">
        <v>77.809981757155512</v>
      </c>
      <c r="G55" s="149" t="s">
        <v>130</v>
      </c>
      <c r="H55" s="147" t="s">
        <v>131</v>
      </c>
      <c r="I55" s="121" t="s">
        <v>294</v>
      </c>
      <c r="J55" s="121">
        <v>0.19</v>
      </c>
      <c r="K55" s="121">
        <v>14.63</v>
      </c>
      <c r="L55" s="121">
        <v>7.79</v>
      </c>
      <c r="M55" s="121">
        <v>66.28</v>
      </c>
      <c r="N55" s="121">
        <v>0.57999999999999996</v>
      </c>
      <c r="O55" s="121">
        <v>5.88</v>
      </c>
      <c r="P55" s="121"/>
      <c r="Q55" s="121">
        <v>0.85</v>
      </c>
      <c r="R55" s="121">
        <v>0.5</v>
      </c>
      <c r="S55" s="122">
        <v>96.69</v>
      </c>
      <c r="T55" s="115"/>
      <c r="U55" s="110">
        <v>36.602592167536649</v>
      </c>
      <c r="V55" s="110">
        <v>32.982226975398255</v>
      </c>
      <c r="W55" s="111">
        <v>100.00481914293491</v>
      </c>
      <c r="X55" s="41"/>
      <c r="Y55" s="113">
        <v>6.6262510583054617E-3</v>
      </c>
      <c r="Z55" s="113">
        <v>0.38371964717403373</v>
      </c>
      <c r="AA55" s="113">
        <v>0.32022417555583732</v>
      </c>
      <c r="AB55" s="113">
        <v>2.3447324233218027E-2</v>
      </c>
      <c r="AC55" s="113">
        <v>0.86560856543758435</v>
      </c>
      <c r="AD55" s="113">
        <v>9.9877947035698581E-3</v>
      </c>
      <c r="AE55" s="113">
        <v>1.0675827800658972</v>
      </c>
      <c r="AF55" s="113">
        <v>1.7133784453450183E-2</v>
      </c>
      <c r="AG55" s="113">
        <v>0.30568984912065994</v>
      </c>
      <c r="AH55" s="113">
        <v>0</v>
      </c>
      <c r="AI55" s="114">
        <v>3.0000201718025563</v>
      </c>
      <c r="AJ55" s="114">
        <v>4</v>
      </c>
    </row>
    <row r="56" spans="1:36" s="48" customFormat="1">
      <c r="A56" s="119" t="s">
        <v>312</v>
      </c>
      <c r="B56" s="146" t="s">
        <v>298</v>
      </c>
      <c r="C56" s="147" t="s">
        <v>313</v>
      </c>
      <c r="D56" s="121" t="s">
        <v>276</v>
      </c>
      <c r="E56" s="119" t="s">
        <v>294</v>
      </c>
      <c r="F56" s="120">
        <v>77.975385831379143</v>
      </c>
      <c r="G56" s="149" t="s">
        <v>130</v>
      </c>
      <c r="H56" s="147" t="s">
        <v>131</v>
      </c>
      <c r="I56" s="121" t="s">
        <v>294</v>
      </c>
      <c r="J56" s="121">
        <v>0.17</v>
      </c>
      <c r="K56" s="121">
        <v>15.23</v>
      </c>
      <c r="L56" s="121">
        <v>7.87</v>
      </c>
      <c r="M56" s="121">
        <v>64.260000000000005</v>
      </c>
      <c r="N56" s="121">
        <v>0.63</v>
      </c>
      <c r="O56" s="121">
        <v>5.6</v>
      </c>
      <c r="P56" s="121"/>
      <c r="Q56" s="121">
        <v>0.79</v>
      </c>
      <c r="R56" s="121">
        <v>0.6</v>
      </c>
      <c r="S56" s="122">
        <v>95.15</v>
      </c>
      <c r="T56" s="115"/>
      <c r="U56" s="110">
        <v>36.957145996218017</v>
      </c>
      <c r="V56" s="110">
        <v>30.34324739251165</v>
      </c>
      <c r="W56" s="111">
        <v>98.19039338872966</v>
      </c>
      <c r="X56" s="41"/>
      <c r="Y56" s="113">
        <v>6.0360442870509108E-3</v>
      </c>
      <c r="Z56" s="113">
        <v>0.40668562728494317</v>
      </c>
      <c r="AA56" s="113">
        <v>0.32936739234693635</v>
      </c>
      <c r="AB56" s="113">
        <v>2.218659547925439E-2</v>
      </c>
      <c r="AC56" s="113">
        <v>0.81076097764965316</v>
      </c>
      <c r="AD56" s="113">
        <v>1.2202254073538301E-2</v>
      </c>
      <c r="AE56" s="113">
        <v>1.0974313270839373</v>
      </c>
      <c r="AF56" s="113">
        <v>1.8947637420322079E-2</v>
      </c>
      <c r="AG56" s="113">
        <v>0.29640186302767957</v>
      </c>
      <c r="AH56" s="113">
        <v>0</v>
      </c>
      <c r="AI56" s="114">
        <v>3.0000197186533151</v>
      </c>
      <c r="AJ56" s="114">
        <v>4</v>
      </c>
    </row>
    <row r="57" spans="1:36" s="48" customFormat="1" ht="14.65" thickBot="1">
      <c r="A57" s="140" t="s">
        <v>314</v>
      </c>
      <c r="B57" s="152" t="s">
        <v>298</v>
      </c>
      <c r="C57" s="150" t="s">
        <v>304</v>
      </c>
      <c r="D57" s="143" t="s">
        <v>276</v>
      </c>
      <c r="E57" s="140" t="s">
        <v>305</v>
      </c>
      <c r="F57" s="142">
        <v>75.047127716110666</v>
      </c>
      <c r="G57" s="151" t="s">
        <v>130</v>
      </c>
      <c r="H57" s="150" t="s">
        <v>131</v>
      </c>
      <c r="I57" s="143" t="s">
        <v>294</v>
      </c>
      <c r="J57" s="143">
        <v>0.16</v>
      </c>
      <c r="K57" s="143">
        <v>13.17</v>
      </c>
      <c r="L57" s="143">
        <v>7.58</v>
      </c>
      <c r="M57" s="143">
        <v>64.06</v>
      </c>
      <c r="N57" s="143">
        <v>0.44</v>
      </c>
      <c r="O57" s="143">
        <v>6.81</v>
      </c>
      <c r="P57" s="143"/>
      <c r="Q57" s="143">
        <v>0.86</v>
      </c>
      <c r="R57" s="143">
        <v>0.52</v>
      </c>
      <c r="S57" s="144">
        <v>93.89</v>
      </c>
      <c r="T57" s="141"/>
      <c r="U57" s="136">
        <v>32.96437022003083</v>
      </c>
      <c r="V57" s="136">
        <v>34.558379395386943</v>
      </c>
      <c r="W57" s="137">
        <v>97.062749615417772</v>
      </c>
      <c r="X57" s="66"/>
      <c r="Y57" s="138">
        <v>5.7091250848619948E-3</v>
      </c>
      <c r="Z57" s="138">
        <v>0.35341971746096956</v>
      </c>
      <c r="AA57" s="138">
        <v>0.31880208583367603</v>
      </c>
      <c r="AB57" s="138">
        <v>2.4272142018267676E-2</v>
      </c>
      <c r="AC57" s="138">
        <v>0.92796207513038076</v>
      </c>
      <c r="AD57" s="138">
        <v>1.0627674298307226E-2</v>
      </c>
      <c r="AE57" s="138">
        <v>0.98371612473512804</v>
      </c>
      <c r="AF57" s="138">
        <v>1.3298825027639308E-2</v>
      </c>
      <c r="AG57" s="138">
        <v>0.36223139922462211</v>
      </c>
      <c r="AH57" s="138">
        <v>0</v>
      </c>
      <c r="AI57" s="139">
        <v>3.0000391688138528</v>
      </c>
      <c r="AJ57" s="139">
        <v>4</v>
      </c>
    </row>
    <row r="58" spans="1:36" s="48" customFormat="1">
      <c r="A58" s="124" t="s">
        <v>290</v>
      </c>
      <c r="B58" s="153" t="s">
        <v>291</v>
      </c>
      <c r="C58" s="154" t="s">
        <v>292</v>
      </c>
      <c r="D58" s="127" t="s">
        <v>294</v>
      </c>
      <c r="E58" s="124" t="s">
        <v>294</v>
      </c>
      <c r="F58" s="125"/>
      <c r="G58" s="148" t="s">
        <v>130</v>
      </c>
      <c r="H58" s="154" t="s">
        <v>131</v>
      </c>
      <c r="I58" s="127" t="s">
        <v>294</v>
      </c>
      <c r="J58" s="145">
        <v>0.33</v>
      </c>
      <c r="K58" s="145">
        <v>19.82</v>
      </c>
      <c r="L58" s="145">
        <v>4.93</v>
      </c>
      <c r="M58" s="145">
        <v>67.3</v>
      </c>
      <c r="N58" s="145">
        <v>0.89</v>
      </c>
      <c r="O58" s="145">
        <v>2.36</v>
      </c>
      <c r="P58" s="145">
        <v>0.09</v>
      </c>
      <c r="Q58" s="145">
        <v>0.05</v>
      </c>
      <c r="R58" s="145"/>
      <c r="S58" s="128">
        <f>SUM(J58:R58)</f>
        <v>95.77</v>
      </c>
      <c r="T58" s="56"/>
      <c r="U58" s="129">
        <v>45.583378399713993</v>
      </c>
      <c r="V58" s="129">
        <v>24.134942876512561</v>
      </c>
      <c r="W58" s="130">
        <v>98.18832127622656</v>
      </c>
      <c r="X58" s="56"/>
      <c r="Y58" s="131">
        <v>1.211474515121419E-2</v>
      </c>
      <c r="Z58" s="131">
        <v>0.54721679433476134</v>
      </c>
      <c r="AA58" s="131">
        <v>0.2133288709864089</v>
      </c>
      <c r="AB58" s="131">
        <v>1.451879003546976E-3</v>
      </c>
      <c r="AC58" s="131">
        <v>0.66676669940534905</v>
      </c>
      <c r="AD58" s="131">
        <v>0</v>
      </c>
      <c r="AE58" s="131">
        <v>1.3995302308156203</v>
      </c>
      <c r="AF58" s="131">
        <v>2.7675875565413798E-2</v>
      </c>
      <c r="AG58" s="131">
        <v>0.12915218310232421</v>
      </c>
      <c r="AH58" s="131">
        <v>2.6574574517338342E-3</v>
      </c>
      <c r="AI58" s="132">
        <v>2.999894735816373</v>
      </c>
      <c r="AJ58" s="132">
        <v>4</v>
      </c>
    </row>
    <row r="59" spans="1:36" s="48" customFormat="1">
      <c r="A59" s="119" t="s">
        <v>295</v>
      </c>
      <c r="B59" s="146" t="s">
        <v>291</v>
      </c>
      <c r="C59" s="147" t="s">
        <v>292</v>
      </c>
      <c r="D59" s="121" t="s">
        <v>294</v>
      </c>
      <c r="E59" s="119" t="s">
        <v>294</v>
      </c>
      <c r="F59" s="120"/>
      <c r="G59" s="149" t="s">
        <v>130</v>
      </c>
      <c r="H59" s="147" t="s">
        <v>131</v>
      </c>
      <c r="I59" s="121" t="s">
        <v>294</v>
      </c>
      <c r="J59" s="123">
        <v>0.36</v>
      </c>
      <c r="K59" s="123">
        <v>18.37</v>
      </c>
      <c r="L59" s="123">
        <v>5.76</v>
      </c>
      <c r="M59" s="123">
        <v>65.23</v>
      </c>
      <c r="N59" s="123">
        <v>0.93</v>
      </c>
      <c r="O59" s="123">
        <v>2.93</v>
      </c>
      <c r="P59" s="123"/>
      <c r="Q59" s="123"/>
      <c r="R59" s="123">
        <v>0.55000000000000004</v>
      </c>
      <c r="S59" s="122">
        <f>SUM(J59:R59)</f>
        <v>94.13000000000001</v>
      </c>
      <c r="T59" s="41"/>
      <c r="U59" s="110">
        <v>43.062480296681741</v>
      </c>
      <c r="V59" s="110">
        <v>24.63605212638171</v>
      </c>
      <c r="W59" s="111">
        <v>96.59853242306346</v>
      </c>
      <c r="X59" s="41"/>
      <c r="Y59" s="113">
        <v>1.3335013362292382E-2</v>
      </c>
      <c r="Z59" s="113">
        <v>0.51174727108575102</v>
      </c>
      <c r="AA59" s="113">
        <v>0.25148715667011357</v>
      </c>
      <c r="AB59" s="113">
        <v>0</v>
      </c>
      <c r="AC59" s="113">
        <v>0.68673526910014815</v>
      </c>
      <c r="AD59" s="113">
        <v>1.1669142972205863E-2</v>
      </c>
      <c r="AE59" s="113">
        <v>1.3340294787635307</v>
      </c>
      <c r="AF59" s="113">
        <v>2.9179975497068685E-2</v>
      </c>
      <c r="AG59" s="113">
        <v>0.161788623729612</v>
      </c>
      <c r="AH59" s="113">
        <v>0</v>
      </c>
      <c r="AI59" s="114">
        <v>2.9999719311807223</v>
      </c>
      <c r="AJ59" s="114">
        <v>4</v>
      </c>
    </row>
    <row r="60" spans="1:36" s="48" customFormat="1" ht="14.65" thickBot="1">
      <c r="A60" s="140" t="s">
        <v>296</v>
      </c>
      <c r="B60" s="152" t="s">
        <v>291</v>
      </c>
      <c r="C60" s="150" t="s">
        <v>292</v>
      </c>
      <c r="D60" s="143" t="s">
        <v>294</v>
      </c>
      <c r="E60" s="140" t="s">
        <v>294</v>
      </c>
      <c r="F60" s="142"/>
      <c r="G60" s="151" t="s">
        <v>130</v>
      </c>
      <c r="H60" s="150" t="s">
        <v>131</v>
      </c>
      <c r="I60" s="143" t="s">
        <v>294</v>
      </c>
      <c r="J60" s="155">
        <v>0.32</v>
      </c>
      <c r="K60" s="155">
        <v>19.14</v>
      </c>
      <c r="L60" s="155">
        <v>5.41</v>
      </c>
      <c r="M60" s="155">
        <v>65.180000000000007</v>
      </c>
      <c r="N60" s="155">
        <v>1</v>
      </c>
      <c r="O60" s="155">
        <v>2.66</v>
      </c>
      <c r="P60" s="155"/>
      <c r="Q60" s="155"/>
      <c r="R60" s="155">
        <v>0.39</v>
      </c>
      <c r="S60" s="144">
        <f>SUM(J60:R60)</f>
        <v>94.100000000000009</v>
      </c>
      <c r="T60" s="66"/>
      <c r="U60" s="136">
        <v>43.975446032296503</v>
      </c>
      <c r="V60" s="136">
        <v>23.565852375754062</v>
      </c>
      <c r="W60" s="137">
        <v>96.461298408050567</v>
      </c>
      <c r="X60" s="66"/>
      <c r="Y60" s="138">
        <v>1.190469684779108E-2</v>
      </c>
      <c r="Z60" s="138">
        <v>0.53550770067245312</v>
      </c>
      <c r="AA60" s="138">
        <v>0.23722912132749205</v>
      </c>
      <c r="AB60" s="138">
        <v>0</v>
      </c>
      <c r="AC60" s="138">
        <v>0.65974908810086663</v>
      </c>
      <c r="AD60" s="138">
        <v>8.3103303157965394E-3</v>
      </c>
      <c r="AE60" s="138">
        <v>1.3682140534747609</v>
      </c>
      <c r="AF60" s="138">
        <v>3.1512247743857753E-2</v>
      </c>
      <c r="AG60" s="138">
        <v>0.14751609412466027</v>
      </c>
      <c r="AH60" s="138">
        <v>0</v>
      </c>
      <c r="AI60" s="139">
        <v>2.9999433326076783</v>
      </c>
      <c r="AJ60" s="139">
        <v>4</v>
      </c>
    </row>
    <row r="61" spans="1:36" s="48" customFormat="1">
      <c r="A61" s="124" t="s">
        <v>315</v>
      </c>
      <c r="B61" s="153" t="s">
        <v>316</v>
      </c>
      <c r="C61" s="154" t="s">
        <v>317</v>
      </c>
      <c r="D61" s="127" t="s">
        <v>294</v>
      </c>
      <c r="E61" s="124" t="s">
        <v>277</v>
      </c>
      <c r="F61" s="125"/>
      <c r="G61" s="148" t="s">
        <v>130</v>
      </c>
      <c r="H61" s="154" t="s">
        <v>131</v>
      </c>
      <c r="I61" s="127" t="s">
        <v>294</v>
      </c>
      <c r="J61" s="127">
        <v>1.05</v>
      </c>
      <c r="K61" s="127">
        <v>26.54</v>
      </c>
      <c r="L61" s="127">
        <v>4.71</v>
      </c>
      <c r="M61" s="127">
        <v>57.28</v>
      </c>
      <c r="N61" s="145">
        <v>0.6</v>
      </c>
      <c r="O61" s="127">
        <v>7.28</v>
      </c>
      <c r="P61" s="127">
        <v>0.15</v>
      </c>
      <c r="Q61" s="127">
        <v>0.43</v>
      </c>
      <c r="R61" s="127">
        <v>0.96</v>
      </c>
      <c r="S61" s="128">
        <f>SUM(J61:R61)</f>
        <v>99</v>
      </c>
      <c r="T61" s="126"/>
      <c r="U61" s="129">
        <v>45.997117203845065</v>
      </c>
      <c r="V61" s="129">
        <v>12.539322956384684</v>
      </c>
      <c r="W61" s="130">
        <v>100.25644016022974</v>
      </c>
      <c r="X61" s="56"/>
      <c r="Y61" s="131">
        <v>3.627373759883739E-2</v>
      </c>
      <c r="Z61" s="131">
        <v>0.6895398200371563</v>
      </c>
      <c r="AA61" s="131">
        <v>0.1917901452072632</v>
      </c>
      <c r="AB61" s="131">
        <v>1.1749828863462139E-2</v>
      </c>
      <c r="AC61" s="131">
        <v>0.32599007621637455</v>
      </c>
      <c r="AD61" s="131">
        <v>1.899588614841359E-2</v>
      </c>
      <c r="AE61" s="131">
        <v>1.3289512602007181</v>
      </c>
      <c r="AF61" s="131">
        <v>1.7557605157792408E-2</v>
      </c>
      <c r="AG61" s="131">
        <v>0.3749072104534365</v>
      </c>
      <c r="AH61" s="131">
        <v>4.1679042627954539E-3</v>
      </c>
      <c r="AI61" s="132">
        <v>2.9999234741462497</v>
      </c>
      <c r="AJ61" s="132">
        <v>4</v>
      </c>
    </row>
    <row r="62" spans="1:36" s="48" customFormat="1" ht="14.65" thickBot="1">
      <c r="A62" s="140" t="s">
        <v>318</v>
      </c>
      <c r="B62" s="152" t="s">
        <v>316</v>
      </c>
      <c r="C62" s="150" t="s">
        <v>319</v>
      </c>
      <c r="D62" s="143" t="s">
        <v>294</v>
      </c>
      <c r="E62" s="140" t="s">
        <v>305</v>
      </c>
      <c r="F62" s="142"/>
      <c r="G62" s="151" t="s">
        <v>320</v>
      </c>
      <c r="H62" s="150" t="s">
        <v>131</v>
      </c>
      <c r="I62" s="143" t="s">
        <v>294</v>
      </c>
      <c r="J62" s="143">
        <v>0.6</v>
      </c>
      <c r="K62" s="143">
        <v>19.96</v>
      </c>
      <c r="L62" s="143">
        <v>5.54</v>
      </c>
      <c r="M62" s="143">
        <v>66.2</v>
      </c>
      <c r="N62" s="155">
        <v>1.1000000000000001</v>
      </c>
      <c r="O62" s="143">
        <v>2.0699999999999998</v>
      </c>
      <c r="P62" s="143"/>
      <c r="Q62" s="143"/>
      <c r="R62" s="155">
        <v>0.4</v>
      </c>
      <c r="S62" s="144">
        <f>SUM(J62:R62)</f>
        <v>95.87</v>
      </c>
      <c r="T62" s="141"/>
      <c r="U62" s="136">
        <v>46.441125539985578</v>
      </c>
      <c r="V62" s="136">
        <v>21.959184774410339</v>
      </c>
      <c r="W62" s="137">
        <v>98.070310314395925</v>
      </c>
      <c r="X62" s="66"/>
      <c r="Y62" s="138">
        <v>2.2017115597551557E-2</v>
      </c>
      <c r="Z62" s="138">
        <v>0.5508395741778721</v>
      </c>
      <c r="AA62" s="138">
        <v>0.23961903225000256</v>
      </c>
      <c r="AB62" s="138">
        <v>0</v>
      </c>
      <c r="AC62" s="138">
        <v>0.60639089100888655</v>
      </c>
      <c r="AD62" s="138">
        <v>8.4072600403957247E-3</v>
      </c>
      <c r="AE62" s="138">
        <v>1.4252378273326487</v>
      </c>
      <c r="AF62" s="138">
        <v>3.4191084575757938E-2</v>
      </c>
      <c r="AG62" s="138">
        <v>0.11323193359181871</v>
      </c>
      <c r="AH62" s="138">
        <v>0</v>
      </c>
      <c r="AI62" s="139">
        <v>2.9999347185749339</v>
      </c>
      <c r="AJ62" s="139">
        <v>4</v>
      </c>
    </row>
    <row r="63" spans="1:36" s="101" customFormat="1">
      <c r="A63" s="102"/>
      <c r="D63" s="266"/>
    </row>
    <row r="64" spans="1:36" s="101" customFormat="1">
      <c r="A64" s="102"/>
      <c r="D64" s="266"/>
      <c r="F64" s="229"/>
    </row>
    <row r="65" spans="1:6" s="101" customFormat="1">
      <c r="A65" s="102"/>
      <c r="D65" s="266"/>
      <c r="F65" s="229"/>
    </row>
  </sheetData>
  <autoFilter ref="A6:AL62"/>
  <pageMargins left="0.7" right="0.7" top="0.75" bottom="0.75" header="0.3" footer="0.3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3"/>
  <sheetViews>
    <sheetView zoomScale="70" zoomScaleNormal="70" workbookViewId="0">
      <pane xSplit="3" ySplit="6" topLeftCell="D7" activePane="bottomRight" state="frozen"/>
      <selection pane="topRight" activeCell="D1" sqref="D1"/>
      <selection pane="bottomLeft" activeCell="A7" sqref="A7"/>
      <selection pane="bottomRight" activeCell="J36" sqref="J36"/>
    </sheetView>
  </sheetViews>
  <sheetFormatPr defaultRowHeight="14.25"/>
  <cols>
    <col min="1" max="1" width="14.53125" customWidth="1"/>
    <col min="2" max="2" width="15.86328125" customWidth="1"/>
    <col min="3" max="3" width="35.86328125" customWidth="1"/>
  </cols>
  <sheetData>
    <row r="1" spans="1:12" s="3" customFormat="1">
      <c r="A1" s="11" t="s">
        <v>456</v>
      </c>
    </row>
    <row r="2" spans="1:12" s="3" customFormat="1"/>
    <row r="3" spans="1:12" s="3" customFormat="1">
      <c r="A3" s="220"/>
      <c r="B3" s="219"/>
      <c r="C3" s="221"/>
      <c r="L3" s="220"/>
    </row>
    <row r="4" spans="1:12" s="3" customFormat="1">
      <c r="A4" s="220"/>
      <c r="B4" s="219"/>
      <c r="C4" s="221"/>
      <c r="L4" s="220"/>
    </row>
    <row r="5" spans="1:12" s="3" customFormat="1">
      <c r="A5" s="220"/>
      <c r="B5" s="219"/>
      <c r="C5" s="221"/>
      <c r="D5" s="3" t="s">
        <v>435</v>
      </c>
      <c r="E5" s="3" t="s">
        <v>435</v>
      </c>
      <c r="F5" s="3" t="s">
        <v>435</v>
      </c>
      <c r="G5" s="3" t="s">
        <v>435</v>
      </c>
      <c r="H5" s="3" t="s">
        <v>435</v>
      </c>
      <c r="I5" s="3" t="s">
        <v>435</v>
      </c>
      <c r="J5" s="3" t="s">
        <v>435</v>
      </c>
      <c r="K5" s="3" t="s">
        <v>435</v>
      </c>
      <c r="L5" s="220" t="s">
        <v>445</v>
      </c>
    </row>
    <row r="6" spans="1:12" s="223" customFormat="1" ht="66.5" customHeight="1">
      <c r="A6" s="35" t="s">
        <v>154</v>
      </c>
      <c r="B6" s="104" t="s">
        <v>184</v>
      </c>
      <c r="C6" s="35" t="s">
        <v>155</v>
      </c>
      <c r="D6" s="222" t="s">
        <v>82</v>
      </c>
      <c r="E6" s="222" t="s">
        <v>83</v>
      </c>
      <c r="F6" s="222" t="s">
        <v>84</v>
      </c>
      <c r="G6" s="222" t="s">
        <v>85</v>
      </c>
      <c r="H6" s="222" t="s">
        <v>88</v>
      </c>
      <c r="I6" s="222" t="s">
        <v>191</v>
      </c>
      <c r="J6" s="222" t="s">
        <v>192</v>
      </c>
      <c r="K6" s="222" t="s">
        <v>92</v>
      </c>
      <c r="L6" s="222" t="s">
        <v>446</v>
      </c>
    </row>
    <row r="7" spans="1:12" s="3" customFormat="1">
      <c r="A7" s="224" t="s">
        <v>436</v>
      </c>
      <c r="B7" s="167" t="s">
        <v>437</v>
      </c>
      <c r="C7" s="225" t="s">
        <v>293</v>
      </c>
      <c r="D7" s="226">
        <v>54.48</v>
      </c>
      <c r="E7" s="226">
        <v>0.11</v>
      </c>
      <c r="F7" s="226">
        <v>26.09</v>
      </c>
      <c r="G7" s="226">
        <v>0.52</v>
      </c>
      <c r="H7" s="226">
        <v>9.19</v>
      </c>
      <c r="I7" s="226">
        <v>5.34</v>
      </c>
      <c r="J7" s="226">
        <v>0.81</v>
      </c>
      <c r="K7" s="227">
        <v>96.96</v>
      </c>
      <c r="L7" s="228">
        <v>48.748684883270691</v>
      </c>
    </row>
    <row r="8" spans="1:12" s="3" customFormat="1">
      <c r="A8" s="224" t="s">
        <v>438</v>
      </c>
      <c r="B8" s="167" t="s">
        <v>437</v>
      </c>
      <c r="C8" s="225" t="s">
        <v>293</v>
      </c>
      <c r="D8" s="226">
        <v>51.87</v>
      </c>
      <c r="E8" s="226">
        <v>0.18</v>
      </c>
      <c r="F8" s="226">
        <v>30.86</v>
      </c>
      <c r="G8" s="226">
        <v>0.83</v>
      </c>
      <c r="H8" s="226">
        <v>12.15</v>
      </c>
      <c r="I8" s="226">
        <v>4.6100000000000003</v>
      </c>
      <c r="J8" s="226">
        <v>0.4</v>
      </c>
      <c r="K8" s="227">
        <v>100.99</v>
      </c>
      <c r="L8" s="228">
        <v>59.294370550482704</v>
      </c>
    </row>
    <row r="9" spans="1:12" s="3" customFormat="1">
      <c r="A9" s="224" t="s">
        <v>439</v>
      </c>
      <c r="B9" s="167" t="s">
        <v>437</v>
      </c>
      <c r="C9" s="225" t="s">
        <v>293</v>
      </c>
      <c r="D9" s="226">
        <v>52.48</v>
      </c>
      <c r="E9" s="226">
        <v>0.24</v>
      </c>
      <c r="F9" s="226">
        <v>30.98</v>
      </c>
      <c r="G9" s="226">
        <v>0.77</v>
      </c>
      <c r="H9" s="226">
        <v>12.09</v>
      </c>
      <c r="I9" s="226">
        <v>4.6900000000000004</v>
      </c>
      <c r="J9" s="226">
        <v>0.38</v>
      </c>
      <c r="K9" s="227">
        <v>101.8</v>
      </c>
      <c r="L9" s="228">
        <v>58.758547208738285</v>
      </c>
    </row>
    <row r="10" spans="1:12" s="3" customFormat="1">
      <c r="A10" s="224" t="s">
        <v>440</v>
      </c>
      <c r="B10" s="167" t="s">
        <v>437</v>
      </c>
      <c r="C10" s="225" t="s">
        <v>293</v>
      </c>
      <c r="D10" s="226">
        <v>52.5</v>
      </c>
      <c r="E10" s="226">
        <v>0.22</v>
      </c>
      <c r="F10" s="226">
        <v>30.39</v>
      </c>
      <c r="G10" s="226">
        <v>0.77</v>
      </c>
      <c r="H10" s="226">
        <v>11.39</v>
      </c>
      <c r="I10" s="226">
        <v>4.84</v>
      </c>
      <c r="J10" s="226">
        <v>0.5</v>
      </c>
      <c r="K10" s="227">
        <v>100.39</v>
      </c>
      <c r="L10" s="228">
        <v>56.534110858137097</v>
      </c>
    </row>
    <row r="11" spans="1:12" s="3" customFormat="1">
      <c r="A11" s="224" t="s">
        <v>441</v>
      </c>
      <c r="B11" s="167" t="s">
        <v>442</v>
      </c>
      <c r="C11" s="225" t="s">
        <v>443</v>
      </c>
      <c r="D11" s="226">
        <v>55.48</v>
      </c>
      <c r="E11" s="226"/>
      <c r="F11" s="226">
        <v>28.99</v>
      </c>
      <c r="G11" s="226">
        <v>0.44</v>
      </c>
      <c r="H11" s="226">
        <v>9.18</v>
      </c>
      <c r="I11" s="226">
        <v>6.24</v>
      </c>
      <c r="J11" s="226">
        <v>0.57999999999999996</v>
      </c>
      <c r="K11" s="227">
        <v>101.22</v>
      </c>
      <c r="L11" s="228">
        <v>44.845716911964622</v>
      </c>
    </row>
    <row r="12" spans="1:12" s="3" customFormat="1"/>
    <row r="13" spans="1:12" s="3" customFormat="1"/>
  </sheetData>
  <pageMargins left="0.7" right="0.7" top="0.75" bottom="0.75" header="0.3" footer="0.3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G54"/>
  <sheetViews>
    <sheetView zoomScale="40" zoomScaleNormal="40" workbookViewId="0">
      <pane xSplit="8" ySplit="13" topLeftCell="I14" activePane="bottomRight" state="frozen"/>
      <selection pane="topRight" activeCell="K1" sqref="K1"/>
      <selection pane="bottomLeft" activeCell="A14" sqref="A14"/>
      <selection pane="bottomRight" activeCell="AA115" sqref="AA115"/>
    </sheetView>
  </sheetViews>
  <sheetFormatPr defaultColWidth="8.86328125" defaultRowHeight="14.25"/>
  <cols>
    <col min="1" max="75" width="8.86328125" style="258"/>
    <col min="76" max="76" width="12.73046875" style="258" customWidth="1"/>
    <col min="77" max="16384" width="8.86328125" style="258"/>
  </cols>
  <sheetData>
    <row r="1" spans="1:85" s="5" customFormat="1" ht="13.15">
      <c r="A1" s="246" t="s">
        <v>462</v>
      </c>
      <c r="D1" s="269"/>
      <c r="BK1" s="6"/>
      <c r="BV1" s="48"/>
    </row>
    <row r="2" spans="1:85" s="5" customFormat="1" ht="13.5" thickBot="1">
      <c r="D2" s="269"/>
      <c r="BK2" s="6"/>
      <c r="BQ2" s="6"/>
      <c r="BS2" s="6"/>
      <c r="BV2" s="48"/>
      <c r="BW2" s="271" t="s">
        <v>158</v>
      </c>
      <c r="BX2" s="234"/>
      <c r="BY2" s="271" t="s">
        <v>1</v>
      </c>
      <c r="BZ2" s="234"/>
      <c r="CA2" s="234"/>
      <c r="CB2" s="271" t="s">
        <v>159</v>
      </c>
    </row>
    <row r="3" spans="1:85" s="5" customFormat="1" ht="15.75">
      <c r="A3" s="233"/>
      <c r="D3" s="269"/>
      <c r="BK3" s="6"/>
      <c r="BQ3" s="6"/>
      <c r="BS3" s="6"/>
      <c r="BU3" s="48"/>
      <c r="BV3" s="48"/>
      <c r="BW3" s="78" t="s">
        <v>463</v>
      </c>
      <c r="BX3" s="49"/>
      <c r="BY3" s="77" t="s">
        <v>161</v>
      </c>
      <c r="BZ3" s="6"/>
      <c r="CA3" s="6"/>
      <c r="CB3" s="78" t="s">
        <v>162</v>
      </c>
    </row>
    <row r="4" spans="1:85" s="5" customFormat="1" ht="15.75">
      <c r="A4" s="233"/>
      <c r="D4" s="269"/>
      <c r="BK4" s="6"/>
      <c r="BQ4" s="6"/>
      <c r="BS4" s="6"/>
      <c r="BU4" s="48"/>
      <c r="BV4" s="48"/>
      <c r="BW4" s="78" t="s">
        <v>160</v>
      </c>
      <c r="BX4" s="49"/>
      <c r="BY4" s="77" t="s">
        <v>163</v>
      </c>
      <c r="BZ4" s="6"/>
      <c r="CA4" s="6"/>
      <c r="CB4" s="78" t="s">
        <v>164</v>
      </c>
    </row>
    <row r="5" spans="1:85" s="5" customFormat="1" ht="13.15">
      <c r="A5" s="233"/>
      <c r="D5" s="269"/>
      <c r="BK5" s="6"/>
      <c r="BQ5" s="6"/>
      <c r="BS5" s="6"/>
      <c r="BU5" s="48"/>
      <c r="BV5" s="48"/>
      <c r="BW5" s="78" t="s">
        <v>165</v>
      </c>
      <c r="BX5" s="49"/>
      <c r="BY5" s="78" t="s">
        <v>166</v>
      </c>
      <c r="BZ5" s="6"/>
      <c r="CA5" s="6"/>
      <c r="CB5" s="78" t="s">
        <v>167</v>
      </c>
    </row>
    <row r="6" spans="1:85" s="5" customFormat="1" ht="13.15">
      <c r="A6" s="233"/>
      <c r="D6" s="269"/>
      <c r="BK6" s="6"/>
      <c r="BQ6" s="6"/>
      <c r="BS6" s="6"/>
      <c r="BU6" s="48"/>
      <c r="BV6" s="48"/>
      <c r="BW6" s="77" t="s">
        <v>168</v>
      </c>
      <c r="BX6" s="103"/>
      <c r="BY6" s="77" t="s">
        <v>161</v>
      </c>
      <c r="BZ6" s="6"/>
      <c r="CA6" s="6"/>
      <c r="CB6" s="78" t="s">
        <v>169</v>
      </c>
    </row>
    <row r="7" spans="1:85" s="5" customFormat="1" ht="13.15">
      <c r="A7" s="233"/>
      <c r="D7" s="269"/>
      <c r="BK7" s="6"/>
      <c r="BQ7" s="6"/>
      <c r="BS7" s="6"/>
      <c r="BU7" s="48"/>
      <c r="BV7" s="48"/>
      <c r="BW7" s="77" t="s">
        <v>170</v>
      </c>
      <c r="BX7" s="103"/>
      <c r="BY7" s="77" t="s">
        <v>171</v>
      </c>
      <c r="BZ7" s="6"/>
      <c r="CA7" s="6"/>
      <c r="CB7" s="78" t="s">
        <v>172</v>
      </c>
    </row>
    <row r="8" spans="1:85" s="5" customFormat="1" ht="15.75">
      <c r="A8" s="233"/>
      <c r="D8" s="269"/>
      <c r="BK8" s="6"/>
      <c r="BQ8" s="6"/>
      <c r="BS8" s="6"/>
      <c r="BU8" s="48"/>
      <c r="BV8" s="48"/>
      <c r="BW8" s="78" t="s">
        <v>173</v>
      </c>
      <c r="BX8" s="49"/>
      <c r="BY8" s="78" t="s">
        <v>174</v>
      </c>
      <c r="BZ8" s="6"/>
      <c r="CA8" s="6"/>
      <c r="CB8" s="78" t="s">
        <v>175</v>
      </c>
    </row>
    <row r="9" spans="1:85" s="5" customFormat="1" ht="13.15">
      <c r="A9" s="233"/>
      <c r="D9" s="269"/>
      <c r="BK9" s="6"/>
      <c r="BQ9" s="6"/>
      <c r="BS9" s="6"/>
      <c r="BV9" s="48"/>
      <c r="BW9" s="78" t="s">
        <v>176</v>
      </c>
      <c r="BX9" s="6"/>
      <c r="BY9" s="78" t="s">
        <v>177</v>
      </c>
      <c r="BZ9" s="6"/>
      <c r="CA9" s="6"/>
      <c r="CB9" s="78"/>
    </row>
    <row r="10" spans="1:85" s="5" customFormat="1" ht="13.15">
      <c r="A10" s="233"/>
      <c r="D10" s="269"/>
      <c r="BK10" s="6"/>
      <c r="BQ10" s="6"/>
      <c r="BS10" s="6"/>
      <c r="BV10" s="48"/>
      <c r="BW10" s="78" t="s">
        <v>178</v>
      </c>
      <c r="BX10" s="6"/>
      <c r="BY10" s="78" t="s">
        <v>466</v>
      </c>
      <c r="BZ10" s="6"/>
      <c r="CA10" s="6"/>
      <c r="CB10" s="78"/>
    </row>
    <row r="11" spans="1:85" s="4" customFormat="1" ht="13.15">
      <c r="A11" s="233"/>
      <c r="D11" s="268"/>
      <c r="X11" s="79"/>
      <c r="Y11" s="4" t="s">
        <v>459</v>
      </c>
      <c r="BK11" s="79"/>
      <c r="BQ11" s="6"/>
      <c r="BR11" s="5"/>
      <c r="BS11" s="6"/>
      <c r="BT11" s="5"/>
      <c r="BU11" s="5"/>
      <c r="BV11" s="48"/>
      <c r="BW11" s="272"/>
      <c r="BX11" s="5"/>
      <c r="BY11" s="5"/>
      <c r="BZ11" s="5"/>
      <c r="CA11" s="5"/>
      <c r="CB11" s="5"/>
      <c r="CE11" s="79"/>
      <c r="CF11" s="79"/>
      <c r="CG11" s="79"/>
    </row>
    <row r="12" spans="1:85" s="4" customFormat="1" ht="13.15">
      <c r="A12" s="246"/>
      <c r="D12" s="268"/>
      <c r="H12" s="79" t="s">
        <v>180</v>
      </c>
      <c r="I12" s="79" t="s">
        <v>180</v>
      </c>
      <c r="J12" s="79" t="s">
        <v>180</v>
      </c>
      <c r="K12" s="79" t="s">
        <v>180</v>
      </c>
      <c r="L12" s="79" t="s">
        <v>180</v>
      </c>
      <c r="M12" s="79" t="s">
        <v>180</v>
      </c>
      <c r="N12" s="79" t="s">
        <v>180</v>
      </c>
      <c r="O12" s="79" t="s">
        <v>180</v>
      </c>
      <c r="P12" s="79" t="s">
        <v>180</v>
      </c>
      <c r="Q12" s="79" t="s">
        <v>180</v>
      </c>
      <c r="R12" s="79" t="s">
        <v>180</v>
      </c>
      <c r="S12" s="79" t="s">
        <v>180</v>
      </c>
      <c r="T12" s="79" t="s">
        <v>180</v>
      </c>
      <c r="U12" s="79" t="s">
        <v>180</v>
      </c>
      <c r="V12" s="79" t="s">
        <v>180</v>
      </c>
      <c r="W12" s="79" t="s">
        <v>180</v>
      </c>
      <c r="X12" s="79"/>
      <c r="Y12" s="79" t="s">
        <v>94</v>
      </c>
      <c r="Z12" s="79" t="s">
        <v>94</v>
      </c>
      <c r="AA12" s="79" t="s">
        <v>94</v>
      </c>
      <c r="AB12" s="79" t="s">
        <v>94</v>
      </c>
      <c r="AC12" s="79" t="s">
        <v>94</v>
      </c>
      <c r="AD12" s="79" t="s">
        <v>94</v>
      </c>
      <c r="AE12" s="79" t="s">
        <v>94</v>
      </c>
      <c r="AF12" s="79" t="s">
        <v>94</v>
      </c>
      <c r="AG12" s="79" t="s">
        <v>94</v>
      </c>
      <c r="AH12" s="79" t="s">
        <v>94</v>
      </c>
      <c r="AI12" s="79" t="s">
        <v>94</v>
      </c>
      <c r="AJ12" s="79" t="s">
        <v>94</v>
      </c>
      <c r="AK12" s="79" t="s">
        <v>94</v>
      </c>
      <c r="AL12" s="4" t="s">
        <v>94</v>
      </c>
      <c r="AM12" s="6"/>
      <c r="AN12" s="6" t="s">
        <v>181</v>
      </c>
      <c r="AO12" s="5"/>
      <c r="AP12" s="5"/>
      <c r="AQ12" s="5"/>
      <c r="AR12" s="5"/>
      <c r="AS12" s="5"/>
      <c r="AT12" s="5"/>
      <c r="AU12" s="5"/>
      <c r="AV12" s="5"/>
      <c r="AW12" s="5"/>
      <c r="AX12" s="5"/>
      <c r="AY12" s="5"/>
      <c r="AZ12" s="5"/>
      <c r="BA12" s="5"/>
      <c r="BB12" s="5"/>
      <c r="BC12" s="5"/>
      <c r="BD12" s="5"/>
      <c r="BE12" s="5"/>
      <c r="BF12" s="5"/>
      <c r="BG12" s="5"/>
      <c r="BH12" s="6"/>
      <c r="BI12" s="5"/>
      <c r="BJ12" s="5"/>
      <c r="BK12" s="6"/>
      <c r="BL12" s="5"/>
      <c r="BM12" s="5"/>
      <c r="BN12" s="5"/>
      <c r="BP12" s="273"/>
      <c r="BQ12" s="273" t="s">
        <v>182</v>
      </c>
      <c r="BR12" s="273"/>
      <c r="BS12" s="273" t="s">
        <v>182</v>
      </c>
      <c r="BT12" s="274"/>
      <c r="BU12" s="274"/>
      <c r="BV12" s="48"/>
      <c r="BW12" s="275" t="s">
        <v>183</v>
      </c>
      <c r="BX12" s="276"/>
      <c r="BY12" s="276"/>
      <c r="BZ12" s="276"/>
      <c r="CA12" s="276"/>
      <c r="CB12" s="276"/>
      <c r="CC12" s="277"/>
      <c r="CD12" s="278" t="s">
        <v>179</v>
      </c>
      <c r="CE12" s="278"/>
      <c r="CF12" s="278"/>
      <c r="CG12" s="278"/>
    </row>
    <row r="13" spans="1:85" s="279" customFormat="1" ht="109.5" customHeight="1">
      <c r="A13" s="35" t="s">
        <v>464</v>
      </c>
      <c r="B13" s="35" t="s">
        <v>184</v>
      </c>
      <c r="C13" s="35" t="s">
        <v>465</v>
      </c>
      <c r="D13" s="35" t="s">
        <v>444</v>
      </c>
      <c r="E13" s="35" t="s">
        <v>185</v>
      </c>
      <c r="F13" s="35" t="s">
        <v>186</v>
      </c>
      <c r="G13" s="35" t="s">
        <v>70</v>
      </c>
      <c r="H13" s="35" t="s">
        <v>188</v>
      </c>
      <c r="I13" s="35" t="s">
        <v>82</v>
      </c>
      <c r="J13" s="35" t="s">
        <v>83</v>
      </c>
      <c r="K13" s="35" t="s">
        <v>84</v>
      </c>
      <c r="L13" s="35" t="s">
        <v>189</v>
      </c>
      <c r="M13" s="35" t="s">
        <v>190</v>
      </c>
      <c r="N13" s="35" t="s">
        <v>86</v>
      </c>
      <c r="O13" s="35" t="s">
        <v>87</v>
      </c>
      <c r="P13" s="35" t="s">
        <v>88</v>
      </c>
      <c r="Q13" s="35" t="s">
        <v>191</v>
      </c>
      <c r="R13" s="35" t="s">
        <v>192</v>
      </c>
      <c r="S13" s="35" t="s">
        <v>89</v>
      </c>
      <c r="T13" s="35" t="s">
        <v>91</v>
      </c>
      <c r="U13" s="35" t="s">
        <v>193</v>
      </c>
      <c r="V13" s="35" t="s">
        <v>194</v>
      </c>
      <c r="W13" s="279" t="s">
        <v>92</v>
      </c>
      <c r="X13" s="35"/>
      <c r="Y13" s="35" t="s">
        <v>188</v>
      </c>
      <c r="Z13" s="35" t="s">
        <v>71</v>
      </c>
      <c r="AA13" s="35" t="s">
        <v>195</v>
      </c>
      <c r="AB13" s="35" t="s">
        <v>196</v>
      </c>
      <c r="AC13" s="35" t="s">
        <v>197</v>
      </c>
      <c r="AD13" s="35" t="s">
        <v>198</v>
      </c>
      <c r="AE13" s="35" t="s">
        <v>199</v>
      </c>
      <c r="AF13" s="35" t="s">
        <v>200</v>
      </c>
      <c r="AG13" s="35" t="s">
        <v>201</v>
      </c>
      <c r="AH13" s="35" t="s">
        <v>202</v>
      </c>
      <c r="AI13" s="35" t="s">
        <v>90</v>
      </c>
      <c r="AJ13" s="35" t="s">
        <v>203</v>
      </c>
      <c r="AK13" s="104" t="s">
        <v>92</v>
      </c>
      <c r="AL13" s="279" t="s">
        <v>69</v>
      </c>
      <c r="AM13" s="35"/>
      <c r="AN13" s="280" t="s">
        <v>204</v>
      </c>
      <c r="AO13" s="281" t="s">
        <v>190</v>
      </c>
      <c r="AP13" s="282" t="s">
        <v>205</v>
      </c>
      <c r="AQ13" s="282"/>
      <c r="AR13" s="280" t="s">
        <v>206</v>
      </c>
      <c r="AS13" s="280" t="s">
        <v>207</v>
      </c>
      <c r="AT13" s="280" t="s">
        <v>208</v>
      </c>
      <c r="AU13" s="280" t="s">
        <v>209</v>
      </c>
      <c r="AV13" s="280" t="s">
        <v>210</v>
      </c>
      <c r="AW13" s="280" t="s">
        <v>211</v>
      </c>
      <c r="AX13" s="280" t="s">
        <v>212</v>
      </c>
      <c r="AY13" s="280" t="s">
        <v>213</v>
      </c>
      <c r="AZ13" s="280" t="s">
        <v>214</v>
      </c>
      <c r="BA13" s="280" t="s">
        <v>215</v>
      </c>
      <c r="BB13" s="280" t="s">
        <v>216</v>
      </c>
      <c r="BC13" s="280" t="s">
        <v>217</v>
      </c>
      <c r="BD13" s="283" t="s">
        <v>218</v>
      </c>
      <c r="BE13" s="280"/>
      <c r="BF13" s="280" t="s">
        <v>219</v>
      </c>
      <c r="BG13" s="280" t="s">
        <v>220</v>
      </c>
      <c r="BH13" s="280" t="s">
        <v>221</v>
      </c>
      <c r="BI13" s="280" t="s">
        <v>222</v>
      </c>
      <c r="BJ13" s="280" t="s">
        <v>223</v>
      </c>
      <c r="BK13" s="280" t="s">
        <v>224</v>
      </c>
      <c r="BL13" s="280" t="s">
        <v>225</v>
      </c>
      <c r="BM13" s="280" t="s">
        <v>226</v>
      </c>
      <c r="BN13" s="280" t="s">
        <v>227</v>
      </c>
      <c r="BO13" s="279" t="s">
        <v>228</v>
      </c>
      <c r="BP13" s="284"/>
      <c r="BQ13" s="284" t="s">
        <v>229</v>
      </c>
      <c r="BR13" s="284" t="s">
        <v>230</v>
      </c>
      <c r="BS13" s="284" t="s">
        <v>231</v>
      </c>
      <c r="BT13" s="284" t="s">
        <v>232</v>
      </c>
      <c r="BU13" s="285" t="s">
        <v>233</v>
      </c>
      <c r="BV13" s="20" t="s">
        <v>234</v>
      </c>
      <c r="BW13" s="286" t="s">
        <v>168</v>
      </c>
      <c r="BX13" s="286" t="s">
        <v>170</v>
      </c>
      <c r="BY13" s="286" t="s">
        <v>160</v>
      </c>
      <c r="BZ13" s="286" t="s">
        <v>165</v>
      </c>
      <c r="CA13" s="286" t="s">
        <v>447</v>
      </c>
      <c r="CB13" s="286" t="s">
        <v>165</v>
      </c>
      <c r="CC13" s="287"/>
      <c r="CD13" s="286" t="s">
        <v>457</v>
      </c>
      <c r="CE13" s="286" t="s">
        <v>458</v>
      </c>
      <c r="CF13" s="286" t="s">
        <v>178</v>
      </c>
      <c r="CG13" s="286" t="s">
        <v>176</v>
      </c>
    </row>
    <row r="14" spans="1:85" s="5" customFormat="1">
      <c r="A14" s="233" t="s">
        <v>235</v>
      </c>
      <c r="B14" s="24" t="s">
        <v>275</v>
      </c>
      <c r="C14" s="288" t="s">
        <v>323</v>
      </c>
      <c r="D14" s="268" t="s">
        <v>294</v>
      </c>
      <c r="E14" s="235" t="s">
        <v>277</v>
      </c>
      <c r="F14" s="26">
        <f t="shared" ref="F14:F50" si="0">100*AF14/40.3/(AF14/40.3+AD14/71.85)</f>
        <v>82.396211630135795</v>
      </c>
      <c r="G14" s="4" t="s">
        <v>322</v>
      </c>
      <c r="H14" s="25" t="s">
        <v>235</v>
      </c>
      <c r="I14" s="25">
        <v>0.23</v>
      </c>
      <c r="J14" s="25">
        <v>5.01</v>
      </c>
      <c r="K14" s="25">
        <v>14.05</v>
      </c>
      <c r="L14" s="25">
        <v>49.89</v>
      </c>
      <c r="M14" s="25"/>
      <c r="N14" s="25">
        <v>0.37</v>
      </c>
      <c r="O14" s="25">
        <v>9.24</v>
      </c>
      <c r="P14" s="25"/>
      <c r="Q14" s="25"/>
      <c r="R14" s="25"/>
      <c r="S14" s="25">
        <v>0.22</v>
      </c>
      <c r="T14" s="25">
        <v>17.8</v>
      </c>
      <c r="U14" s="25"/>
      <c r="V14" s="25">
        <v>0.31</v>
      </c>
      <c r="W14" s="81">
        <f t="shared" ref="W14:W50" si="1">SUM(I14:V14)</f>
        <v>97.12</v>
      </c>
      <c r="Y14" s="247" t="s">
        <v>111</v>
      </c>
      <c r="Z14" s="25">
        <v>1</v>
      </c>
      <c r="AA14" s="25">
        <v>39.909999999999997</v>
      </c>
      <c r="AB14" s="25">
        <v>2.29E-2</v>
      </c>
      <c r="AC14" s="25">
        <v>2.92E-2</v>
      </c>
      <c r="AD14" s="25">
        <v>16.52</v>
      </c>
      <c r="AE14" s="25">
        <v>0.25540000000000002</v>
      </c>
      <c r="AF14" s="25">
        <v>43.37</v>
      </c>
      <c r="AG14" s="25">
        <v>0.31979999999999997</v>
      </c>
      <c r="AH14" s="25">
        <v>0.17580000000000001</v>
      </c>
      <c r="AI14" s="25"/>
      <c r="AJ14" s="51">
        <v>1.4999999999999999E-2</v>
      </c>
      <c r="AK14" s="26">
        <f>SUM(AA14:AJ14)</f>
        <v>100.6181</v>
      </c>
      <c r="AL14" s="25">
        <f>100*AF14/40.3/(AF14/40.3+AD14/71.85)</f>
        <v>82.396211630135795</v>
      </c>
      <c r="AM14" s="51"/>
      <c r="AN14" s="51">
        <f t="shared" ref="AN14:AN50" si="2">L14-0.8998*AO14</f>
        <v>23.923238906235472</v>
      </c>
      <c r="AO14" s="165">
        <f t="shared" ref="AO14:AO50" si="3">(O14/40.31+L14/71.85+N14/70.94+S14/74.7+U14/41.38-K14/101.96-T14/151.91-V14/201-I14*2/60.08-J14*2/79.95)/3*159.66</f>
        <v>28.858369741903232</v>
      </c>
      <c r="AP14" s="85">
        <f t="shared" ref="AP14:AP50" si="4">SUM(I14:K14,N14:V14,AN14:AO14)</f>
        <v>100.0116086481387</v>
      </c>
      <c r="AQ14" s="85"/>
      <c r="AR14" s="54"/>
      <c r="AS14" s="54">
        <f t="shared" ref="AS14:AS50" si="5">I14/60.09/($I14*2/60.09+$J14*2/79.9+$K14/101.96*3+$T14/151.94*3+$V14/209.82*3+$N14/70.94+$O14/40.31+$S14/74.71+$AN14/71.85+$AO14/159.7*3)*4</f>
        <v>7.5989443926951202E-3</v>
      </c>
      <c r="AT14" s="54">
        <f t="shared" ref="AT14:AT50" si="6">J14/79.9/($I14*2/60.09+$J14*2/79.9+$K14/101.96*3+$T14/151.94*3+$V14/209.82*3+$N14/70.94+$O14/40.31+$S14/74.71+$AN14/71.85+$AO14/159.7*3)*4</f>
        <v>0.12448544639880389</v>
      </c>
      <c r="AU14" s="54">
        <f t="shared" ref="AU14:AU50" si="7">K14*2/101.96/($I14*2/60.09+$J14*2/79.9+$K14/101.96*3+$T14/151.94*3+$V14/209.82*3+$N14/70.94+$O14/40.31+$S14/74.71+$AN14/71.85+$AO14/159.7*3)*4</f>
        <v>0.54714713256917036</v>
      </c>
      <c r="AV14" s="54">
        <f t="shared" ref="AV14:AV50" si="8">T14*2/151.94/($I14*2/60.09+$J14*2/79.9+$K14/101.96*3+$T14/151.94*3+$V14/209.82*3+$N14/70.94+$O14/40.31+$S14/74.71+$AN14/71.85+$AO14/159.7*3)*4</f>
        <v>0.4651633722874296</v>
      </c>
      <c r="AW14" s="54">
        <f t="shared" ref="AW14:AW50" si="9">AO14*2/159.7/($I14*2/60.09+$J14*2/79.9+$K14/101.96*3+$T14/151.94*3+$V14/209.82*3+$N14/70.94+$O14/40.31+$S14/74.71+$AN14/71.85+$AO14/159.7*3)*4</f>
        <v>0.71750429877636968</v>
      </c>
      <c r="AX14" s="54">
        <f t="shared" ref="AX14:AX50" si="10">V14*2/209.82/($I14*2/60.09+$J14*2/79.9+$K14/101.96*3+$T14/151.94*3+$V14/209.82*3+$N14/70.94+$O14/40.31+$S14/74.71+$AN14/71.85+$AO14/159.7*3)*4</f>
        <v>5.8664103912125683E-3</v>
      </c>
      <c r="AY14" s="54">
        <f t="shared" ref="AY14:AY50" si="11">AN14/71.85/($I14*2/60.09+$J14*2/79.9+$K14/101.96*3+$T14/151.94*3+$V14/209.82*3+$N14/70.94+$O14/40.31+$S14/74.71+$AN14/71.85+$AO14/159.7*3)*4</f>
        <v>0.6610294969042616</v>
      </c>
      <c r="AZ14" s="54">
        <f t="shared" ref="AZ14:AZ50" si="12">N14/70.94/($I14*2/60.09+$J14*2/79.9+$K14/101.96*3+$T14/151.94*3+$V14/209.82*3+$N14/70.94+$O14/40.31+$S14/74.71+$AN14/71.85+$AO14/159.7*3)*4</f>
        <v>1.035471558120815E-2</v>
      </c>
      <c r="BA14" s="54">
        <f t="shared" ref="BA14:BA50" si="13">O14/40.31/($I14*2/60.09+$J14*2/79.9+$K14/101.96*3+$T14/151.94*3+$V14/209.82*3+$N14/70.94+$O14/40.31+$S14/74.71+$AN14/71.85+$AO14/159.7*3)*4</f>
        <v>0.45507901302591219</v>
      </c>
      <c r="BB14" s="84">
        <f t="shared" ref="BB14:BB50" si="14">S14/74.71/($I14*2/60.09+$J14*2/79.9+$K14/101.96*3+$T14/151.94*3+$V14/209.82*3+$N14/70.94+$O14/40.31+$S14/74.71+$AN14/71.85+$AO14/159.7*3)*4</f>
        <v>5.8461718693470378E-3</v>
      </c>
      <c r="BC14" s="82">
        <f>SUM(AS14:BB14)</f>
        <v>3.0000750021964104</v>
      </c>
      <c r="BD14" s="5">
        <v>4</v>
      </c>
      <c r="BE14" s="86"/>
      <c r="BF14" s="86">
        <f>BA14/(BA14+AY14)</f>
        <v>0.40773724864295047</v>
      </c>
      <c r="BG14" s="86">
        <f>1-BF14</f>
        <v>0.59226275135704953</v>
      </c>
      <c r="BH14" s="83">
        <f>AY14/AW14</f>
        <v>0.92128994632029371</v>
      </c>
      <c r="BI14" s="86">
        <f>10^((LOG10(BH14)+0.343)/0.764)</f>
        <v>2.5255223706138863</v>
      </c>
      <c r="BJ14" s="86">
        <f>AW14/(AW14+AY14)</f>
        <v>0.52048364793415336</v>
      </c>
      <c r="BK14" s="86">
        <f>AW14/(AU14+AV14+AW14)</f>
        <v>0.41478677212697102</v>
      </c>
      <c r="BL14" s="86">
        <f>AV14/(AU14+AV14+AW14)</f>
        <v>0.26890934874096933</v>
      </c>
      <c r="BM14" s="86">
        <f>AU14/(AU14+AV14+AW14)</f>
        <v>0.31630387913205965</v>
      </c>
      <c r="BN14" s="86">
        <f>AV14/(AV14+AU14)</f>
        <v>0.45950661388555175</v>
      </c>
      <c r="BO14" s="5">
        <f t="shared" ref="BO14:BO50" si="15">AW14/(AU14+AW14)</f>
        <v>0.56735340742308182</v>
      </c>
      <c r="BP14" s="289"/>
      <c r="BQ14" s="290">
        <v>1200</v>
      </c>
      <c r="BR14" s="291">
        <f>BQ14+273</f>
        <v>1473</v>
      </c>
      <c r="BS14" s="290">
        <v>8000</v>
      </c>
      <c r="BT14" s="292">
        <f>BS14/10000</f>
        <v>0.8</v>
      </c>
      <c r="BU14" s="292">
        <f t="shared" ref="BU14:BU50" si="16">1-F14/100</f>
        <v>0.17603788369864204</v>
      </c>
      <c r="BV14" s="83">
        <f>1-BU14</f>
        <v>0.82396211630135796</v>
      </c>
      <c r="BW14" s="293">
        <f t="shared" ref="BW14:BW50" si="17">(6530+280*$BT14+(7000+108*$BT14)*(1-2*$BU14)-1960*($BF14-$BG14)+16150*$BL14+25150*($BK14+$AT14))/(8.31441*LN((1-$BU14)*$BG14/($BU14*$BF14))+4.705)-273</f>
        <v>1161.6080150005009</v>
      </c>
      <c r="BX14" s="294">
        <f t="shared" ref="BX14:BX50" si="18">(6530+280*$BT14+(5000+108*$BT14)*($BV14-$BU14)-1960*(1+AT14)*($BF14-$BG14)+18620*$BL14+25150*($BK14+$AT14))/(8.31441*LN((1-$BU14)*$BG14/($BU14*$BF14))+4.705)-273</f>
        <v>1133.188813582824</v>
      </c>
      <c r="BY14" s="295">
        <f t="shared" ref="BY14:BY50" si="19">0.27+2505/BR14-400*BT14/BR14-6*LOG10(BU14)-3200*(1-BU14)^2/BR14+2*LOG10(BG14)+4*LOG10(BK14)+2630*BM14^2/BR14</f>
        <v>2.999794922861569</v>
      </c>
      <c r="BZ14" s="295">
        <f>(82.75+0.00484*(BR14)-30681/(BR14)-24.45*LOG10(BR14)+940*BT14/(BR14)-0.02*BT14)+BY14</f>
        <v>-4.9178400650035501</v>
      </c>
      <c r="CA14" s="295">
        <f t="shared" ref="CA14:CA50" si="20">-4.38+4718/BR14-500*BT14/BR14-2.697*LN(BU14)-0.914*LN(BG14)-1.027*(LN(BG14))^2+1.908*LN(BK14)+0.116*LN(BK14)^2</f>
        <v>1.8440569711569352</v>
      </c>
      <c r="CB14" s="295">
        <f t="shared" ref="CB14:CB50" si="21">(82.75+0.00484*(BR14)-30681/(BR14)-24.45*LOG10(BR14)+940*BT14/(BR14)-0.02*BT14)+CA14</f>
        <v>-6.0735780167081836</v>
      </c>
      <c r="CC14" s="296"/>
      <c r="CD14" s="297">
        <f t="shared" ref="CD14:CD50" si="22">(T14/51.996)/(T14/51.996+K14/26.982)</f>
        <v>0.39665536691808234</v>
      </c>
      <c r="CE14" s="297">
        <f t="shared" ref="CE14:CE39" si="23">AC14/K14</f>
        <v>2.0782918149466192E-3</v>
      </c>
      <c r="CF14" s="294">
        <f>10000/(0.512+0.873*CD14-LN(CE14)*0.91)-273</f>
        <v>1270.5361405627843</v>
      </c>
      <c r="CG14" s="294">
        <f>10000/(0.575+0.884*CD14-0.897*LN(CE14))-273</f>
        <v>1273.6222822733419</v>
      </c>
    </row>
    <row r="15" spans="1:85" s="5" customFormat="1">
      <c r="A15" s="233" t="s">
        <v>238</v>
      </c>
      <c r="B15" s="24" t="s">
        <v>275</v>
      </c>
      <c r="C15" s="288" t="s">
        <v>323</v>
      </c>
      <c r="D15" s="268" t="s">
        <v>294</v>
      </c>
      <c r="E15" s="235" t="s">
        <v>277</v>
      </c>
      <c r="F15" s="26">
        <f t="shared" si="0"/>
        <v>78.319825766220063</v>
      </c>
      <c r="G15" s="4" t="s">
        <v>322</v>
      </c>
      <c r="H15" s="25" t="s">
        <v>238</v>
      </c>
      <c r="I15" s="25">
        <v>0.26</v>
      </c>
      <c r="J15" s="25">
        <v>3.28</v>
      </c>
      <c r="K15" s="25">
        <v>14.66</v>
      </c>
      <c r="L15" s="25">
        <v>51.19</v>
      </c>
      <c r="M15" s="25"/>
      <c r="N15" s="25">
        <v>0.45</v>
      </c>
      <c r="O15" s="25">
        <v>7.83</v>
      </c>
      <c r="P15" s="25">
        <v>0.04</v>
      </c>
      <c r="Q15" s="25"/>
      <c r="R15" s="25"/>
      <c r="S15" s="25">
        <v>0.13</v>
      </c>
      <c r="T15" s="25">
        <v>18.29</v>
      </c>
      <c r="U15" s="25"/>
      <c r="V15" s="25">
        <v>0.22</v>
      </c>
      <c r="W15" s="81">
        <f t="shared" si="1"/>
        <v>96.35</v>
      </c>
      <c r="Y15" s="247" t="s">
        <v>113</v>
      </c>
      <c r="Z15" s="25">
        <v>1</v>
      </c>
      <c r="AA15" s="25">
        <v>39.049999999999997</v>
      </c>
      <c r="AB15" s="25">
        <v>1.3899999999999999E-2</v>
      </c>
      <c r="AC15" s="25">
        <v>3.2800000000000003E-2</v>
      </c>
      <c r="AD15" s="25">
        <v>19.829999999999998</v>
      </c>
      <c r="AE15" s="25">
        <v>0.41889999999999999</v>
      </c>
      <c r="AF15" s="25">
        <v>40.18</v>
      </c>
      <c r="AG15" s="25">
        <v>0.2203</v>
      </c>
      <c r="AH15" s="25">
        <v>0.12720000000000001</v>
      </c>
      <c r="AI15" s="25"/>
      <c r="AJ15" s="51">
        <v>8.0999999999999996E-3</v>
      </c>
      <c r="AK15" s="26">
        <f t="shared" ref="AK15:AK50" si="24">SUM(AA15:AJ15)</f>
        <v>99.881199999999993</v>
      </c>
      <c r="AL15" s="25">
        <f t="shared" ref="AL15:AL39" si="25">100*AF15/40.3/(AF15/40.3+AD15/71.85)</f>
        <v>78.319825766220063</v>
      </c>
      <c r="AM15" s="51"/>
      <c r="AN15" s="51">
        <f t="shared" si="2"/>
        <v>24.430461852137178</v>
      </c>
      <c r="AO15" s="165">
        <f t="shared" si="3"/>
        <v>29.739428926275636</v>
      </c>
      <c r="AP15" s="85">
        <f t="shared" si="4"/>
        <v>99.329890778412803</v>
      </c>
      <c r="AQ15" s="85"/>
      <c r="AR15" s="54"/>
      <c r="AS15" s="54">
        <f t="shared" si="5"/>
        <v>8.7086066586407902E-3</v>
      </c>
      <c r="AT15" s="54">
        <f t="shared" si="6"/>
        <v>8.2623691687019246E-2</v>
      </c>
      <c r="AU15" s="54">
        <f t="shared" si="7"/>
        <v>0.57877754115987035</v>
      </c>
      <c r="AV15" s="54">
        <f t="shared" si="8"/>
        <v>0.48456172905363404</v>
      </c>
      <c r="AW15" s="54">
        <f t="shared" si="9"/>
        <v>0.74960976519829248</v>
      </c>
      <c r="AX15" s="54">
        <f t="shared" si="10"/>
        <v>4.22068873341617E-3</v>
      </c>
      <c r="AY15" s="54">
        <f t="shared" si="11"/>
        <v>0.68435656233605402</v>
      </c>
      <c r="AZ15" s="54">
        <f t="shared" si="12"/>
        <v>1.2767294048761481E-2</v>
      </c>
      <c r="BA15" s="54">
        <f t="shared" si="13"/>
        <v>0.39095475100106736</v>
      </c>
      <c r="BB15" s="84">
        <f t="shared" si="14"/>
        <v>3.5022097049774133E-3</v>
      </c>
      <c r="BC15" s="82">
        <f>SUM(AS15:BB15)</f>
        <v>3.0000828395817334</v>
      </c>
      <c r="BD15" s="5">
        <v>4</v>
      </c>
      <c r="BE15" s="86"/>
      <c r="BF15" s="86">
        <f>BA15/(BA15+AY15)</f>
        <v>0.36357354949403287</v>
      </c>
      <c r="BG15" s="86">
        <f>1-BF15</f>
        <v>0.63642645050596713</v>
      </c>
      <c r="BH15" s="83">
        <f>AY15/AW15</f>
        <v>0.91295043649147611</v>
      </c>
      <c r="BI15" s="86">
        <f>10^((LOG10(BH15)+0.343)/0.764)</f>
        <v>2.4956415048191793</v>
      </c>
      <c r="BJ15" s="86">
        <f>AW15/(AW15+AY15)</f>
        <v>0.52275269705057814</v>
      </c>
      <c r="BK15" s="86">
        <f>AW15/(AU15+AV15+AW15)</f>
        <v>0.41347536558192577</v>
      </c>
      <c r="BL15" s="86">
        <f>AV15/(AU15+AV15+AW15)</f>
        <v>0.26727818575637441</v>
      </c>
      <c r="BM15" s="86">
        <f>AU15/(AU15+AV15+AW15)</f>
        <v>0.31924644866169977</v>
      </c>
      <c r="BN15" s="86">
        <f>AV15/(AV15+AU15)</f>
        <v>0.45569814134329906</v>
      </c>
      <c r="BO15" s="5">
        <f t="shared" si="15"/>
        <v>0.5643006084222405</v>
      </c>
      <c r="BP15" s="289"/>
      <c r="BQ15" s="290">
        <v>1200</v>
      </c>
      <c r="BR15" s="291">
        <f>BQ15+273</f>
        <v>1473</v>
      </c>
      <c r="BS15" s="290">
        <v>8000</v>
      </c>
      <c r="BT15" s="292">
        <f>BS15/10000</f>
        <v>0.8</v>
      </c>
      <c r="BU15" s="292">
        <f t="shared" si="16"/>
        <v>0.21680174233779936</v>
      </c>
      <c r="BV15" s="83">
        <f>1-BU15</f>
        <v>0.78319825766220064</v>
      </c>
      <c r="BW15" s="293">
        <f t="shared" si="17"/>
        <v>1129.0501687062447</v>
      </c>
      <c r="BX15" s="294">
        <f t="shared" si="18"/>
        <v>1107.6705806067196</v>
      </c>
      <c r="BY15" s="295">
        <f t="shared" si="19"/>
        <v>2.659685997258618</v>
      </c>
      <c r="BZ15" s="295">
        <f>(82.75+0.00484*(BR15)-30681/(BR15)-24.45*LOG10(BR15)+940*BT15/(BR15)-0.02*BT15)+BY15</f>
        <v>-5.2579489906065007</v>
      </c>
      <c r="CA15" s="295">
        <f t="shared" si="20"/>
        <v>1.2832518280720204</v>
      </c>
      <c r="CB15" s="295">
        <f t="shared" si="21"/>
        <v>-6.6343831597930985</v>
      </c>
      <c r="CC15" s="296"/>
      <c r="CD15" s="297">
        <f t="shared" si="22"/>
        <v>0.39298905762519643</v>
      </c>
      <c r="CE15" s="297">
        <f t="shared" si="23"/>
        <v>2.237380627557981E-3</v>
      </c>
      <c r="CF15" s="294">
        <f t="shared" ref="CF15:CF39" si="26">10000/(0.512+0.873*CD15-LN(CE15)*0.91)-273</f>
        <v>1287.4741982591088</v>
      </c>
      <c r="CG15" s="294">
        <f t="shared" ref="CG15:CG39" si="27">10000/(0.575+0.884*CD15-0.897*LN(CE15))-273</f>
        <v>1290.4039668654962</v>
      </c>
    </row>
    <row r="16" spans="1:85" s="5" customFormat="1">
      <c r="A16" s="233" t="s">
        <v>239</v>
      </c>
      <c r="B16" s="24" t="s">
        <v>279</v>
      </c>
      <c r="C16" s="288" t="s">
        <v>326</v>
      </c>
      <c r="D16" s="268" t="s">
        <v>294</v>
      </c>
      <c r="E16" s="235" t="s">
        <v>277</v>
      </c>
      <c r="F16" s="26">
        <f t="shared" si="0"/>
        <v>81.412922397311206</v>
      </c>
      <c r="G16" s="4" t="s">
        <v>322</v>
      </c>
      <c r="H16" s="25" t="s">
        <v>239</v>
      </c>
      <c r="I16" s="25">
        <v>0.16</v>
      </c>
      <c r="J16" s="25">
        <v>11</v>
      </c>
      <c r="K16" s="25">
        <v>8.24</v>
      </c>
      <c r="L16" s="25">
        <v>60.73</v>
      </c>
      <c r="M16" s="25"/>
      <c r="N16" s="25">
        <v>0.45</v>
      </c>
      <c r="O16" s="25">
        <v>7.48</v>
      </c>
      <c r="P16" s="25"/>
      <c r="Q16" s="25"/>
      <c r="R16" s="25"/>
      <c r="S16" s="25">
        <v>0.21</v>
      </c>
      <c r="T16" s="25">
        <v>7.4</v>
      </c>
      <c r="U16" s="25"/>
      <c r="V16" s="25">
        <v>0.34</v>
      </c>
      <c r="W16" s="81">
        <f t="shared" si="1"/>
        <v>96.01</v>
      </c>
      <c r="Y16" s="247" t="s">
        <v>114</v>
      </c>
      <c r="Z16" s="25">
        <v>1</v>
      </c>
      <c r="AA16" s="25">
        <v>39.89</v>
      </c>
      <c r="AB16" s="25">
        <v>2.8299999999999999E-2</v>
      </c>
      <c r="AC16" s="25">
        <v>3.5200000000000002E-2</v>
      </c>
      <c r="AD16" s="25">
        <v>17.34</v>
      </c>
      <c r="AE16" s="25">
        <v>0.26200000000000001</v>
      </c>
      <c r="AF16" s="25">
        <v>42.6</v>
      </c>
      <c r="AG16" s="25">
        <v>0.30309999999999998</v>
      </c>
      <c r="AH16" s="25">
        <v>0.1789</v>
      </c>
      <c r="AI16" s="25"/>
      <c r="AJ16" s="51">
        <v>1.0999999999999999E-2</v>
      </c>
      <c r="AK16" s="26">
        <f t="shared" si="24"/>
        <v>100.64850000000001</v>
      </c>
      <c r="AL16" s="25">
        <f t="shared" si="25"/>
        <v>81.412922397311206</v>
      </c>
      <c r="AM16" s="51"/>
      <c r="AN16" s="51">
        <f t="shared" si="2"/>
        <v>30.64568625322805</v>
      </c>
      <c r="AO16" s="165">
        <f t="shared" si="3"/>
        <v>33.43444515089125</v>
      </c>
      <c r="AP16" s="5">
        <f t="shared" si="4"/>
        <v>99.360131404119301</v>
      </c>
      <c r="AR16" s="54"/>
      <c r="AS16" s="54">
        <f t="shared" si="5"/>
        <v>5.5374233150546764E-3</v>
      </c>
      <c r="AT16" s="54">
        <f t="shared" si="6"/>
        <v>0.28630956171917943</v>
      </c>
      <c r="AU16" s="54">
        <f t="shared" si="7"/>
        <v>0.33613777953284091</v>
      </c>
      <c r="AV16" s="54">
        <f t="shared" si="8"/>
        <v>0.20257205770469452</v>
      </c>
      <c r="AW16" s="54">
        <f t="shared" si="9"/>
        <v>0.87078140475243582</v>
      </c>
      <c r="AX16" s="54">
        <f t="shared" si="10"/>
        <v>6.7398770839622105E-3</v>
      </c>
      <c r="AY16" s="54">
        <f t="shared" si="11"/>
        <v>0.88701818773915619</v>
      </c>
      <c r="AZ16" s="54">
        <f t="shared" si="12"/>
        <v>1.3192019237272342E-2</v>
      </c>
      <c r="BA16" s="54">
        <f t="shared" si="13"/>
        <v>0.38590352536160899</v>
      </c>
      <c r="BB16" s="84">
        <f t="shared" si="14"/>
        <v>5.8456189825946544E-3</v>
      </c>
      <c r="BC16" s="82">
        <f t="shared" ref="BC16:BC50" si="28">SUM(AS16:BB16)</f>
        <v>3.0000374554288003</v>
      </c>
      <c r="BD16" s="5">
        <v>4</v>
      </c>
      <c r="BE16" s="86"/>
      <c r="BF16" s="86">
        <f t="shared" ref="BF16:BF50" si="29">BA16/(BA16+AY16)</f>
        <v>0.30316359709315494</v>
      </c>
      <c r="BG16" s="86">
        <f t="shared" ref="BG16:BG50" si="30">1-BF16</f>
        <v>0.69683640290684501</v>
      </c>
      <c r="BH16" s="83">
        <f t="shared" ref="BH16:BH50" si="31">AY16/AW16</f>
        <v>1.0186462215409118</v>
      </c>
      <c r="BI16" s="86">
        <f t="shared" ref="BI16:BI50" si="32">10^((LOG10(BH16)+0.343)/0.764)</f>
        <v>2.8804124806906288</v>
      </c>
      <c r="BJ16" s="86">
        <f t="shared" ref="BJ16:BJ50" si="33">AW16/(AW16+AY16)</f>
        <v>0.49538150337044234</v>
      </c>
      <c r="BK16" s="86">
        <f t="shared" ref="BK16:BK50" si="34">AW16/(AU16+AV16+AW16)</f>
        <v>0.61779837916767388</v>
      </c>
      <c r="BL16" s="86">
        <f t="shared" ref="BL16:BL50" si="35">AV16/(AU16+AV16+AW16)</f>
        <v>0.14371998326055285</v>
      </c>
      <c r="BM16" s="86">
        <f t="shared" ref="BM16:BM50" si="36">AU16/(AU16+AV16+AW16)</f>
        <v>0.23848163757177329</v>
      </c>
      <c r="BN16" s="86">
        <f t="shared" ref="BN16:BN50" si="37">AV16/(AV16+AU16)</f>
        <v>0.37603185184712645</v>
      </c>
      <c r="BO16" s="5">
        <f t="shared" si="15"/>
        <v>0.72149106260839024</v>
      </c>
      <c r="BP16" s="289"/>
      <c r="BQ16" s="290">
        <v>1200</v>
      </c>
      <c r="BR16" s="291">
        <f t="shared" ref="BR16:BR50" si="38">BQ16+273</f>
        <v>1473</v>
      </c>
      <c r="BS16" s="290">
        <v>8000</v>
      </c>
      <c r="BT16" s="292">
        <f t="shared" ref="BT16:BT50" si="39">BS16/10000</f>
        <v>0.8</v>
      </c>
      <c r="BU16" s="292">
        <f t="shared" si="16"/>
        <v>0.18587077602688795</v>
      </c>
      <c r="BV16" s="83">
        <f t="shared" ref="BV16:BV50" si="40">1-BU16</f>
        <v>0.81412922397311205</v>
      </c>
      <c r="BW16" s="293">
        <f>(6530+280*$BT16+(7000+108*$BT16)*(1-2*$BU16)-1960*($BF16-$BG16)+16150*$BL16+25150*($BK16+$AT16))/(8.31441*LN((1-$BU16)*$BG16/($BU16*$BF16))+4.705)-273</f>
        <v>1276.2897743384949</v>
      </c>
      <c r="BX16" s="294">
        <f t="shared" si="18"/>
        <v>1247.8192291341356</v>
      </c>
      <c r="BY16" s="295">
        <f t="shared" si="19"/>
        <v>3.6493900728795885</v>
      </c>
      <c r="BZ16" s="295">
        <f t="shared" ref="BZ16:BZ50" si="41">(82.75+0.00484*(BR16)-30681/(BR16)-24.45*LOG10(BR16)+940*BT16/(BR16)-0.02*BT16)+BY16</f>
        <v>-4.2682449149855302</v>
      </c>
      <c r="CA16" s="295">
        <f t="shared" si="20"/>
        <v>2.3938580723717444</v>
      </c>
      <c r="CB16" s="295">
        <f t="shared" si="21"/>
        <v>-5.5237769154933751</v>
      </c>
      <c r="CC16" s="296"/>
      <c r="CD16" s="297">
        <f t="shared" si="22"/>
        <v>0.31788314041925902</v>
      </c>
      <c r="CE16" s="297">
        <f t="shared" si="23"/>
        <v>4.2718446601941748E-3</v>
      </c>
      <c r="CF16" s="294">
        <f t="shared" si="26"/>
        <v>1464.858726206822</v>
      </c>
      <c r="CG16" s="294">
        <f t="shared" si="27"/>
        <v>1466.1969314560915</v>
      </c>
    </row>
    <row r="17" spans="1:85" s="5" customFormat="1">
      <c r="A17" s="233" t="s">
        <v>240</v>
      </c>
      <c r="B17" s="24" t="s">
        <v>279</v>
      </c>
      <c r="C17" s="288" t="s">
        <v>326</v>
      </c>
      <c r="D17" s="268" t="s">
        <v>294</v>
      </c>
      <c r="E17" s="235" t="s">
        <v>277</v>
      </c>
      <c r="F17" s="26">
        <f t="shared" si="0"/>
        <v>79.729922529858371</v>
      </c>
      <c r="G17" s="4" t="s">
        <v>322</v>
      </c>
      <c r="H17" s="25" t="s">
        <v>240</v>
      </c>
      <c r="I17" s="25">
        <v>0.17</v>
      </c>
      <c r="J17" s="25">
        <v>12.75</v>
      </c>
      <c r="K17" s="25">
        <v>10.86</v>
      </c>
      <c r="L17" s="25">
        <v>57.24</v>
      </c>
      <c r="M17" s="25"/>
      <c r="N17" s="25">
        <v>0.56999999999999995</v>
      </c>
      <c r="O17" s="25">
        <v>7.05</v>
      </c>
      <c r="P17" s="25"/>
      <c r="Q17" s="25"/>
      <c r="R17" s="25"/>
      <c r="S17" s="25">
        <v>0.14000000000000001</v>
      </c>
      <c r="T17" s="25">
        <v>8.33</v>
      </c>
      <c r="U17" s="25"/>
      <c r="V17" s="25">
        <v>0.4</v>
      </c>
      <c r="W17" s="81">
        <f t="shared" si="1"/>
        <v>97.51</v>
      </c>
      <c r="Y17" s="247" t="s">
        <v>115</v>
      </c>
      <c r="Z17" s="51">
        <v>1</v>
      </c>
      <c r="AA17" s="25">
        <v>39.26</v>
      </c>
      <c r="AB17" s="25">
        <v>2.4500000000000001E-2</v>
      </c>
      <c r="AC17" s="25">
        <v>2.9700000000000001E-2</v>
      </c>
      <c r="AD17" s="25">
        <v>18.72</v>
      </c>
      <c r="AE17" s="25">
        <v>0.34239999999999998</v>
      </c>
      <c r="AF17" s="25">
        <v>41.3</v>
      </c>
      <c r="AG17" s="25">
        <v>0.2838</v>
      </c>
      <c r="AH17" s="25">
        <v>0.12939999999999999</v>
      </c>
      <c r="AI17" s="25"/>
      <c r="AJ17" s="51">
        <v>6.0000000000000001E-3</v>
      </c>
      <c r="AK17" s="26">
        <f t="shared" si="24"/>
        <v>100.0958</v>
      </c>
      <c r="AL17" s="25">
        <f t="shared" si="25"/>
        <v>79.729922529858371</v>
      </c>
      <c r="AM17" s="51"/>
      <c r="AN17" s="51">
        <f t="shared" si="2"/>
        <v>33.606755353375107</v>
      </c>
      <c r="AO17" s="165">
        <f t="shared" si="3"/>
        <v>26.264997384557564</v>
      </c>
      <c r="AP17" s="5">
        <f t="shared" si="4"/>
        <v>100.14175273793266</v>
      </c>
      <c r="AR17" s="54"/>
      <c r="AS17" s="54">
        <f t="shared" si="5"/>
        <v>5.7722730296853372E-3</v>
      </c>
      <c r="AT17" s="54">
        <f t="shared" si="6"/>
        <v>0.32558437392408496</v>
      </c>
      <c r="AU17" s="54">
        <f t="shared" si="7"/>
        <v>0.43464045021140696</v>
      </c>
      <c r="AV17" s="54">
        <f t="shared" si="8"/>
        <v>0.22371907899612747</v>
      </c>
      <c r="AW17" s="54">
        <f t="shared" si="9"/>
        <v>0.67112372079271732</v>
      </c>
      <c r="AX17" s="54">
        <f t="shared" si="10"/>
        <v>7.7793489400728227E-3</v>
      </c>
      <c r="AY17" s="54">
        <f t="shared" si="11"/>
        <v>0.95433303987637352</v>
      </c>
      <c r="AZ17" s="54">
        <f t="shared" si="12"/>
        <v>1.6393958044218091E-2</v>
      </c>
      <c r="BA17" s="54">
        <f t="shared" si="13"/>
        <v>0.35684241230379743</v>
      </c>
      <c r="BB17" s="84">
        <f t="shared" si="14"/>
        <v>3.8233974575835089E-3</v>
      </c>
      <c r="BC17" s="82">
        <f t="shared" si="28"/>
        <v>3.0000120535760675</v>
      </c>
      <c r="BD17" s="5">
        <v>4</v>
      </c>
      <c r="BE17" s="86"/>
      <c r="BF17" s="86">
        <f t="shared" si="29"/>
        <v>0.27215458595602432</v>
      </c>
      <c r="BG17" s="86">
        <f t="shared" si="30"/>
        <v>0.72784541404397562</v>
      </c>
      <c r="BH17" s="83">
        <f t="shared" si="31"/>
        <v>1.4219927120876241</v>
      </c>
      <c r="BI17" s="86">
        <f t="shared" si="32"/>
        <v>4.4573868549966935</v>
      </c>
      <c r="BJ17" s="86">
        <f t="shared" si="33"/>
        <v>0.41288315815700993</v>
      </c>
      <c r="BK17" s="86">
        <f t="shared" si="34"/>
        <v>0.50480043339590042</v>
      </c>
      <c r="BL17" s="86">
        <f t="shared" si="35"/>
        <v>0.16827521444597748</v>
      </c>
      <c r="BM17" s="86">
        <f t="shared" si="36"/>
        <v>0.32692435215812204</v>
      </c>
      <c r="BN17" s="86">
        <f t="shared" si="37"/>
        <v>0.3398129275434314</v>
      </c>
      <c r="BO17" s="5">
        <f t="shared" si="15"/>
        <v>0.60693205512643988</v>
      </c>
      <c r="BP17" s="289"/>
      <c r="BQ17" s="290">
        <v>1200</v>
      </c>
      <c r="BR17" s="291">
        <f t="shared" si="38"/>
        <v>1473</v>
      </c>
      <c r="BS17" s="290">
        <v>8000</v>
      </c>
      <c r="BT17" s="292">
        <f t="shared" si="39"/>
        <v>0.8</v>
      </c>
      <c r="BU17" s="292">
        <f t="shared" si="16"/>
        <v>0.20270077470141634</v>
      </c>
      <c r="BV17" s="83">
        <f t="shared" si="40"/>
        <v>0.79729922529858366</v>
      </c>
      <c r="BW17" s="293">
        <f t="shared" si="17"/>
        <v>1188.1305682064576</v>
      </c>
      <c r="BX17" s="294">
        <f t="shared" si="18"/>
        <v>1168.2398441307466</v>
      </c>
      <c r="BY17" s="295">
        <f t="shared" si="19"/>
        <v>3.2586343615445772</v>
      </c>
      <c r="BZ17" s="295">
        <f t="shared" si="41"/>
        <v>-4.6590006263205419</v>
      </c>
      <c r="CA17" s="295">
        <f t="shared" si="20"/>
        <v>1.7925336878246596</v>
      </c>
      <c r="CB17" s="295">
        <f t="shared" si="21"/>
        <v>-6.1251013000404591</v>
      </c>
      <c r="CC17" s="296"/>
      <c r="CD17" s="297">
        <f t="shared" si="22"/>
        <v>0.28470944253890834</v>
      </c>
      <c r="CE17" s="297">
        <f t="shared" si="23"/>
        <v>2.7348066298342544E-3</v>
      </c>
      <c r="CF17" s="294">
        <f t="shared" si="26"/>
        <v>1358.0304504263015</v>
      </c>
      <c r="CG17" s="294">
        <f t="shared" si="27"/>
        <v>1360.8526007334149</v>
      </c>
    </row>
    <row r="18" spans="1:85" s="5" customFormat="1">
      <c r="A18" s="233" t="s">
        <v>241</v>
      </c>
      <c r="B18" s="24" t="s">
        <v>275</v>
      </c>
      <c r="C18" s="288" t="s">
        <v>323</v>
      </c>
      <c r="D18" s="268" t="s">
        <v>294</v>
      </c>
      <c r="E18" s="235" t="s">
        <v>277</v>
      </c>
      <c r="F18" s="26">
        <f t="shared" si="0"/>
        <v>82.453477292112538</v>
      </c>
      <c r="G18" s="4" t="s">
        <v>322</v>
      </c>
      <c r="H18" s="25" t="s">
        <v>241</v>
      </c>
      <c r="I18" s="25">
        <v>0.11</v>
      </c>
      <c r="J18" s="25">
        <v>3.45</v>
      </c>
      <c r="K18" s="25">
        <v>15.48</v>
      </c>
      <c r="L18" s="25">
        <v>44.4</v>
      </c>
      <c r="M18" s="25"/>
      <c r="N18" s="25">
        <v>0.4</v>
      </c>
      <c r="O18" s="25">
        <v>9.5</v>
      </c>
      <c r="P18" s="25">
        <v>0.03</v>
      </c>
      <c r="Q18" s="25"/>
      <c r="R18" s="25"/>
      <c r="S18" s="25">
        <v>0.17</v>
      </c>
      <c r="T18" s="25">
        <v>23.07</v>
      </c>
      <c r="U18" s="25"/>
      <c r="V18" s="25">
        <v>0.21</v>
      </c>
      <c r="W18" s="81">
        <f t="shared" si="1"/>
        <v>96.820000000000007</v>
      </c>
      <c r="Y18" s="247" t="s">
        <v>243</v>
      </c>
      <c r="Z18" s="25">
        <v>2</v>
      </c>
      <c r="AA18" s="25">
        <v>39.685000000000002</v>
      </c>
      <c r="AB18" s="25">
        <v>2.085E-2</v>
      </c>
      <c r="AC18" s="25">
        <v>2.6599999999999999E-2</v>
      </c>
      <c r="AD18" s="25">
        <v>16.47</v>
      </c>
      <c r="AE18" s="25">
        <v>0.25209999999999999</v>
      </c>
      <c r="AF18" s="25">
        <v>43.41</v>
      </c>
      <c r="AG18" s="25">
        <v>0.28410000000000002</v>
      </c>
      <c r="AH18" s="25">
        <v>0.18614999999999998</v>
      </c>
      <c r="AI18" s="25"/>
      <c r="AJ18" s="51">
        <v>1.3950000000000001E-2</v>
      </c>
      <c r="AK18" s="26">
        <f t="shared" si="24"/>
        <v>100.34875</v>
      </c>
      <c r="AL18" s="25">
        <f t="shared" si="25"/>
        <v>82.453477292112538</v>
      </c>
      <c r="AM18" s="51"/>
      <c r="AN18" s="51">
        <f t="shared" si="2"/>
        <v>22.044220900916457</v>
      </c>
      <c r="AO18" s="165">
        <f t="shared" si="3"/>
        <v>24.845275726921027</v>
      </c>
      <c r="AP18" s="5">
        <f t="shared" si="4"/>
        <v>99.30949662783749</v>
      </c>
      <c r="AR18" s="54"/>
      <c r="AS18" s="54">
        <f t="shared" si="5"/>
        <v>3.622910279649014E-3</v>
      </c>
      <c r="AT18" s="54">
        <f t="shared" si="6"/>
        <v>8.5455380763360678E-2</v>
      </c>
      <c r="AU18" s="54">
        <f t="shared" si="7"/>
        <v>0.60094983885652342</v>
      </c>
      <c r="AV18" s="54">
        <f t="shared" si="8"/>
        <v>0.60099736232050938</v>
      </c>
      <c r="AW18" s="54">
        <f t="shared" si="9"/>
        <v>0.61579477296538276</v>
      </c>
      <c r="AX18" s="54">
        <f t="shared" si="10"/>
        <v>3.9615898066622428E-3</v>
      </c>
      <c r="AY18" s="54">
        <f t="shared" si="11"/>
        <v>0.60720463739265185</v>
      </c>
      <c r="AZ18" s="54">
        <f t="shared" si="12"/>
        <v>1.1159273070923407E-2</v>
      </c>
      <c r="BA18" s="54">
        <f t="shared" si="13"/>
        <v>0.46642079513070023</v>
      </c>
      <c r="BB18" s="84">
        <f t="shared" si="14"/>
        <v>4.5033663960889481E-3</v>
      </c>
      <c r="BC18" s="82">
        <f t="shared" si="28"/>
        <v>3.0000699269824516</v>
      </c>
      <c r="BD18" s="5">
        <v>4</v>
      </c>
      <c r="BE18" s="86"/>
      <c r="BF18" s="86">
        <f t="shared" si="29"/>
        <v>0.43443530769801808</v>
      </c>
      <c r="BG18" s="86">
        <f t="shared" si="30"/>
        <v>0.56556469230198192</v>
      </c>
      <c r="BH18" s="83">
        <f t="shared" si="31"/>
        <v>0.98605032723586661</v>
      </c>
      <c r="BI18" s="86">
        <f t="shared" si="32"/>
        <v>2.7603705430338104</v>
      </c>
      <c r="BJ18" s="86">
        <f t="shared" si="33"/>
        <v>0.50351191321106858</v>
      </c>
      <c r="BK18" s="86">
        <f t="shared" si="34"/>
        <v>0.33876907818883689</v>
      </c>
      <c r="BL18" s="86">
        <f t="shared" si="35"/>
        <v>0.33062853302050815</v>
      </c>
      <c r="BM18" s="86">
        <f t="shared" si="36"/>
        <v>0.3306023887906549</v>
      </c>
      <c r="BN18" s="86">
        <f t="shared" si="37"/>
        <v>0.50001976936421966</v>
      </c>
      <c r="BO18" s="5">
        <f t="shared" si="15"/>
        <v>0.50610026704232991</v>
      </c>
      <c r="BP18" s="289"/>
      <c r="BQ18" s="290">
        <v>1200</v>
      </c>
      <c r="BR18" s="291">
        <f t="shared" si="38"/>
        <v>1473</v>
      </c>
      <c r="BS18" s="290">
        <v>8000</v>
      </c>
      <c r="BT18" s="292">
        <f t="shared" si="39"/>
        <v>0.8</v>
      </c>
      <c r="BU18" s="292">
        <f t="shared" si="16"/>
        <v>0.17546522707887457</v>
      </c>
      <c r="BV18" s="83">
        <f t="shared" si="40"/>
        <v>0.82453477292112543</v>
      </c>
      <c r="BW18" s="293">
        <f t="shared" si="17"/>
        <v>1124.4854984368874</v>
      </c>
      <c r="BX18" s="294">
        <f t="shared" si="18"/>
        <v>1101.2346113788271</v>
      </c>
      <c r="BY18" s="295">
        <f t="shared" si="19"/>
        <v>2.6310009951464028</v>
      </c>
      <c r="BZ18" s="295">
        <f t="shared" si="41"/>
        <v>-5.2866339927187163</v>
      </c>
      <c r="CA18" s="295">
        <f t="shared" si="20"/>
        <v>1.5030104724055722</v>
      </c>
      <c r="CB18" s="295">
        <f t="shared" si="21"/>
        <v>-6.4146245154595469</v>
      </c>
      <c r="CC18" s="296"/>
      <c r="CD18" s="297">
        <f t="shared" si="22"/>
        <v>0.43609821574156077</v>
      </c>
      <c r="CE18" s="297">
        <f t="shared" si="23"/>
        <v>1.718346253229974E-3</v>
      </c>
      <c r="CF18" s="294">
        <f t="shared" si="26"/>
        <v>1222.6332049938244</v>
      </c>
      <c r="CG18" s="294">
        <f t="shared" si="27"/>
        <v>1225.9884940744973</v>
      </c>
    </row>
    <row r="19" spans="1:85" s="5" customFormat="1">
      <c r="A19" s="233" t="s">
        <v>242</v>
      </c>
      <c r="B19" s="24" t="s">
        <v>279</v>
      </c>
      <c r="C19" s="288" t="s">
        <v>326</v>
      </c>
      <c r="D19" s="268" t="s">
        <v>294</v>
      </c>
      <c r="E19" s="235" t="s">
        <v>277</v>
      </c>
      <c r="F19" s="26">
        <f t="shared" si="0"/>
        <v>82.453477292112538</v>
      </c>
      <c r="G19" s="4" t="s">
        <v>322</v>
      </c>
      <c r="H19" s="25" t="s">
        <v>242</v>
      </c>
      <c r="I19" s="25">
        <v>0.13</v>
      </c>
      <c r="J19" s="25">
        <v>8.9600000000000009</v>
      </c>
      <c r="K19" s="25">
        <v>9.2899999999999991</v>
      </c>
      <c r="L19" s="25">
        <v>56.28</v>
      </c>
      <c r="M19" s="25"/>
      <c r="N19" s="25">
        <v>0.37</v>
      </c>
      <c r="O19" s="25">
        <v>8.42</v>
      </c>
      <c r="P19" s="25"/>
      <c r="Q19" s="25"/>
      <c r="R19" s="25"/>
      <c r="S19" s="25">
        <v>0.24</v>
      </c>
      <c r="T19" s="25">
        <v>12.29</v>
      </c>
      <c r="U19" s="25"/>
      <c r="V19" s="25">
        <v>0.27</v>
      </c>
      <c r="W19" s="81">
        <f t="shared" si="1"/>
        <v>96.249999999999986</v>
      </c>
      <c r="Y19" s="247" t="s">
        <v>243</v>
      </c>
      <c r="Z19" s="25">
        <v>2</v>
      </c>
      <c r="AA19" s="25">
        <v>39.685000000000002</v>
      </c>
      <c r="AB19" s="25">
        <v>2.085E-2</v>
      </c>
      <c r="AC19" s="25">
        <v>2.6599999999999999E-2</v>
      </c>
      <c r="AD19" s="25">
        <v>16.47</v>
      </c>
      <c r="AE19" s="25">
        <v>0.25209999999999999</v>
      </c>
      <c r="AF19" s="25">
        <v>43.41</v>
      </c>
      <c r="AG19" s="25">
        <v>0.28410000000000002</v>
      </c>
      <c r="AH19" s="25">
        <v>0.18614999999999998</v>
      </c>
      <c r="AI19" s="25"/>
      <c r="AJ19" s="51">
        <v>1.3950000000000001E-2</v>
      </c>
      <c r="AK19" s="26">
        <f t="shared" si="24"/>
        <v>100.34875</v>
      </c>
      <c r="AL19" s="25">
        <f t="shared" si="25"/>
        <v>82.453477292112538</v>
      </c>
      <c r="AM19" s="51"/>
      <c r="AN19" s="51">
        <f t="shared" si="2"/>
        <v>27.606010266290564</v>
      </c>
      <c r="AO19" s="165">
        <f t="shared" si="3"/>
        <v>31.867070164158076</v>
      </c>
      <c r="AP19" s="7">
        <f t="shared" si="4"/>
        <v>99.443080430448646</v>
      </c>
      <c r="AQ19" s="7"/>
      <c r="AR19" s="54"/>
      <c r="AS19" s="54">
        <f t="shared" si="5"/>
        <v>4.4409118059676256E-3</v>
      </c>
      <c r="AT19" s="54">
        <f t="shared" si="6"/>
        <v>0.23019306230562508</v>
      </c>
      <c r="AU19" s="54">
        <f t="shared" si="7"/>
        <v>0.37406483492882941</v>
      </c>
      <c r="AV19" s="54">
        <f t="shared" si="8"/>
        <v>0.33207849842236387</v>
      </c>
      <c r="AW19" s="54">
        <f t="shared" si="9"/>
        <v>0.81921560456112152</v>
      </c>
      <c r="AX19" s="54">
        <f t="shared" si="10"/>
        <v>5.2829667490494094E-3</v>
      </c>
      <c r="AY19" s="54">
        <f t="shared" si="11"/>
        <v>0.78869279391420655</v>
      </c>
      <c r="AZ19" s="54">
        <f t="shared" si="12"/>
        <v>1.0706352546639632E-2</v>
      </c>
      <c r="BA19" s="54">
        <f t="shared" si="13"/>
        <v>0.42877582721245089</v>
      </c>
      <c r="BB19" s="84">
        <f t="shared" si="14"/>
        <v>6.5942211114713E-3</v>
      </c>
      <c r="BC19" s="82">
        <f t="shared" si="28"/>
        <v>3.0000450735577253</v>
      </c>
      <c r="BD19" s="5">
        <v>4</v>
      </c>
      <c r="BE19" s="86"/>
      <c r="BF19" s="86">
        <f t="shared" si="29"/>
        <v>0.35218634778090424</v>
      </c>
      <c r="BG19" s="86">
        <f t="shared" si="30"/>
        <v>0.64781365221909581</v>
      </c>
      <c r="BH19" s="83">
        <f t="shared" si="31"/>
        <v>0.96274141938096147</v>
      </c>
      <c r="BI19" s="86">
        <f t="shared" si="32"/>
        <v>2.6752764124027855</v>
      </c>
      <c r="BJ19" s="86">
        <f t="shared" si="33"/>
        <v>0.50949146440053983</v>
      </c>
      <c r="BK19" s="86">
        <f t="shared" si="34"/>
        <v>0.53706415204957758</v>
      </c>
      <c r="BL19" s="86">
        <f t="shared" si="35"/>
        <v>0.21770515133760171</v>
      </c>
      <c r="BM19" s="86">
        <f t="shared" si="36"/>
        <v>0.24523069661282082</v>
      </c>
      <c r="BN19" s="86">
        <f t="shared" si="37"/>
        <v>0.4702706699026612</v>
      </c>
      <c r="BO19" s="5">
        <f t="shared" si="15"/>
        <v>0.68652395317171411</v>
      </c>
      <c r="BP19" s="289"/>
      <c r="BQ19" s="290">
        <v>1200</v>
      </c>
      <c r="BR19" s="291">
        <f t="shared" si="38"/>
        <v>1473</v>
      </c>
      <c r="BS19" s="290">
        <v>8000</v>
      </c>
      <c r="BT19" s="292">
        <f t="shared" si="39"/>
        <v>0.8</v>
      </c>
      <c r="BU19" s="292">
        <f t="shared" si="16"/>
        <v>0.17546522707887457</v>
      </c>
      <c r="BV19" s="83">
        <f t="shared" si="40"/>
        <v>0.82453477292112543</v>
      </c>
      <c r="BW19" s="293">
        <f t="shared" si="17"/>
        <v>1261.8494398572714</v>
      </c>
      <c r="BX19" s="294">
        <f t="shared" si="18"/>
        <v>1234.1510933418283</v>
      </c>
      <c r="BY19" s="295">
        <f t="shared" si="19"/>
        <v>3.4616527021723544</v>
      </c>
      <c r="BZ19" s="295">
        <f t="shared" si="41"/>
        <v>-4.4559822856927642</v>
      </c>
      <c r="CA19" s="295">
        <f t="shared" si="20"/>
        <v>2.3070396616357516</v>
      </c>
      <c r="CB19" s="295">
        <f t="shared" si="21"/>
        <v>-5.6105953262293671</v>
      </c>
      <c r="CC19" s="296"/>
      <c r="CD19" s="297">
        <f t="shared" si="22"/>
        <v>0.4070559388318653</v>
      </c>
      <c r="CE19" s="297">
        <f t="shared" si="23"/>
        <v>2.8632938643702909E-3</v>
      </c>
      <c r="CF19" s="294">
        <f t="shared" si="26"/>
        <v>1340.9126982172104</v>
      </c>
      <c r="CG19" s="294">
        <f t="shared" si="27"/>
        <v>1343.1682880967567</v>
      </c>
    </row>
    <row r="20" spans="1:85" s="5" customFormat="1">
      <c r="A20" s="233" t="s">
        <v>244</v>
      </c>
      <c r="B20" s="24" t="s">
        <v>275</v>
      </c>
      <c r="C20" s="288" t="s">
        <v>323</v>
      </c>
      <c r="D20" s="268" t="s">
        <v>294</v>
      </c>
      <c r="E20" s="235" t="s">
        <v>277</v>
      </c>
      <c r="F20" s="26">
        <f t="shared" si="0"/>
        <v>81.859355023455535</v>
      </c>
      <c r="G20" s="4" t="s">
        <v>322</v>
      </c>
      <c r="H20" s="25" t="s">
        <v>244</v>
      </c>
      <c r="I20" s="25">
        <v>0.14000000000000001</v>
      </c>
      <c r="J20" s="25">
        <v>3.26</v>
      </c>
      <c r="K20" s="25">
        <v>17.350000000000001</v>
      </c>
      <c r="L20" s="25">
        <v>50.01</v>
      </c>
      <c r="M20" s="25"/>
      <c r="N20" s="25">
        <v>0.39</v>
      </c>
      <c r="O20" s="25">
        <v>9.2200000000000006</v>
      </c>
      <c r="P20" s="25">
        <v>0.03</v>
      </c>
      <c r="Q20" s="25"/>
      <c r="R20" s="25"/>
      <c r="S20" s="25">
        <v>0.22</v>
      </c>
      <c r="T20" s="25">
        <v>16.43</v>
      </c>
      <c r="U20" s="25"/>
      <c r="V20" s="25">
        <v>0.33</v>
      </c>
      <c r="W20" s="81">
        <f t="shared" si="1"/>
        <v>97.379999999999981</v>
      </c>
      <c r="Y20" s="247" t="s">
        <v>119</v>
      </c>
      <c r="Z20" s="25">
        <v>1</v>
      </c>
      <c r="AA20" s="25">
        <v>39.82</v>
      </c>
      <c r="AB20" s="25">
        <v>2.0799999999999999E-2</v>
      </c>
      <c r="AC20" s="25">
        <v>3.0099999999999998E-2</v>
      </c>
      <c r="AD20" s="25">
        <v>16.93</v>
      </c>
      <c r="AE20" s="25">
        <v>0.25729999999999997</v>
      </c>
      <c r="AF20" s="25">
        <v>42.85</v>
      </c>
      <c r="AG20" s="25">
        <v>0.3216</v>
      </c>
      <c r="AH20" s="25">
        <v>0.17680000000000001</v>
      </c>
      <c r="AI20" s="25"/>
      <c r="AJ20" s="51">
        <v>1.3899999999999999E-2</v>
      </c>
      <c r="AK20" s="26">
        <f t="shared" si="24"/>
        <v>100.4205</v>
      </c>
      <c r="AL20" s="25">
        <f t="shared" si="25"/>
        <v>81.859355023455535</v>
      </c>
      <c r="AM20" s="51"/>
      <c r="AN20" s="51">
        <f t="shared" si="2"/>
        <v>22.856463436563278</v>
      </c>
      <c r="AO20" s="165">
        <f t="shared" si="3"/>
        <v>30.177302248762746</v>
      </c>
      <c r="AP20" s="84">
        <f t="shared" si="4"/>
        <v>100.40376568532602</v>
      </c>
      <c r="AQ20" s="84"/>
      <c r="AR20" s="54"/>
      <c r="AS20" s="54">
        <f t="shared" si="5"/>
        <v>4.5503563723437689E-3</v>
      </c>
      <c r="AT20" s="54">
        <f t="shared" si="6"/>
        <v>7.9687536294483011E-2</v>
      </c>
      <c r="AU20" s="54">
        <f t="shared" si="7"/>
        <v>0.66469012569148667</v>
      </c>
      <c r="AV20" s="54">
        <f t="shared" si="8"/>
        <v>0.42239135032853875</v>
      </c>
      <c r="AW20" s="54">
        <f t="shared" si="9"/>
        <v>0.73811676790687841</v>
      </c>
      <c r="AX20" s="54">
        <f t="shared" si="10"/>
        <v>6.1435108839321632E-3</v>
      </c>
      <c r="AY20" s="54">
        <f t="shared" si="11"/>
        <v>0.62130069566883273</v>
      </c>
      <c r="AZ20" s="54">
        <f t="shared" si="12"/>
        <v>1.0737248441491147E-2</v>
      </c>
      <c r="BA20" s="54">
        <f t="shared" si="13"/>
        <v>0.44672237142473403</v>
      </c>
      <c r="BB20" s="84">
        <f t="shared" si="14"/>
        <v>5.7512669150343388E-3</v>
      </c>
      <c r="BC20" s="82">
        <f t="shared" si="28"/>
        <v>3.0000912299277545</v>
      </c>
      <c r="BD20" s="5">
        <v>4</v>
      </c>
      <c r="BE20" s="86"/>
      <c r="BF20" s="86">
        <f t="shared" si="29"/>
        <v>0.41827034002215779</v>
      </c>
      <c r="BG20" s="86">
        <f t="shared" si="30"/>
        <v>0.58172965997784221</v>
      </c>
      <c r="BH20" s="83">
        <f t="shared" si="31"/>
        <v>0.84173767983986059</v>
      </c>
      <c r="BI20" s="86">
        <f t="shared" si="32"/>
        <v>2.2439682755609556</v>
      </c>
      <c r="BJ20" s="86">
        <f t="shared" si="33"/>
        <v>0.54296548903041941</v>
      </c>
      <c r="BK20" s="86">
        <f t="shared" si="34"/>
        <v>0.40440361498421362</v>
      </c>
      <c r="BL20" s="86">
        <f t="shared" si="35"/>
        <v>0.23142217659587822</v>
      </c>
      <c r="BM20" s="86">
        <f t="shared" si="36"/>
        <v>0.36417420841990816</v>
      </c>
      <c r="BN20" s="86">
        <f t="shared" si="37"/>
        <v>0.38855537477740792</v>
      </c>
      <c r="BO20" s="5">
        <f t="shared" si="15"/>
        <v>0.52617132926508647</v>
      </c>
      <c r="BP20" s="289"/>
      <c r="BQ20" s="290">
        <v>1200</v>
      </c>
      <c r="BR20" s="291">
        <f t="shared" si="38"/>
        <v>1473</v>
      </c>
      <c r="BS20" s="290">
        <v>8000</v>
      </c>
      <c r="BT20" s="292">
        <f t="shared" si="39"/>
        <v>0.8</v>
      </c>
      <c r="BU20" s="292">
        <f t="shared" si="16"/>
        <v>0.18140644976544462</v>
      </c>
      <c r="BV20" s="83">
        <f t="shared" si="40"/>
        <v>0.81859355023455538</v>
      </c>
      <c r="BW20" s="293">
        <f t="shared" si="17"/>
        <v>1103.7374000372058</v>
      </c>
      <c r="BX20" s="294">
        <f t="shared" si="18"/>
        <v>1069.8356515049456</v>
      </c>
      <c r="BY20" s="295">
        <f t="shared" si="19"/>
        <v>2.9392076564904062</v>
      </c>
      <c r="BZ20" s="295">
        <f t="shared" si="41"/>
        <v>-4.9784273313747125</v>
      </c>
      <c r="CA20" s="295">
        <f t="shared" si="20"/>
        <v>1.7166810784760043</v>
      </c>
      <c r="CB20" s="295">
        <f t="shared" si="21"/>
        <v>-6.2009539093891153</v>
      </c>
      <c r="CC20" s="296"/>
      <c r="CD20" s="297">
        <f t="shared" si="22"/>
        <v>0.32949270028055994</v>
      </c>
      <c r="CE20" s="297">
        <f t="shared" si="23"/>
        <v>1.7348703170028815E-3</v>
      </c>
      <c r="CF20" s="294">
        <f t="shared" si="26"/>
        <v>1245.7514841100469</v>
      </c>
      <c r="CG20" s="294">
        <f t="shared" si="27"/>
        <v>1249.4543523415969</v>
      </c>
    </row>
    <row r="21" spans="1:85" s="5" customFormat="1">
      <c r="A21" s="233" t="s">
        <v>245</v>
      </c>
      <c r="B21" s="24" t="s">
        <v>275</v>
      </c>
      <c r="C21" s="288" t="s">
        <v>323</v>
      </c>
      <c r="D21" s="268" t="s">
        <v>294</v>
      </c>
      <c r="E21" s="235" t="s">
        <v>277</v>
      </c>
      <c r="F21" s="26">
        <f t="shared" si="0"/>
        <v>80.929688515357611</v>
      </c>
      <c r="G21" s="4" t="s">
        <v>322</v>
      </c>
      <c r="H21" s="25" t="s">
        <v>245</v>
      </c>
      <c r="I21" s="25">
        <v>0.14000000000000001</v>
      </c>
      <c r="J21" s="25">
        <v>4.2699999999999996</v>
      </c>
      <c r="K21" s="25">
        <v>18.29</v>
      </c>
      <c r="L21" s="25">
        <v>40.98</v>
      </c>
      <c r="M21" s="25"/>
      <c r="N21" s="25">
        <v>0.35</v>
      </c>
      <c r="O21" s="25">
        <v>9.31</v>
      </c>
      <c r="P21" s="25"/>
      <c r="Q21" s="25"/>
      <c r="R21" s="25"/>
      <c r="S21" s="25">
        <v>0.18</v>
      </c>
      <c r="T21" s="25">
        <v>24.4</v>
      </c>
      <c r="U21" s="25"/>
      <c r="V21" s="25">
        <v>0.22</v>
      </c>
      <c r="W21" s="81">
        <f t="shared" si="1"/>
        <v>98.139999999999986</v>
      </c>
      <c r="Y21" s="247" t="s">
        <v>120</v>
      </c>
      <c r="Z21" s="51">
        <v>1</v>
      </c>
      <c r="AA21" s="25">
        <v>39.700000000000003</v>
      </c>
      <c r="AB21" s="25">
        <v>2.1100000000000001E-2</v>
      </c>
      <c r="AC21" s="25">
        <v>2.9600000000000001E-2</v>
      </c>
      <c r="AD21" s="25">
        <v>17.75</v>
      </c>
      <c r="AE21" s="25">
        <v>0.29330000000000001</v>
      </c>
      <c r="AF21" s="25">
        <v>42.25</v>
      </c>
      <c r="AG21" s="25">
        <v>0.26300000000000001</v>
      </c>
      <c r="AH21" s="25">
        <v>0.16339999999999999</v>
      </c>
      <c r="AI21" s="25"/>
      <c r="AJ21" s="51">
        <v>1.9300000000000001E-2</v>
      </c>
      <c r="AK21" s="26">
        <f t="shared" si="24"/>
        <v>100.48970000000001</v>
      </c>
      <c r="AL21" s="25">
        <f t="shared" si="25"/>
        <v>80.929688515357611</v>
      </c>
      <c r="AM21" s="51"/>
      <c r="AN21" s="51">
        <f t="shared" si="2"/>
        <v>23.928216754501072</v>
      </c>
      <c r="AO21" s="165">
        <f t="shared" si="3"/>
        <v>18.950637081016808</v>
      </c>
      <c r="AP21" s="48">
        <f t="shared" si="4"/>
        <v>100.03885383551788</v>
      </c>
      <c r="AQ21" s="48"/>
      <c r="AR21" s="54"/>
      <c r="AS21" s="54">
        <f t="shared" si="5"/>
        <v>4.5197121072898683E-3</v>
      </c>
      <c r="AT21" s="54">
        <f t="shared" si="6"/>
        <v>0.10367308843648271</v>
      </c>
      <c r="AU21" s="54">
        <f t="shared" si="7"/>
        <v>0.69598329381826374</v>
      </c>
      <c r="AV21" s="54">
        <f t="shared" si="8"/>
        <v>0.62306397382989298</v>
      </c>
      <c r="AW21" s="54">
        <f t="shared" si="9"/>
        <v>0.46039843094218746</v>
      </c>
      <c r="AX21" s="54">
        <f t="shared" si="10"/>
        <v>4.0680917055401639E-3</v>
      </c>
      <c r="AY21" s="54">
        <f t="shared" si="11"/>
        <v>0.64605352787134829</v>
      </c>
      <c r="AZ21" s="54">
        <f t="shared" si="12"/>
        <v>9.5710988344744913E-3</v>
      </c>
      <c r="BA21" s="54">
        <f t="shared" si="13"/>
        <v>0.4480451943698513</v>
      </c>
      <c r="BB21" s="84">
        <f t="shared" si="14"/>
        <v>4.6738923929545359E-3</v>
      </c>
      <c r="BC21" s="82">
        <f t="shared" si="28"/>
        <v>3.0000503043082856</v>
      </c>
      <c r="BD21" s="5">
        <v>4</v>
      </c>
      <c r="BE21" s="86"/>
      <c r="BF21" s="86">
        <f t="shared" si="29"/>
        <v>0.40951075553041133</v>
      </c>
      <c r="BG21" s="86">
        <f t="shared" si="30"/>
        <v>0.59048924446958861</v>
      </c>
      <c r="BH21" s="83">
        <f t="shared" si="31"/>
        <v>1.4032487611854474</v>
      </c>
      <c r="BI21" s="86">
        <f t="shared" si="32"/>
        <v>4.3806395810747594</v>
      </c>
      <c r="BJ21" s="86">
        <f t="shared" si="33"/>
        <v>0.41610340808278679</v>
      </c>
      <c r="BK21" s="86">
        <f t="shared" si="34"/>
        <v>0.25873137421777448</v>
      </c>
      <c r="BL21" s="86">
        <f t="shared" si="35"/>
        <v>0.35014497735079914</v>
      </c>
      <c r="BM21" s="86">
        <f t="shared" si="36"/>
        <v>0.39112364843142639</v>
      </c>
      <c r="BN21" s="86">
        <f t="shared" si="37"/>
        <v>0.47235909516783847</v>
      </c>
      <c r="BO21" s="5">
        <f t="shared" si="15"/>
        <v>0.39813706934668192</v>
      </c>
      <c r="BP21" s="289"/>
      <c r="BQ21" s="290">
        <v>1200</v>
      </c>
      <c r="BR21" s="291">
        <f t="shared" si="38"/>
        <v>1473</v>
      </c>
      <c r="BS21" s="290">
        <v>8000</v>
      </c>
      <c r="BT21" s="292">
        <f t="shared" si="39"/>
        <v>0.8</v>
      </c>
      <c r="BU21" s="292">
        <f t="shared" si="16"/>
        <v>0.19070311484642388</v>
      </c>
      <c r="BV21" s="83">
        <f t="shared" si="40"/>
        <v>0.80929688515357612</v>
      </c>
      <c r="BW21" s="293">
        <f t="shared" si="17"/>
        <v>1055.6250668412836</v>
      </c>
      <c r="BX21" s="294">
        <f t="shared" si="18"/>
        <v>1038.6487260011338</v>
      </c>
      <c r="BY21" s="295">
        <f t="shared" si="19"/>
        <v>2.1153156931547374</v>
      </c>
      <c r="BZ21" s="295">
        <f t="shared" si="41"/>
        <v>-5.8023192947103812</v>
      </c>
      <c r="CA21" s="295">
        <f t="shared" si="20"/>
        <v>0.84942251848715711</v>
      </c>
      <c r="CB21" s="295">
        <f t="shared" si="21"/>
        <v>-7.0682124693779622</v>
      </c>
      <c r="CC21" s="296"/>
      <c r="CD21" s="297">
        <f t="shared" si="22"/>
        <v>0.40908042614799933</v>
      </c>
      <c r="CE21" s="297">
        <f t="shared" si="23"/>
        <v>1.6183706943685076E-3</v>
      </c>
      <c r="CF21" s="294">
        <f t="shared" si="26"/>
        <v>1215.7393819791673</v>
      </c>
      <c r="CG21" s="294">
        <f t="shared" si="27"/>
        <v>1219.3034599869166</v>
      </c>
    </row>
    <row r="22" spans="1:85" s="5" customFormat="1">
      <c r="A22" s="233" t="s">
        <v>246</v>
      </c>
      <c r="B22" s="24" t="s">
        <v>275</v>
      </c>
      <c r="C22" s="288" t="s">
        <v>323</v>
      </c>
      <c r="D22" s="268" t="s">
        <v>294</v>
      </c>
      <c r="E22" s="235" t="s">
        <v>277</v>
      </c>
      <c r="F22" s="26">
        <f t="shared" si="0"/>
        <v>80.306423942369577</v>
      </c>
      <c r="G22" s="4" t="s">
        <v>322</v>
      </c>
      <c r="H22" s="25" t="s">
        <v>246</v>
      </c>
      <c r="I22" s="25">
        <v>0.1</v>
      </c>
      <c r="J22" s="25">
        <v>3.77</v>
      </c>
      <c r="K22" s="25">
        <v>15.77</v>
      </c>
      <c r="L22" s="25">
        <v>42.95</v>
      </c>
      <c r="M22" s="25"/>
      <c r="N22" s="25">
        <v>0.35</v>
      </c>
      <c r="O22" s="25">
        <v>8.7100000000000009</v>
      </c>
      <c r="P22" s="25">
        <v>0.05</v>
      </c>
      <c r="Q22" s="25"/>
      <c r="R22" s="25"/>
      <c r="S22" s="25"/>
      <c r="T22" s="25">
        <v>25.74</v>
      </c>
      <c r="U22" s="25"/>
      <c r="V22" s="25">
        <v>0.23</v>
      </c>
      <c r="W22" s="81">
        <f t="shared" si="1"/>
        <v>97.67</v>
      </c>
      <c r="Y22" s="247" t="s">
        <v>121</v>
      </c>
      <c r="Z22" s="25">
        <v>1</v>
      </c>
      <c r="AA22" s="25">
        <v>39.409999999999997</v>
      </c>
      <c r="AB22" s="25">
        <v>1.8100000000000002E-2</v>
      </c>
      <c r="AC22" s="25">
        <v>2.7799999999999998E-2</v>
      </c>
      <c r="AD22" s="25">
        <v>18.28</v>
      </c>
      <c r="AE22" s="25">
        <v>0.30509999999999998</v>
      </c>
      <c r="AF22" s="25">
        <v>41.81</v>
      </c>
      <c r="AG22" s="25">
        <v>0.27100000000000002</v>
      </c>
      <c r="AH22" s="25">
        <v>0.11700000000000001</v>
      </c>
      <c r="AI22" s="25"/>
      <c r="AJ22" s="51">
        <v>1.5800000000000002E-2</v>
      </c>
      <c r="AK22" s="26">
        <f t="shared" si="24"/>
        <v>100.2548</v>
      </c>
      <c r="AL22" s="25">
        <f t="shared" si="25"/>
        <v>80.306423942369577</v>
      </c>
      <c r="AM22" s="51"/>
      <c r="AN22" s="51">
        <f t="shared" si="2"/>
        <v>23.991910363446323</v>
      </c>
      <c r="AO22" s="165">
        <f t="shared" si="3"/>
        <v>21.069226090857612</v>
      </c>
      <c r="AP22" s="48">
        <f t="shared" si="4"/>
        <v>99.781136454303933</v>
      </c>
      <c r="AQ22" s="48"/>
      <c r="AR22" s="54"/>
      <c r="AS22" s="54">
        <f t="shared" si="5"/>
        <v>3.2889829563486589E-3</v>
      </c>
      <c r="AT22" s="54">
        <f t="shared" si="6"/>
        <v>9.3252052145576442E-2</v>
      </c>
      <c r="AU22" s="54">
        <f t="shared" si="7"/>
        <v>0.61135812609004458</v>
      </c>
      <c r="AV22" s="54">
        <f t="shared" si="8"/>
        <v>0.66962281633559906</v>
      </c>
      <c r="AW22" s="54">
        <f t="shared" si="9"/>
        <v>0.52147979965857183</v>
      </c>
      <c r="AX22" s="54">
        <f t="shared" si="10"/>
        <v>4.3328611900493681E-3</v>
      </c>
      <c r="AY22" s="54">
        <f t="shared" si="11"/>
        <v>0.65993609813806398</v>
      </c>
      <c r="AZ22" s="54">
        <f t="shared" si="12"/>
        <v>9.7508098458481563E-3</v>
      </c>
      <c r="BA22" s="54">
        <f t="shared" si="13"/>
        <v>0.42704061690084122</v>
      </c>
      <c r="BB22" s="84">
        <f t="shared" si="14"/>
        <v>0</v>
      </c>
      <c r="BC22" s="82">
        <f t="shared" si="28"/>
        <v>3.0000621632609437</v>
      </c>
      <c r="BD22" s="5">
        <v>4</v>
      </c>
      <c r="BE22" s="86"/>
      <c r="BF22" s="86">
        <f t="shared" si="29"/>
        <v>0.39287006887314652</v>
      </c>
      <c r="BG22" s="86">
        <f t="shared" si="30"/>
        <v>0.60712993112685343</v>
      </c>
      <c r="BH22" s="83">
        <f t="shared" si="31"/>
        <v>1.2655065422862852</v>
      </c>
      <c r="BI22" s="86">
        <f t="shared" si="32"/>
        <v>3.826544773810153</v>
      </c>
      <c r="BJ22" s="86">
        <f t="shared" si="33"/>
        <v>0.4414023889733853</v>
      </c>
      <c r="BK22" s="86">
        <f t="shared" si="34"/>
        <v>0.28931548270814267</v>
      </c>
      <c r="BL22" s="86">
        <f t="shared" si="35"/>
        <v>0.37150479935629721</v>
      </c>
      <c r="BM22" s="86">
        <f t="shared" si="36"/>
        <v>0.33917971793556012</v>
      </c>
      <c r="BN22" s="86">
        <f t="shared" si="37"/>
        <v>0.52274221587372927</v>
      </c>
      <c r="BO22" s="5">
        <f t="shared" si="15"/>
        <v>0.46033045663964767</v>
      </c>
      <c r="BP22" s="289"/>
      <c r="BQ22" s="290">
        <v>1200</v>
      </c>
      <c r="BR22" s="291">
        <f t="shared" si="38"/>
        <v>1473</v>
      </c>
      <c r="BS22" s="290">
        <v>8000</v>
      </c>
      <c r="BT22" s="292">
        <f t="shared" si="39"/>
        <v>0.8</v>
      </c>
      <c r="BU22" s="292">
        <f t="shared" si="16"/>
        <v>0.19693576057630424</v>
      </c>
      <c r="BV22" s="83">
        <f t="shared" si="40"/>
        <v>0.80306423942369576</v>
      </c>
      <c r="BW22" s="293">
        <f t="shared" si="17"/>
        <v>1080.8297426687107</v>
      </c>
      <c r="BX22" s="294">
        <f t="shared" si="18"/>
        <v>1068.062395413368</v>
      </c>
      <c r="BY22" s="295">
        <f t="shared" si="19"/>
        <v>2.2038443859630812</v>
      </c>
      <c r="BZ22" s="295">
        <f t="shared" si="41"/>
        <v>-5.7137906019020379</v>
      </c>
      <c r="CA22" s="295">
        <f t="shared" si="20"/>
        <v>0.94614487517090384</v>
      </c>
      <c r="CB22" s="295">
        <f t="shared" si="21"/>
        <v>-6.971490112694215</v>
      </c>
      <c r="CC22" s="296"/>
      <c r="CD22" s="297">
        <f t="shared" si="22"/>
        <v>0.45858013530067082</v>
      </c>
      <c r="CE22" s="297">
        <f t="shared" si="23"/>
        <v>1.7628408370323398E-3</v>
      </c>
      <c r="CF22" s="294">
        <f t="shared" si="26"/>
        <v>1223.4471640146303</v>
      </c>
      <c r="CG22" s="294">
        <f t="shared" si="27"/>
        <v>1226.6757370462465</v>
      </c>
    </row>
    <row r="23" spans="1:85" s="5" customFormat="1">
      <c r="A23" s="233" t="s">
        <v>247</v>
      </c>
      <c r="B23" s="24" t="s">
        <v>279</v>
      </c>
      <c r="C23" s="288" t="s">
        <v>326</v>
      </c>
      <c r="D23" s="268" t="s">
        <v>294</v>
      </c>
      <c r="E23" s="235" t="s">
        <v>277</v>
      </c>
      <c r="F23" s="26">
        <f t="shared" si="0"/>
        <v>81.472165083009642</v>
      </c>
      <c r="G23" s="4" t="s">
        <v>322</v>
      </c>
      <c r="H23" s="25" t="s">
        <v>247</v>
      </c>
      <c r="I23" s="25">
        <v>0.1</v>
      </c>
      <c r="J23" s="25">
        <v>11.31</v>
      </c>
      <c r="K23" s="25">
        <v>9.16</v>
      </c>
      <c r="L23" s="25">
        <v>60.2</v>
      </c>
      <c r="M23" s="25"/>
      <c r="N23" s="25">
        <v>0.52</v>
      </c>
      <c r="O23" s="25">
        <v>6.64</v>
      </c>
      <c r="P23" s="25"/>
      <c r="Q23" s="25"/>
      <c r="R23" s="25"/>
      <c r="S23" s="25">
        <v>0.24</v>
      </c>
      <c r="T23" s="25">
        <v>8.67</v>
      </c>
      <c r="U23" s="25"/>
      <c r="V23" s="25">
        <v>0.43</v>
      </c>
      <c r="W23" s="81">
        <f t="shared" si="1"/>
        <v>97.27000000000001</v>
      </c>
      <c r="Y23" s="247" t="s">
        <v>122</v>
      </c>
      <c r="Z23" s="25">
        <v>1</v>
      </c>
      <c r="AA23" s="25">
        <v>39.75</v>
      </c>
      <c r="AB23" s="25">
        <v>2.41E-2</v>
      </c>
      <c r="AC23" s="25">
        <v>2.7300000000000001E-2</v>
      </c>
      <c r="AD23" s="25">
        <v>17.260000000000002</v>
      </c>
      <c r="AE23" s="25">
        <v>0.2576</v>
      </c>
      <c r="AF23" s="25">
        <v>42.57</v>
      </c>
      <c r="AG23" s="25">
        <v>0.30570000000000003</v>
      </c>
      <c r="AH23" s="25">
        <v>0.1704</v>
      </c>
      <c r="AI23" s="25"/>
      <c r="AJ23" s="51">
        <v>7.3000000000000001E-3</v>
      </c>
      <c r="AK23" s="26">
        <f t="shared" si="24"/>
        <v>100.37239999999998</v>
      </c>
      <c r="AL23" s="25">
        <f t="shared" si="25"/>
        <v>81.472165083009642</v>
      </c>
      <c r="AM23" s="51"/>
      <c r="AN23" s="51">
        <f t="shared" si="2"/>
        <v>32.529939531684448</v>
      </c>
      <c r="AO23" s="165">
        <f t="shared" si="3"/>
        <v>30.751345263742554</v>
      </c>
      <c r="AP23" s="48">
        <f t="shared" si="4"/>
        <v>100.35128479542699</v>
      </c>
      <c r="AQ23" s="48"/>
      <c r="AR23" s="54"/>
      <c r="AS23" s="54">
        <f t="shared" si="5"/>
        <v>3.4331044942492511E-3</v>
      </c>
      <c r="AT23" s="54">
        <f t="shared" si="6"/>
        <v>0.29201492701655046</v>
      </c>
      <c r="AU23" s="54">
        <f t="shared" si="7"/>
        <v>0.37066780725469745</v>
      </c>
      <c r="AV23" s="54">
        <f t="shared" si="8"/>
        <v>0.23543238243323983</v>
      </c>
      <c r="AW23" s="54">
        <f t="shared" si="9"/>
        <v>0.79447168817739811</v>
      </c>
      <c r="AX23" s="54">
        <f t="shared" si="10"/>
        <v>8.4555292246266452E-3</v>
      </c>
      <c r="AY23" s="54">
        <f t="shared" si="11"/>
        <v>0.93399749166002577</v>
      </c>
      <c r="AZ23" s="54">
        <f t="shared" si="12"/>
        <v>1.5121726742445378E-2</v>
      </c>
      <c r="BA23" s="54">
        <f t="shared" si="13"/>
        <v>0.33981653529016742</v>
      </c>
      <c r="BB23" s="84">
        <f t="shared" si="14"/>
        <v>6.6270726508184975E-3</v>
      </c>
      <c r="BC23" s="82">
        <f t="shared" si="28"/>
        <v>3.0000382649442194</v>
      </c>
      <c r="BD23" s="5">
        <v>4</v>
      </c>
      <c r="BE23" s="86"/>
      <c r="BF23" s="86">
        <f t="shared" si="29"/>
        <v>0.26677091639802963</v>
      </c>
      <c r="BG23" s="86">
        <f t="shared" si="30"/>
        <v>0.73322908360197037</v>
      </c>
      <c r="BH23" s="83">
        <f t="shared" si="31"/>
        <v>1.1756208629695974</v>
      </c>
      <c r="BI23" s="86">
        <f t="shared" si="32"/>
        <v>3.4747676148258244</v>
      </c>
      <c r="BJ23" s="86">
        <f t="shared" si="33"/>
        <v>0.45963890906757415</v>
      </c>
      <c r="BK23" s="86">
        <f t="shared" si="34"/>
        <v>0.56724806540331407</v>
      </c>
      <c r="BL23" s="86">
        <f t="shared" si="35"/>
        <v>0.1680973223538311</v>
      </c>
      <c r="BM23" s="86">
        <f t="shared" si="36"/>
        <v>0.26465461224285491</v>
      </c>
      <c r="BN23" s="86">
        <f t="shared" si="37"/>
        <v>0.388438060965559</v>
      </c>
      <c r="BO23" s="5">
        <f t="shared" si="15"/>
        <v>0.68186830099924289</v>
      </c>
      <c r="BP23" s="289"/>
      <c r="BQ23" s="290">
        <v>1200</v>
      </c>
      <c r="BR23" s="291">
        <f t="shared" si="38"/>
        <v>1473</v>
      </c>
      <c r="BS23" s="290">
        <v>8000</v>
      </c>
      <c r="BT23" s="292">
        <f t="shared" si="39"/>
        <v>0.8</v>
      </c>
      <c r="BU23" s="292">
        <f t="shared" si="16"/>
        <v>0.1852783491699036</v>
      </c>
      <c r="BV23" s="83">
        <f t="shared" si="40"/>
        <v>0.8147216508300964</v>
      </c>
      <c r="BW23" s="293">
        <f t="shared" si="17"/>
        <v>1160.786701921352</v>
      </c>
      <c r="BX23" s="294">
        <f t="shared" si="18"/>
        <v>1138.1039110765905</v>
      </c>
      <c r="BY23" s="295">
        <f t="shared" si="19"/>
        <v>3.5750472188802318</v>
      </c>
      <c r="BZ23" s="295">
        <f t="shared" si="41"/>
        <v>-4.3425877689848873</v>
      </c>
      <c r="CA23" s="295">
        <f t="shared" si="20"/>
        <v>2.2385518608168247</v>
      </c>
      <c r="CB23" s="295">
        <f t="shared" si="21"/>
        <v>-5.679083127048294</v>
      </c>
      <c r="CC23" s="296"/>
      <c r="CD23" s="297">
        <f t="shared" si="22"/>
        <v>0.32938361259293458</v>
      </c>
      <c r="CE23" s="297">
        <f t="shared" si="23"/>
        <v>2.980349344978166E-3</v>
      </c>
      <c r="CF23" s="294">
        <f t="shared" si="26"/>
        <v>1368.5368384869537</v>
      </c>
      <c r="CG23" s="294">
        <f t="shared" si="27"/>
        <v>1370.9604900930567</v>
      </c>
    </row>
    <row r="24" spans="1:85" s="5" customFormat="1">
      <c r="A24" s="233" t="s">
        <v>248</v>
      </c>
      <c r="B24" s="24" t="s">
        <v>275</v>
      </c>
      <c r="C24" s="288" t="s">
        <v>323</v>
      </c>
      <c r="D24" s="268" t="s">
        <v>294</v>
      </c>
      <c r="E24" s="235" t="s">
        <v>277</v>
      </c>
      <c r="F24" s="26">
        <f t="shared" si="0"/>
        <v>82.927743957257718</v>
      </c>
      <c r="G24" s="4" t="s">
        <v>322</v>
      </c>
      <c r="H24" s="25" t="s">
        <v>248</v>
      </c>
      <c r="I24" s="25">
        <v>0.11</v>
      </c>
      <c r="J24" s="25">
        <v>6.17</v>
      </c>
      <c r="K24" s="25">
        <v>19.739999999999998</v>
      </c>
      <c r="L24" s="25">
        <v>46.54</v>
      </c>
      <c r="M24" s="25"/>
      <c r="N24" s="25">
        <v>0.53</v>
      </c>
      <c r="O24" s="25">
        <v>7.91</v>
      </c>
      <c r="P24" s="25"/>
      <c r="Q24" s="25"/>
      <c r="R24" s="25"/>
      <c r="S24" s="25">
        <v>0.14000000000000001</v>
      </c>
      <c r="T24" s="25">
        <v>16.96</v>
      </c>
      <c r="U24" s="25"/>
      <c r="V24" s="25">
        <v>0.2</v>
      </c>
      <c r="W24" s="81">
        <f t="shared" si="1"/>
        <v>98.3</v>
      </c>
      <c r="Y24" s="247" t="s">
        <v>123</v>
      </c>
      <c r="Z24" s="25">
        <v>1</v>
      </c>
      <c r="AA24" s="25">
        <v>39.799999999999997</v>
      </c>
      <c r="AB24" s="25">
        <v>2.1700000000000001E-2</v>
      </c>
      <c r="AC24" s="25">
        <v>3.8399999999999997E-2</v>
      </c>
      <c r="AD24" s="25">
        <v>16.079999999999998</v>
      </c>
      <c r="AE24" s="25">
        <v>0.2263</v>
      </c>
      <c r="AF24" s="25">
        <v>43.81</v>
      </c>
      <c r="AG24" s="25">
        <v>0.23100000000000001</v>
      </c>
      <c r="AH24" s="25">
        <v>0.19739999999999999</v>
      </c>
      <c r="AI24" s="25"/>
      <c r="AJ24" s="51">
        <v>1.72E-2</v>
      </c>
      <c r="AK24" s="26">
        <f t="shared" si="24"/>
        <v>100.42200000000001</v>
      </c>
      <c r="AL24" s="25">
        <f t="shared" si="25"/>
        <v>82.927743957257718</v>
      </c>
      <c r="AM24" s="51"/>
      <c r="AN24" s="51">
        <f t="shared" si="2"/>
        <v>27.908985077314984</v>
      </c>
      <c r="AO24" s="165">
        <f t="shared" si="3"/>
        <v>20.705728964975567</v>
      </c>
      <c r="AP24" s="5">
        <f t="shared" si="4"/>
        <v>100.37471404229055</v>
      </c>
      <c r="AR24" s="54"/>
      <c r="AS24" s="54">
        <f t="shared" si="5"/>
        <v>3.5551965463843198E-3</v>
      </c>
      <c r="AT24" s="54">
        <f t="shared" si="6"/>
        <v>0.1499724612713258</v>
      </c>
      <c r="AU24" s="54">
        <f t="shared" si="7"/>
        <v>0.75200452079637203</v>
      </c>
      <c r="AV24" s="54">
        <f t="shared" si="8"/>
        <v>0.43356763526381054</v>
      </c>
      <c r="AW24" s="54">
        <f t="shared" si="9"/>
        <v>0.50360349867918874</v>
      </c>
      <c r="AX24" s="54">
        <f t="shared" si="10"/>
        <v>3.7024247705346367E-3</v>
      </c>
      <c r="AY24" s="54">
        <f t="shared" si="11"/>
        <v>0.75438041564624558</v>
      </c>
      <c r="AZ24" s="54">
        <f t="shared" si="12"/>
        <v>1.4509679505123911E-2</v>
      </c>
      <c r="BA24" s="54">
        <f t="shared" si="13"/>
        <v>0.3810981316017612</v>
      </c>
      <c r="BB24" s="84">
        <f t="shared" si="14"/>
        <v>3.6393383465901773E-3</v>
      </c>
      <c r="BC24" s="82">
        <f t="shared" si="28"/>
        <v>3.0000333024273367</v>
      </c>
      <c r="BD24" s="5">
        <v>4</v>
      </c>
      <c r="BE24" s="86"/>
      <c r="BF24" s="86">
        <f t="shared" si="29"/>
        <v>0.33562776903659386</v>
      </c>
      <c r="BG24" s="86">
        <f t="shared" si="30"/>
        <v>0.66437223096340614</v>
      </c>
      <c r="BH24" s="83">
        <f t="shared" si="31"/>
        <v>1.497965001483855</v>
      </c>
      <c r="BI24" s="86">
        <f t="shared" si="32"/>
        <v>4.7716337629769487</v>
      </c>
      <c r="BJ24" s="86">
        <f t="shared" si="33"/>
        <v>0.40032586501651324</v>
      </c>
      <c r="BK24" s="86">
        <f t="shared" si="34"/>
        <v>0.29813565999854019</v>
      </c>
      <c r="BL24" s="86">
        <f t="shared" si="35"/>
        <v>0.25667409665024282</v>
      </c>
      <c r="BM24" s="86">
        <f t="shared" si="36"/>
        <v>0.44519024335121704</v>
      </c>
      <c r="BN24" s="86">
        <f t="shared" si="37"/>
        <v>0.3657032876890553</v>
      </c>
      <c r="BO24" s="5">
        <f t="shared" si="15"/>
        <v>0.40108337225301621</v>
      </c>
      <c r="BP24" s="289"/>
      <c r="BQ24" s="290">
        <v>1200</v>
      </c>
      <c r="BR24" s="291">
        <f t="shared" si="38"/>
        <v>1473</v>
      </c>
      <c r="BS24" s="290">
        <v>8000</v>
      </c>
      <c r="BT24" s="292">
        <f t="shared" si="39"/>
        <v>0.8</v>
      </c>
      <c r="BU24" s="292">
        <f t="shared" si="16"/>
        <v>0.17072256042742284</v>
      </c>
      <c r="BV24" s="83">
        <f t="shared" si="40"/>
        <v>0.82927743957257716</v>
      </c>
      <c r="BW24" s="293">
        <f t="shared" si="17"/>
        <v>895.20944482154482</v>
      </c>
      <c r="BX24" s="294">
        <f t="shared" si="18"/>
        <v>870.27724489579214</v>
      </c>
      <c r="BY24" s="295">
        <f t="shared" si="19"/>
        <v>2.7619834686895586</v>
      </c>
      <c r="BZ24" s="295">
        <f t="shared" si="41"/>
        <v>-5.1556515191755601</v>
      </c>
      <c r="CA24" s="295">
        <f t="shared" si="20"/>
        <v>1.3818023990341906</v>
      </c>
      <c r="CB24" s="295">
        <f t="shared" si="21"/>
        <v>-6.5358325888309281</v>
      </c>
      <c r="CC24" s="296"/>
      <c r="CD24" s="297">
        <f t="shared" si="22"/>
        <v>0.30836243949323022</v>
      </c>
      <c r="CE24" s="297">
        <f t="shared" si="23"/>
        <v>1.9452887537993921E-3</v>
      </c>
      <c r="CF24" s="294">
        <f t="shared" si="26"/>
        <v>1274.5721609458283</v>
      </c>
      <c r="CG24" s="294">
        <f t="shared" si="27"/>
        <v>1278.1148822007913</v>
      </c>
    </row>
    <row r="25" spans="1:85" s="29" customFormat="1" ht="14.65" thickBot="1">
      <c r="A25" s="248" t="s">
        <v>249</v>
      </c>
      <c r="B25" s="8" t="s">
        <v>275</v>
      </c>
      <c r="C25" s="298" t="s">
        <v>323</v>
      </c>
      <c r="D25" s="255" t="s">
        <v>294</v>
      </c>
      <c r="E25" s="236" t="s">
        <v>277</v>
      </c>
      <c r="F25" s="28">
        <f t="shared" si="0"/>
        <v>81.666819768204704</v>
      </c>
      <c r="G25" s="8" t="s">
        <v>322</v>
      </c>
      <c r="H25" s="27" t="s">
        <v>249</v>
      </c>
      <c r="I25" s="27">
        <v>0.22</v>
      </c>
      <c r="J25" s="27">
        <v>4.82</v>
      </c>
      <c r="K25" s="27">
        <v>14.3</v>
      </c>
      <c r="L25" s="27">
        <v>49.79</v>
      </c>
      <c r="M25" s="27"/>
      <c r="N25" s="27">
        <v>0.26</v>
      </c>
      <c r="O25" s="27">
        <v>8.91</v>
      </c>
      <c r="P25" s="27"/>
      <c r="Q25" s="27"/>
      <c r="R25" s="27"/>
      <c r="S25" s="27">
        <v>0.19</v>
      </c>
      <c r="T25" s="27">
        <v>17.28</v>
      </c>
      <c r="U25" s="27"/>
      <c r="V25" s="25">
        <v>0.26</v>
      </c>
      <c r="W25" s="88">
        <f t="shared" si="1"/>
        <v>96.03</v>
      </c>
      <c r="Y25" s="250" t="s">
        <v>126</v>
      </c>
      <c r="Z25" s="27">
        <v>1</v>
      </c>
      <c r="AA25" s="27">
        <v>39.68</v>
      </c>
      <c r="AB25" s="27">
        <v>2.2700000000000001E-2</v>
      </c>
      <c r="AC25" s="27">
        <v>3.0700000000000002E-2</v>
      </c>
      <c r="AD25" s="27">
        <v>17.11</v>
      </c>
      <c r="AE25" s="27">
        <v>0.25</v>
      </c>
      <c r="AF25" s="27">
        <v>42.75</v>
      </c>
      <c r="AG25" s="27">
        <v>0.32079999999999997</v>
      </c>
      <c r="AH25" s="27">
        <v>0.1754</v>
      </c>
      <c r="AI25" s="27"/>
      <c r="AJ25" s="27">
        <v>1.61E-2</v>
      </c>
      <c r="AK25" s="28">
        <f t="shared" si="24"/>
        <v>100.3557</v>
      </c>
      <c r="AL25" s="27">
        <f t="shared" si="25"/>
        <v>81.666819768204704</v>
      </c>
      <c r="AM25" s="27"/>
      <c r="AN25" s="27">
        <f t="shared" si="2"/>
        <v>24.073440830985916</v>
      </c>
      <c r="AO25" s="170">
        <f t="shared" si="3"/>
        <v>28.580305811307049</v>
      </c>
      <c r="AP25" s="29">
        <f t="shared" si="4"/>
        <v>98.893746642292967</v>
      </c>
      <c r="AR25" s="9"/>
      <c r="AS25" s="9">
        <f t="shared" si="5"/>
        <v>7.3487496453499062E-3</v>
      </c>
      <c r="AT25" s="9">
        <f t="shared" si="6"/>
        <v>0.12108580526973181</v>
      </c>
      <c r="AU25" s="9">
        <f t="shared" si="7"/>
        <v>0.56302694786759389</v>
      </c>
      <c r="AV25" s="9">
        <f t="shared" si="8"/>
        <v>0.45655655987095578</v>
      </c>
      <c r="AW25" s="9">
        <f t="shared" si="9"/>
        <v>0.7184307729144197</v>
      </c>
      <c r="AX25" s="9">
        <f t="shared" si="10"/>
        <v>4.9745000133950201E-3</v>
      </c>
      <c r="AY25" s="9">
        <f t="shared" si="11"/>
        <v>0.67251871058536083</v>
      </c>
      <c r="AZ25" s="9">
        <f t="shared" si="12"/>
        <v>7.3565660615346994E-3</v>
      </c>
      <c r="BA25" s="9">
        <f t="shared" si="13"/>
        <v>0.44366777054471779</v>
      </c>
      <c r="BB25" s="88">
        <f t="shared" si="14"/>
        <v>5.1046719786766058E-3</v>
      </c>
      <c r="BC25" s="89">
        <f t="shared" si="28"/>
        <v>3.0000710547517357</v>
      </c>
      <c r="BD25" s="29">
        <v>4</v>
      </c>
      <c r="BE25" s="90"/>
      <c r="BF25" s="90">
        <f t="shared" si="29"/>
        <v>0.39748534679933423</v>
      </c>
      <c r="BG25" s="90">
        <f t="shared" si="30"/>
        <v>0.60251465320066577</v>
      </c>
      <c r="BH25" s="90">
        <f t="shared" si="31"/>
        <v>0.93609396470753914</v>
      </c>
      <c r="BI25" s="90">
        <f t="shared" si="32"/>
        <v>2.5787716458968459</v>
      </c>
      <c r="BJ25" s="90">
        <f t="shared" si="33"/>
        <v>0.51650385685234912</v>
      </c>
      <c r="BK25" s="90">
        <f t="shared" si="34"/>
        <v>0.41336298608806959</v>
      </c>
      <c r="BL25" s="90">
        <f t="shared" si="35"/>
        <v>0.26268861248909192</v>
      </c>
      <c r="BM25" s="90">
        <f t="shared" si="36"/>
        <v>0.32394840142283843</v>
      </c>
      <c r="BN25" s="90">
        <f t="shared" si="37"/>
        <v>0.44778731355080909</v>
      </c>
      <c r="BO25" s="29">
        <f t="shared" si="15"/>
        <v>0.56063556468799847</v>
      </c>
      <c r="BP25" s="299"/>
      <c r="BQ25" s="300">
        <v>1200</v>
      </c>
      <c r="BR25" s="299">
        <f t="shared" si="38"/>
        <v>1473</v>
      </c>
      <c r="BS25" s="300">
        <v>8000</v>
      </c>
      <c r="BT25" s="301">
        <f t="shared" si="39"/>
        <v>0.8</v>
      </c>
      <c r="BU25" s="301">
        <f t="shared" si="16"/>
        <v>0.18333180231795299</v>
      </c>
      <c r="BV25" s="83">
        <f t="shared" si="40"/>
        <v>0.81666819768204701</v>
      </c>
      <c r="BW25" s="302">
        <f t="shared" si="17"/>
        <v>1151.7417198215896</v>
      </c>
      <c r="BX25" s="303">
        <f t="shared" si="18"/>
        <v>1124.0913092134256</v>
      </c>
      <c r="BY25" s="304">
        <f t="shared" si="19"/>
        <v>2.9376736405203463</v>
      </c>
      <c r="BZ25" s="304">
        <f t="shared" si="41"/>
        <v>-4.9799613473447728</v>
      </c>
      <c r="CA25" s="304">
        <f t="shared" si="20"/>
        <v>1.7311816951971346</v>
      </c>
      <c r="CB25" s="304">
        <f t="shared" si="21"/>
        <v>-6.1864532926679843</v>
      </c>
      <c r="CC25" s="305"/>
      <c r="CD25" s="306">
        <f t="shared" si="22"/>
        <v>0.38539604534915994</v>
      </c>
      <c r="CE25" s="306">
        <f t="shared" si="23"/>
        <v>2.146853146853147E-3</v>
      </c>
      <c r="CF25" s="303">
        <f t="shared" si="26"/>
        <v>1279.9722206779034</v>
      </c>
      <c r="CG25" s="303">
        <f t="shared" si="27"/>
        <v>1283.0240726178029</v>
      </c>
    </row>
    <row r="26" spans="1:85" s="5" customFormat="1">
      <c r="A26" s="251" t="s">
        <v>250</v>
      </c>
      <c r="B26" s="24" t="s">
        <v>275</v>
      </c>
      <c r="C26" s="288" t="s">
        <v>323</v>
      </c>
      <c r="D26" s="268" t="s">
        <v>294</v>
      </c>
      <c r="E26" s="235" t="s">
        <v>277</v>
      </c>
      <c r="F26" s="26">
        <f t="shared" si="0"/>
        <v>78.114960663357721</v>
      </c>
      <c r="G26" s="4" t="s">
        <v>322</v>
      </c>
      <c r="H26" s="25" t="s">
        <v>250</v>
      </c>
      <c r="I26" s="25">
        <v>0.08</v>
      </c>
      <c r="J26" s="25">
        <v>4.59</v>
      </c>
      <c r="K26" s="25">
        <v>12.9</v>
      </c>
      <c r="L26" s="25">
        <v>55.67</v>
      </c>
      <c r="M26" s="25"/>
      <c r="N26" s="25">
        <v>0.41</v>
      </c>
      <c r="O26" s="25">
        <v>7.36</v>
      </c>
      <c r="P26" s="25"/>
      <c r="Q26" s="25"/>
      <c r="R26" s="25"/>
      <c r="S26" s="25">
        <v>0.08</v>
      </c>
      <c r="T26" s="25">
        <v>13.68</v>
      </c>
      <c r="U26" s="25"/>
      <c r="V26" s="25">
        <v>0.2</v>
      </c>
      <c r="W26" s="252">
        <f t="shared" si="1"/>
        <v>94.970000000000013</v>
      </c>
      <c r="X26" s="24"/>
      <c r="Y26" s="247" t="s">
        <v>252</v>
      </c>
      <c r="Z26" s="51">
        <v>1</v>
      </c>
      <c r="AA26" s="51">
        <v>38.4</v>
      </c>
      <c r="AB26" s="51">
        <v>1.9E-2</v>
      </c>
      <c r="AC26" s="51">
        <v>3.5299999999999998E-2</v>
      </c>
      <c r="AD26" s="51">
        <v>19.95</v>
      </c>
      <c r="AE26" s="51">
        <v>0.41560000000000002</v>
      </c>
      <c r="AF26" s="51">
        <v>39.94</v>
      </c>
      <c r="AG26" s="51">
        <v>0.28839999999999999</v>
      </c>
      <c r="AH26" s="51">
        <v>8.0799999999999997E-2</v>
      </c>
      <c r="AI26" s="51"/>
      <c r="AJ26" s="51">
        <v>5.1999999999999998E-3</v>
      </c>
      <c r="AK26" s="26">
        <f t="shared" si="24"/>
        <v>99.134299999999982</v>
      </c>
      <c r="AL26" s="25">
        <f t="shared" si="25"/>
        <v>78.114960663357721</v>
      </c>
      <c r="AM26" s="51"/>
      <c r="AN26" s="51">
        <f t="shared" si="2"/>
        <v>25.539723414071361</v>
      </c>
      <c r="AO26" s="165">
        <f t="shared" si="3"/>
        <v>33.485526323548164</v>
      </c>
      <c r="AP26" s="5">
        <f t="shared" si="4"/>
        <v>98.325249737619515</v>
      </c>
      <c r="AR26" s="54"/>
      <c r="AS26" s="54">
        <f t="shared" si="5"/>
        <v>2.7393605100270941E-3</v>
      </c>
      <c r="AT26" s="54">
        <f t="shared" si="6"/>
        <v>0.11820267745434196</v>
      </c>
      <c r="AU26" s="54">
        <f t="shared" si="7"/>
        <v>0.52065649085747168</v>
      </c>
      <c r="AV26" s="54">
        <f t="shared" si="8"/>
        <v>0.37051464513791366</v>
      </c>
      <c r="AW26" s="54">
        <f t="shared" si="9"/>
        <v>0.86286651716565022</v>
      </c>
      <c r="AX26" s="54">
        <f t="shared" si="10"/>
        <v>3.9226044478011647E-3</v>
      </c>
      <c r="AY26" s="54">
        <f t="shared" si="11"/>
        <v>0.73139304302878638</v>
      </c>
      <c r="AZ26" s="54">
        <f t="shared" si="12"/>
        <v>1.1891977542551189E-2</v>
      </c>
      <c r="BA26" s="54">
        <f t="shared" si="13"/>
        <v>0.37568722203851607</v>
      </c>
      <c r="BB26" s="84">
        <f t="shared" si="14"/>
        <v>2.2032950481532341E-3</v>
      </c>
      <c r="BC26" s="82">
        <f t="shared" si="28"/>
        <v>3.0000778332312126</v>
      </c>
      <c r="BD26" s="5">
        <v>4</v>
      </c>
      <c r="BE26" s="86"/>
      <c r="BF26" s="86">
        <f t="shared" si="29"/>
        <v>0.33934957915239961</v>
      </c>
      <c r="BG26" s="86">
        <f t="shared" si="30"/>
        <v>0.66065042084760039</v>
      </c>
      <c r="BH26" s="83">
        <f t="shared" si="31"/>
        <v>0.84763173501188949</v>
      </c>
      <c r="BI26" s="86">
        <f t="shared" si="32"/>
        <v>2.2645570010432734</v>
      </c>
      <c r="BJ26" s="86">
        <f t="shared" si="33"/>
        <v>0.54123339681300986</v>
      </c>
      <c r="BK26" s="86">
        <f t="shared" si="34"/>
        <v>0.49193158174833762</v>
      </c>
      <c r="BL26" s="86">
        <f t="shared" si="35"/>
        <v>0.21123528589605325</v>
      </c>
      <c r="BM26" s="86">
        <f t="shared" si="36"/>
        <v>0.2968331323556091</v>
      </c>
      <c r="BN26" s="86">
        <f t="shared" si="37"/>
        <v>0.4157614964987289</v>
      </c>
      <c r="BO26" s="5">
        <f t="shared" si="15"/>
        <v>0.62367341356944728</v>
      </c>
      <c r="BP26" s="289"/>
      <c r="BQ26" s="290">
        <v>1200</v>
      </c>
      <c r="BR26" s="291">
        <f t="shared" si="38"/>
        <v>1473</v>
      </c>
      <c r="BS26" s="290">
        <v>8000</v>
      </c>
      <c r="BT26" s="292">
        <f t="shared" si="39"/>
        <v>0.8</v>
      </c>
      <c r="BU26" s="292">
        <f t="shared" si="16"/>
        <v>0.21885039336642276</v>
      </c>
      <c r="BV26" s="83">
        <f t="shared" si="40"/>
        <v>0.78114960663357724</v>
      </c>
      <c r="BW26" s="293">
        <f t="shared" si="17"/>
        <v>1173.6997769743807</v>
      </c>
      <c r="BX26" s="294">
        <f t="shared" si="18"/>
        <v>1148.3236542411669</v>
      </c>
      <c r="BY26" s="295">
        <f t="shared" si="19"/>
        <v>2.9517536145582035</v>
      </c>
      <c r="BZ26" s="295">
        <f t="shared" si="41"/>
        <v>-4.9658813733069156</v>
      </c>
      <c r="CA26" s="295">
        <f t="shared" si="20"/>
        <v>1.5563851607584991</v>
      </c>
      <c r="CB26" s="295">
        <f t="shared" si="21"/>
        <v>-6.3612498271066205</v>
      </c>
      <c r="CC26" s="296"/>
      <c r="CD26" s="297">
        <f t="shared" si="22"/>
        <v>0.35496412332188326</v>
      </c>
      <c r="CE26" s="297">
        <f t="shared" si="23"/>
        <v>2.7364341085271316E-3</v>
      </c>
      <c r="CF26" s="294">
        <f t="shared" si="26"/>
        <v>1342.0172469944566</v>
      </c>
      <c r="CG26" s="294">
        <f t="shared" si="27"/>
        <v>1344.5799494997689</v>
      </c>
    </row>
    <row r="27" spans="1:85" s="5" customFormat="1">
      <c r="A27" s="251" t="s">
        <v>253</v>
      </c>
      <c r="B27" s="24" t="s">
        <v>279</v>
      </c>
      <c r="C27" s="288" t="s">
        <v>326</v>
      </c>
      <c r="D27" s="268" t="s">
        <v>294</v>
      </c>
      <c r="E27" s="235" t="s">
        <v>277</v>
      </c>
      <c r="F27" s="26">
        <f t="shared" si="0"/>
        <v>81.615437686990617</v>
      </c>
      <c r="G27" s="4" t="s">
        <v>322</v>
      </c>
      <c r="H27" s="25" t="s">
        <v>253</v>
      </c>
      <c r="I27" s="25">
        <v>0.06</v>
      </c>
      <c r="J27" s="25">
        <v>12.63</v>
      </c>
      <c r="K27" s="25">
        <v>8.86</v>
      </c>
      <c r="L27" s="25">
        <v>56.13</v>
      </c>
      <c r="M27" s="25"/>
      <c r="N27" s="25">
        <v>0.35</v>
      </c>
      <c r="O27" s="25">
        <v>8.6999999999999993</v>
      </c>
      <c r="P27" s="25"/>
      <c r="Q27" s="25"/>
      <c r="R27" s="25"/>
      <c r="S27" s="25">
        <v>0.17</v>
      </c>
      <c r="T27" s="25">
        <v>8.5399999999999991</v>
      </c>
      <c r="U27" s="25"/>
      <c r="V27" s="25">
        <v>0.24</v>
      </c>
      <c r="W27" s="252">
        <f t="shared" si="1"/>
        <v>95.679999999999993</v>
      </c>
      <c r="X27" s="24"/>
      <c r="Y27" s="247" t="s">
        <v>254</v>
      </c>
      <c r="Z27" s="51">
        <v>1</v>
      </c>
      <c r="AA27" s="51">
        <v>38.880000000000003</v>
      </c>
      <c r="AB27" s="51">
        <v>1.7999999999999999E-2</v>
      </c>
      <c r="AC27" s="51">
        <v>3.7600000000000001E-2</v>
      </c>
      <c r="AD27" s="51">
        <v>16.98</v>
      </c>
      <c r="AE27" s="51">
        <v>0.25569999999999998</v>
      </c>
      <c r="AF27" s="51">
        <v>42.28</v>
      </c>
      <c r="AG27" s="51">
        <v>0.36180000000000001</v>
      </c>
      <c r="AH27" s="51">
        <v>0.1646</v>
      </c>
      <c r="AI27" s="51"/>
      <c r="AJ27" s="51">
        <v>1.2800000000000001E-2</v>
      </c>
      <c r="AK27" s="26">
        <f t="shared" si="24"/>
        <v>98.990499999999997</v>
      </c>
      <c r="AL27" s="25">
        <f t="shared" si="25"/>
        <v>81.615437686990617</v>
      </c>
      <c r="AM27" s="51"/>
      <c r="AN27" s="51">
        <f t="shared" si="2"/>
        <v>30.175313686144133</v>
      </c>
      <c r="AO27" s="165">
        <f t="shared" si="3"/>
        <v>28.844950337692673</v>
      </c>
      <c r="AP27" s="5">
        <f t="shared" si="4"/>
        <v>98.570264023836813</v>
      </c>
      <c r="AR27" s="54"/>
      <c r="AS27" s="54">
        <f t="shared" si="5"/>
        <v>2.0632820207382783E-3</v>
      </c>
      <c r="AT27" s="54">
        <f t="shared" si="6"/>
        <v>0.32663755694377156</v>
      </c>
      <c r="AU27" s="54">
        <f t="shared" si="7"/>
        <v>0.35912318010586031</v>
      </c>
      <c r="AV27" s="54">
        <f t="shared" si="8"/>
        <v>0.23228720678939785</v>
      </c>
      <c r="AW27" s="54">
        <f t="shared" si="9"/>
        <v>0.74645635969919988</v>
      </c>
      <c r="AX27" s="54">
        <f t="shared" si="10"/>
        <v>4.7271991850600771E-3</v>
      </c>
      <c r="AY27" s="54">
        <f t="shared" si="11"/>
        <v>0.86782981867859488</v>
      </c>
      <c r="AZ27" s="54">
        <f t="shared" si="12"/>
        <v>1.0194980692406048E-2</v>
      </c>
      <c r="BA27" s="54">
        <f t="shared" si="13"/>
        <v>0.44598063534591059</v>
      </c>
      <c r="BB27" s="84">
        <f t="shared" si="14"/>
        <v>4.7019686847918039E-3</v>
      </c>
      <c r="BC27" s="82">
        <f t="shared" si="28"/>
        <v>3.0000021881457317</v>
      </c>
      <c r="BD27" s="5">
        <v>4</v>
      </c>
      <c r="BE27" s="86"/>
      <c r="BF27" s="86">
        <f t="shared" si="29"/>
        <v>0.33945584310108712</v>
      </c>
      <c r="BG27" s="86">
        <f t="shared" si="30"/>
        <v>0.66054415689891288</v>
      </c>
      <c r="BH27" s="83">
        <f t="shared" si="31"/>
        <v>1.1625995376719744</v>
      </c>
      <c r="BI27" s="86">
        <f t="shared" si="32"/>
        <v>3.424478404712207</v>
      </c>
      <c r="BJ27" s="86">
        <f t="shared" si="33"/>
        <v>0.46240646156638604</v>
      </c>
      <c r="BK27" s="86">
        <f t="shared" si="34"/>
        <v>0.55794522257116097</v>
      </c>
      <c r="BL27" s="86">
        <f t="shared" si="35"/>
        <v>0.17362506944782455</v>
      </c>
      <c r="BM27" s="86">
        <f t="shared" si="36"/>
        <v>0.26842970798101451</v>
      </c>
      <c r="BN27" s="86">
        <f t="shared" si="37"/>
        <v>0.39276822310957671</v>
      </c>
      <c r="BO27" s="5">
        <f t="shared" si="15"/>
        <v>0.67517200963290047</v>
      </c>
      <c r="BP27" s="289"/>
      <c r="BQ27" s="290">
        <v>1200</v>
      </c>
      <c r="BR27" s="291">
        <f t="shared" si="38"/>
        <v>1473</v>
      </c>
      <c r="BS27" s="290">
        <v>8000</v>
      </c>
      <c r="BT27" s="292">
        <f t="shared" si="39"/>
        <v>0.8</v>
      </c>
      <c r="BU27" s="292">
        <f t="shared" si="16"/>
        <v>0.18384562313009378</v>
      </c>
      <c r="BV27" s="83">
        <f t="shared" si="40"/>
        <v>0.81615437686990622</v>
      </c>
      <c r="BW27" s="293">
        <f t="shared" si="17"/>
        <v>1358.0618849051455</v>
      </c>
      <c r="BX27" s="294">
        <f t="shared" si="18"/>
        <v>1330.2172985993118</v>
      </c>
      <c r="BY27" s="295">
        <f t="shared" si="19"/>
        <v>3.4743910372094673</v>
      </c>
      <c r="BZ27" s="295">
        <f t="shared" si="41"/>
        <v>-4.4432439506556518</v>
      </c>
      <c r="CA27" s="295">
        <f t="shared" si="20"/>
        <v>2.2478328101848541</v>
      </c>
      <c r="CB27" s="295">
        <f t="shared" si="21"/>
        <v>-5.669802177680265</v>
      </c>
      <c r="CC27" s="296"/>
      <c r="CD27" s="297">
        <f t="shared" si="22"/>
        <v>0.33341436230402632</v>
      </c>
      <c r="CE27" s="297">
        <f t="shared" si="23"/>
        <v>4.2437923250564337E-3</v>
      </c>
      <c r="CF27" s="294">
        <f t="shared" si="26"/>
        <v>1458.9730449972392</v>
      </c>
      <c r="CG27" s="294">
        <f t="shared" si="27"/>
        <v>1460.2766031822239</v>
      </c>
    </row>
    <row r="28" spans="1:85" s="5" customFormat="1">
      <c r="A28" s="251" t="s">
        <v>255</v>
      </c>
      <c r="B28" s="24" t="s">
        <v>275</v>
      </c>
      <c r="C28" s="288" t="s">
        <v>323</v>
      </c>
      <c r="D28" s="268" t="s">
        <v>294</v>
      </c>
      <c r="E28" s="235" t="s">
        <v>277</v>
      </c>
      <c r="F28" s="26">
        <f t="shared" si="0"/>
        <v>82.401904823380917</v>
      </c>
      <c r="G28" s="4" t="s">
        <v>322</v>
      </c>
      <c r="H28" s="25" t="s">
        <v>255</v>
      </c>
      <c r="I28" s="25">
        <v>0.04</v>
      </c>
      <c r="J28" s="25">
        <v>1.7</v>
      </c>
      <c r="K28" s="25">
        <v>15.39</v>
      </c>
      <c r="L28" s="25">
        <v>41.23</v>
      </c>
      <c r="M28" s="25"/>
      <c r="N28" s="25">
        <v>0.28000000000000003</v>
      </c>
      <c r="O28" s="25">
        <v>9.51</v>
      </c>
      <c r="P28" s="25"/>
      <c r="Q28" s="25"/>
      <c r="R28" s="25"/>
      <c r="S28" s="25">
        <v>0.15</v>
      </c>
      <c r="T28" s="25">
        <v>27.64</v>
      </c>
      <c r="U28" s="25"/>
      <c r="V28" s="25">
        <v>0.13</v>
      </c>
      <c r="W28" s="252">
        <f t="shared" si="1"/>
        <v>96.070000000000007</v>
      </c>
      <c r="X28" s="24"/>
      <c r="Y28" s="247" t="s">
        <v>328</v>
      </c>
      <c r="Z28" s="51">
        <v>2</v>
      </c>
      <c r="AA28" s="51">
        <v>39.364999999999995</v>
      </c>
      <c r="AB28" s="51">
        <v>1.6E-2</v>
      </c>
      <c r="AC28" s="51">
        <v>3.4200000000000001E-2</v>
      </c>
      <c r="AD28" s="51">
        <v>16.405000000000001</v>
      </c>
      <c r="AE28" s="51">
        <v>0.26249999999999996</v>
      </c>
      <c r="AF28" s="51">
        <v>43.085000000000001</v>
      </c>
      <c r="AG28" s="51">
        <v>0.36495</v>
      </c>
      <c r="AH28" s="51">
        <v>0.16505</v>
      </c>
      <c r="AI28" s="51"/>
      <c r="AJ28" s="51">
        <v>2.1749999999999999E-2</v>
      </c>
      <c r="AK28" s="26">
        <f t="shared" si="24"/>
        <v>99.719449999999981</v>
      </c>
      <c r="AL28" s="25">
        <f t="shared" si="25"/>
        <v>82.401904823380917</v>
      </c>
      <c r="AM28" s="51"/>
      <c r="AN28" s="51">
        <f t="shared" si="2"/>
        <v>20.240266643479092</v>
      </c>
      <c r="AO28" s="165">
        <f t="shared" si="3"/>
        <v>23.327109753857417</v>
      </c>
      <c r="AP28" s="5">
        <f t="shared" si="4"/>
        <v>98.407376397336506</v>
      </c>
      <c r="AR28" s="54"/>
      <c r="AS28" s="54">
        <f t="shared" si="5"/>
        <v>1.3272929666254853E-3</v>
      </c>
      <c r="AT28" s="54">
        <f t="shared" si="6"/>
        <v>4.2423954449215644E-2</v>
      </c>
      <c r="AU28" s="54">
        <f t="shared" si="7"/>
        <v>0.60193250238821416</v>
      </c>
      <c r="AV28" s="54">
        <f t="shared" si="8"/>
        <v>0.72544571206906761</v>
      </c>
      <c r="AW28" s="54">
        <f t="shared" si="9"/>
        <v>0.58249877716451548</v>
      </c>
      <c r="AX28" s="54">
        <f t="shared" si="10"/>
        <v>2.4707879295082225E-3</v>
      </c>
      <c r="AY28" s="54">
        <f t="shared" si="11"/>
        <v>0.5616922902683088</v>
      </c>
      <c r="AZ28" s="54">
        <f t="shared" si="12"/>
        <v>7.8700203066207775E-3</v>
      </c>
      <c r="BA28" s="54">
        <f t="shared" si="13"/>
        <v>0.47041019400064293</v>
      </c>
      <c r="BB28" s="84">
        <f t="shared" si="14"/>
        <v>4.0033312657873155E-3</v>
      </c>
      <c r="BC28" s="82">
        <f t="shared" si="28"/>
        <v>3.0000748628085065</v>
      </c>
      <c r="BD28" s="5">
        <v>4</v>
      </c>
      <c r="BE28" s="86"/>
      <c r="BF28" s="86">
        <f t="shared" si="29"/>
        <v>0.45577856963869157</v>
      </c>
      <c r="BG28" s="86">
        <f t="shared" si="30"/>
        <v>0.54422143036130843</v>
      </c>
      <c r="BH28" s="83">
        <f t="shared" si="31"/>
        <v>0.96428063420581178</v>
      </c>
      <c r="BI28" s="86">
        <f t="shared" si="32"/>
        <v>2.6808762066699434</v>
      </c>
      <c r="BJ28" s="86">
        <f t="shared" si="33"/>
        <v>0.50909222571667567</v>
      </c>
      <c r="BK28" s="86">
        <f t="shared" si="34"/>
        <v>0.30499282399851257</v>
      </c>
      <c r="BL28" s="86">
        <f t="shared" si="35"/>
        <v>0.37983897143713208</v>
      </c>
      <c r="BM28" s="86">
        <f t="shared" si="36"/>
        <v>0.31516820456435535</v>
      </c>
      <c r="BN28" s="86">
        <f t="shared" si="37"/>
        <v>0.54652525118146289</v>
      </c>
      <c r="BO28" s="5">
        <f t="shared" si="15"/>
        <v>0.49179617865587044</v>
      </c>
      <c r="BP28" s="289"/>
      <c r="BQ28" s="290">
        <v>1200</v>
      </c>
      <c r="BR28" s="291">
        <f t="shared" si="38"/>
        <v>1473</v>
      </c>
      <c r="BS28" s="290">
        <v>8000</v>
      </c>
      <c r="BT28" s="292">
        <f t="shared" si="39"/>
        <v>0.8</v>
      </c>
      <c r="BU28" s="292">
        <f t="shared" si="16"/>
        <v>0.17598095176619077</v>
      </c>
      <c r="BV28" s="83">
        <f t="shared" si="40"/>
        <v>0.82401904823380923</v>
      </c>
      <c r="BW28" s="293">
        <f t="shared" si="17"/>
        <v>1114.8968800340519</v>
      </c>
      <c r="BX28" s="294">
        <f t="shared" si="18"/>
        <v>1096.4634943348337</v>
      </c>
      <c r="BY28" s="295">
        <f t="shared" si="19"/>
        <v>2.3915348459739905</v>
      </c>
      <c r="BZ28" s="295">
        <f t="shared" si="41"/>
        <v>-5.5261001418911286</v>
      </c>
      <c r="CA28" s="295">
        <f t="shared" si="20"/>
        <v>1.3109602454535807</v>
      </c>
      <c r="CB28" s="295">
        <f t="shared" si="21"/>
        <v>-6.6066747424115384</v>
      </c>
      <c r="CC28" s="296"/>
      <c r="CD28" s="297">
        <f t="shared" si="22"/>
        <v>0.48239459003685453</v>
      </c>
      <c r="CE28" s="297">
        <f t="shared" si="23"/>
        <v>2.2222222222222222E-3</v>
      </c>
      <c r="CF28" s="294">
        <f t="shared" si="26"/>
        <v>1267.2278771420936</v>
      </c>
      <c r="CG28" s="294">
        <f t="shared" si="27"/>
        <v>1269.8689455227177</v>
      </c>
    </row>
    <row r="29" spans="1:85" s="5" customFormat="1">
      <c r="A29" s="251" t="s">
        <v>256</v>
      </c>
      <c r="B29" s="24" t="s">
        <v>279</v>
      </c>
      <c r="C29" s="288" t="s">
        <v>326</v>
      </c>
      <c r="D29" s="268" t="s">
        <v>294</v>
      </c>
      <c r="E29" s="235" t="s">
        <v>277</v>
      </c>
      <c r="F29" s="26">
        <f t="shared" si="0"/>
        <v>82.401904823380917</v>
      </c>
      <c r="G29" s="4" t="s">
        <v>322</v>
      </c>
      <c r="H29" s="25" t="s">
        <v>256</v>
      </c>
      <c r="I29" s="25">
        <v>0.04</v>
      </c>
      <c r="J29" s="25">
        <v>8.6300000000000008</v>
      </c>
      <c r="K29" s="25">
        <v>10.66</v>
      </c>
      <c r="L29" s="25">
        <v>55.37</v>
      </c>
      <c r="M29" s="25"/>
      <c r="N29" s="25">
        <v>0.5</v>
      </c>
      <c r="O29" s="25">
        <v>6.32</v>
      </c>
      <c r="P29" s="25"/>
      <c r="Q29" s="25"/>
      <c r="R29" s="25"/>
      <c r="S29" s="25">
        <v>0.11</v>
      </c>
      <c r="T29" s="25">
        <v>14.4</v>
      </c>
      <c r="U29" s="25"/>
      <c r="V29" s="25">
        <v>0.21</v>
      </c>
      <c r="W29" s="252">
        <f t="shared" si="1"/>
        <v>96.239999999999981</v>
      </c>
      <c r="X29" s="24"/>
      <c r="Y29" s="247" t="s">
        <v>328</v>
      </c>
      <c r="Z29" s="51">
        <v>2</v>
      </c>
      <c r="AA29" s="51">
        <v>39.364999999999995</v>
      </c>
      <c r="AB29" s="51">
        <v>1.6E-2</v>
      </c>
      <c r="AC29" s="51">
        <v>3.4200000000000001E-2</v>
      </c>
      <c r="AD29" s="51">
        <v>16.405000000000001</v>
      </c>
      <c r="AE29" s="51">
        <v>0.26249999999999996</v>
      </c>
      <c r="AF29" s="51">
        <v>43.085000000000001</v>
      </c>
      <c r="AG29" s="51">
        <v>0.36495</v>
      </c>
      <c r="AH29" s="51">
        <v>0.16505</v>
      </c>
      <c r="AI29" s="51"/>
      <c r="AJ29" s="51">
        <v>2.1749999999999999E-2</v>
      </c>
      <c r="AK29" s="26">
        <f t="shared" si="24"/>
        <v>99.719449999999981</v>
      </c>
      <c r="AL29" s="25">
        <f t="shared" si="25"/>
        <v>82.401904823380917</v>
      </c>
      <c r="AM29" s="51"/>
      <c r="AN29" s="51">
        <f t="shared" si="2"/>
        <v>30.548359457612023</v>
      </c>
      <c r="AO29" s="165">
        <f t="shared" si="3"/>
        <v>27.585730765045536</v>
      </c>
      <c r="AP29" s="5">
        <f t="shared" si="4"/>
        <v>99.004090222657553</v>
      </c>
      <c r="AR29" s="54"/>
      <c r="AS29" s="54">
        <f t="shared" si="5"/>
        <v>1.3817657951850891E-3</v>
      </c>
      <c r="AT29" s="54">
        <f t="shared" si="6"/>
        <v>0.22420261146431769</v>
      </c>
      <c r="AU29" s="54">
        <f t="shared" si="7"/>
        <v>0.4340442667243446</v>
      </c>
      <c r="AV29" s="54">
        <f t="shared" si="8"/>
        <v>0.39345676435121657</v>
      </c>
      <c r="AW29" s="54">
        <f t="shared" si="9"/>
        <v>0.71711073390985114</v>
      </c>
      <c r="AX29" s="54">
        <f t="shared" si="10"/>
        <v>4.1550768260559335E-3</v>
      </c>
      <c r="AY29" s="54">
        <f t="shared" si="11"/>
        <v>0.88254685208441619</v>
      </c>
      <c r="AZ29" s="54">
        <f t="shared" si="12"/>
        <v>1.4630375428649563E-2</v>
      </c>
      <c r="BA29" s="54">
        <f t="shared" si="13"/>
        <v>0.32544749312731769</v>
      </c>
      <c r="BB29" s="84">
        <f t="shared" si="14"/>
        <v>3.0562621234084862E-3</v>
      </c>
      <c r="BC29" s="82">
        <f t="shared" si="28"/>
        <v>3.0000322018347627</v>
      </c>
      <c r="BD29" s="5">
        <v>4</v>
      </c>
      <c r="BE29" s="86"/>
      <c r="BF29" s="86">
        <f t="shared" si="29"/>
        <v>0.26941143757612057</v>
      </c>
      <c r="BG29" s="86">
        <f t="shared" si="30"/>
        <v>0.73058856242387948</v>
      </c>
      <c r="BH29" s="83">
        <f t="shared" si="31"/>
        <v>1.2306981479311705</v>
      </c>
      <c r="BI29" s="86">
        <f t="shared" si="32"/>
        <v>3.6893706345815507</v>
      </c>
      <c r="BJ29" s="86">
        <f t="shared" si="33"/>
        <v>0.44829014670919765</v>
      </c>
      <c r="BK29" s="86">
        <f t="shared" si="34"/>
        <v>0.46426600532634404</v>
      </c>
      <c r="BL29" s="86">
        <f t="shared" si="35"/>
        <v>0.25472858181611252</v>
      </c>
      <c r="BM29" s="86">
        <f t="shared" si="36"/>
        <v>0.28100541285754344</v>
      </c>
      <c r="BN29" s="86">
        <f t="shared" si="37"/>
        <v>0.47547585993918728</v>
      </c>
      <c r="BO29" s="5">
        <f t="shared" si="15"/>
        <v>0.62294889351545157</v>
      </c>
      <c r="BP29" s="289"/>
      <c r="BQ29" s="290">
        <v>1200</v>
      </c>
      <c r="BR29" s="291">
        <f t="shared" si="38"/>
        <v>1473</v>
      </c>
      <c r="BS29" s="290">
        <v>8000</v>
      </c>
      <c r="BT29" s="292">
        <f t="shared" si="39"/>
        <v>0.8</v>
      </c>
      <c r="BU29" s="292">
        <f t="shared" si="16"/>
        <v>0.17598095176619077</v>
      </c>
      <c r="BV29" s="83">
        <f t="shared" si="40"/>
        <v>0.82401904823380923</v>
      </c>
      <c r="BW29" s="293">
        <f t="shared" si="17"/>
        <v>1030.5955663351747</v>
      </c>
      <c r="BX29" s="294">
        <f t="shared" si="18"/>
        <v>1012.6265463489663</v>
      </c>
      <c r="BY29" s="295">
        <f t="shared" si="19"/>
        <v>3.3408737345784991</v>
      </c>
      <c r="BZ29" s="295">
        <f t="shared" si="41"/>
        <v>-4.5767612532866195</v>
      </c>
      <c r="CA29" s="295">
        <f t="shared" si="20"/>
        <v>2.0271479661830369</v>
      </c>
      <c r="CB29" s="295">
        <f t="shared" si="21"/>
        <v>-5.8904870216820822</v>
      </c>
      <c r="CC29" s="296"/>
      <c r="CD29" s="297">
        <f t="shared" si="22"/>
        <v>0.41210576597294224</v>
      </c>
      <c r="CE29" s="297">
        <f t="shared" si="23"/>
        <v>3.2082551594746719E-3</v>
      </c>
      <c r="CF29" s="294">
        <f t="shared" si="26"/>
        <v>1367.1471647420012</v>
      </c>
      <c r="CG29" s="294">
        <f t="shared" si="27"/>
        <v>1369.0629097675921</v>
      </c>
    </row>
    <row r="30" spans="1:85" s="5" customFormat="1">
      <c r="A30" s="251" t="s">
        <v>257</v>
      </c>
      <c r="B30" s="24" t="s">
        <v>275</v>
      </c>
      <c r="C30" s="288" t="s">
        <v>323</v>
      </c>
      <c r="D30" s="268" t="s">
        <v>294</v>
      </c>
      <c r="E30" s="235" t="s">
        <v>277</v>
      </c>
      <c r="F30" s="26">
        <f>100*AF30/40.3/(AF30/40.3+AD30/71.85)</f>
        <v>82.680101253431616</v>
      </c>
      <c r="G30" s="4" t="s">
        <v>322</v>
      </c>
      <c r="H30" s="25" t="s">
        <v>257</v>
      </c>
      <c r="I30" s="25">
        <v>0.05</v>
      </c>
      <c r="J30" s="25">
        <v>3.79</v>
      </c>
      <c r="K30" s="25">
        <v>13.2</v>
      </c>
      <c r="L30" s="25">
        <v>45.86</v>
      </c>
      <c r="M30" s="25"/>
      <c r="N30" s="25">
        <v>0.3</v>
      </c>
      <c r="O30" s="25">
        <v>9.08</v>
      </c>
      <c r="P30" s="25"/>
      <c r="Q30" s="25"/>
      <c r="R30" s="25"/>
      <c r="S30" s="25">
        <v>0.16</v>
      </c>
      <c r="T30" s="25">
        <v>23.27</v>
      </c>
      <c r="U30" s="25"/>
      <c r="V30" s="25">
        <v>0.16</v>
      </c>
      <c r="W30" s="252">
        <f t="shared" si="1"/>
        <v>95.86999999999999</v>
      </c>
      <c r="X30" s="24"/>
      <c r="Y30" s="247" t="s">
        <v>329</v>
      </c>
      <c r="Z30" s="51">
        <v>2</v>
      </c>
      <c r="AA30" s="51">
        <v>39.254999999999995</v>
      </c>
      <c r="AB30" s="51">
        <v>1.49E-2</v>
      </c>
      <c r="AC30" s="51">
        <v>3.1149999999999997E-2</v>
      </c>
      <c r="AD30" s="51">
        <v>16.420000000000002</v>
      </c>
      <c r="AE30" s="51">
        <v>0.25595000000000001</v>
      </c>
      <c r="AF30" s="51">
        <v>43.965000000000003</v>
      </c>
      <c r="AG30" s="51">
        <v>0.34944999999999998</v>
      </c>
      <c r="AH30" s="51">
        <v>0.18080000000000002</v>
      </c>
      <c r="AI30" s="51"/>
      <c r="AJ30" s="51">
        <v>1.1599999999999999E-2</v>
      </c>
      <c r="AK30" s="26">
        <f t="shared" si="24"/>
        <v>100.48385</v>
      </c>
      <c r="AL30" s="25">
        <f>100*AF30/40.3/(AF30/40.3+AD30/71.85)</f>
        <v>82.680101253431616</v>
      </c>
      <c r="AM30" s="51"/>
      <c r="AN30" s="51">
        <f t="shared" si="2"/>
        <v>22.395950962700354</v>
      </c>
      <c r="AO30" s="165">
        <f t="shared" si="3"/>
        <v>26.076960477105629</v>
      </c>
      <c r="AP30" s="5">
        <f t="shared" si="4"/>
        <v>98.482911439805989</v>
      </c>
      <c r="AR30" s="54"/>
      <c r="AS30" s="54">
        <f t="shared" si="5"/>
        <v>1.681102227260286E-3</v>
      </c>
      <c r="AT30" s="54">
        <f t="shared" si="6"/>
        <v>9.5833809874520018E-2</v>
      </c>
      <c r="AU30" s="54">
        <f t="shared" si="7"/>
        <v>0.52311891464736437</v>
      </c>
      <c r="AV30" s="54">
        <f t="shared" si="8"/>
        <v>0.61884313863245033</v>
      </c>
      <c r="AW30" s="54">
        <f t="shared" si="9"/>
        <v>0.65979401466872523</v>
      </c>
      <c r="AX30" s="54">
        <f t="shared" si="10"/>
        <v>3.0812676110516242E-3</v>
      </c>
      <c r="AY30" s="54">
        <f t="shared" si="11"/>
        <v>0.62975127965887645</v>
      </c>
      <c r="AZ30" s="54">
        <f t="shared" si="12"/>
        <v>8.5439046661463704E-3</v>
      </c>
      <c r="BA30" s="54">
        <f t="shared" si="13"/>
        <v>0.45509218067552509</v>
      </c>
      <c r="BB30" s="84">
        <f t="shared" si="14"/>
        <v>4.326807456504162E-3</v>
      </c>
      <c r="BC30" s="82">
        <f>SUM(AS30:BB30)</f>
        <v>3.0000664201184239</v>
      </c>
      <c r="BD30" s="5">
        <v>4</v>
      </c>
      <c r="BE30" s="86"/>
      <c r="BF30" s="86">
        <f>BA30/(BA30+AY30)</f>
        <v>0.41950032176554169</v>
      </c>
      <c r="BG30" s="86">
        <f>1-BF30</f>
        <v>0.58049967823445825</v>
      </c>
      <c r="BH30" s="83">
        <f>AY30/AW30</f>
        <v>0.95446649356931057</v>
      </c>
      <c r="BI30" s="86">
        <f>10^((LOG10(BH30)+0.343)/0.764)</f>
        <v>2.6452189933265311</v>
      </c>
      <c r="BJ30" s="86">
        <f>AW30/(AW30+AY30)</f>
        <v>0.51164857688287468</v>
      </c>
      <c r="BK30" s="86">
        <f>AW30/(AU30+AV30+AW30)</f>
        <v>0.36619497300761678</v>
      </c>
      <c r="BL30" s="86">
        <f>AV30/(AU30+AV30+AW30)</f>
        <v>0.34346665991088265</v>
      </c>
      <c r="BM30" s="86">
        <f>AU30/(AU30+AV30+AW30)</f>
        <v>0.29033836708150063</v>
      </c>
      <c r="BN30" s="86">
        <f>AV30/(AV30+AU30)</f>
        <v>0.54191217374962575</v>
      </c>
      <c r="BO30" s="5">
        <f>AW30/(AU30+AW30)</f>
        <v>0.55777056646949519</v>
      </c>
      <c r="BP30" s="289"/>
      <c r="BQ30" s="290">
        <v>1200</v>
      </c>
      <c r="BR30" s="291">
        <f>BQ30+273</f>
        <v>1473</v>
      </c>
      <c r="BS30" s="290">
        <v>8000</v>
      </c>
      <c r="BT30" s="292">
        <f>BS30/10000</f>
        <v>0.8</v>
      </c>
      <c r="BU30" s="292">
        <f t="shared" si="16"/>
        <v>0.17319898746568385</v>
      </c>
      <c r="BV30" s="83">
        <f>1-BU30</f>
        <v>0.82680101253431615</v>
      </c>
      <c r="BW30" s="293">
        <f t="shared" si="17"/>
        <v>1141.9598296651629</v>
      </c>
      <c r="BX30" s="294">
        <f t="shared" si="18"/>
        <v>1120.9522529849462</v>
      </c>
      <c r="BY30" s="295">
        <f t="shared" si="19"/>
        <v>2.7699795676139356</v>
      </c>
      <c r="BZ30" s="295">
        <f>(82.75+0.00484*(BR30)-30681/(BR30)-24.45*LOG10(BR30)+940*BT30/(BR30)-0.02*BT30)+BY30</f>
        <v>-5.1476554202511835</v>
      </c>
      <c r="CA30" s="295">
        <f t="shared" si="20"/>
        <v>1.6737482638021297</v>
      </c>
      <c r="CB30" s="295">
        <f>(82.75+0.00484*(BR30)-30681/(BR30)-24.45*LOG10(BR30)+940*BT30/(BR30)-0.02*BT30)+CA30</f>
        <v>-6.2438867240629889</v>
      </c>
      <c r="CC30" s="296"/>
      <c r="CD30" s="297">
        <f t="shared" si="22"/>
        <v>0.47775253235318565</v>
      </c>
      <c r="CE30" s="297">
        <f t="shared" si="23"/>
        <v>2.3598484848484846E-3</v>
      </c>
      <c r="CF30" s="294">
        <f>10000/(0.512+0.873*CD30-LN(CE30)*0.91)-273</f>
        <v>1281.288592244998</v>
      </c>
      <c r="CG30" s="294">
        <f>10000/(0.575+0.884*CD30-0.897*LN(CE30))-273</f>
        <v>1283.8011731349638</v>
      </c>
    </row>
    <row r="31" spans="1:85" s="5" customFormat="1">
      <c r="A31" s="251" t="s">
        <v>258</v>
      </c>
      <c r="B31" s="24" t="s">
        <v>275</v>
      </c>
      <c r="C31" s="288" t="s">
        <v>323</v>
      </c>
      <c r="D31" s="268" t="s">
        <v>294</v>
      </c>
      <c r="E31" s="235" t="s">
        <v>277</v>
      </c>
      <c r="F31" s="26">
        <f>100*AF31/40.3/(AF31/40.3+AD31/71.85)</f>
        <v>82.680101253431616</v>
      </c>
      <c r="G31" s="4" t="s">
        <v>322</v>
      </c>
      <c r="H31" s="25" t="s">
        <v>258</v>
      </c>
      <c r="I31" s="25">
        <v>0.06</v>
      </c>
      <c r="J31" s="25">
        <v>6.66</v>
      </c>
      <c r="K31" s="25">
        <v>11.4</v>
      </c>
      <c r="L31" s="25">
        <v>49.9</v>
      </c>
      <c r="M31" s="25"/>
      <c r="N31" s="25">
        <v>0.32</v>
      </c>
      <c r="O31" s="25">
        <v>8.6</v>
      </c>
      <c r="P31" s="25"/>
      <c r="Q31" s="25"/>
      <c r="R31" s="25"/>
      <c r="S31" s="25">
        <v>0.16</v>
      </c>
      <c r="T31" s="25">
        <v>17.66</v>
      </c>
      <c r="U31" s="25"/>
      <c r="V31" s="25">
        <v>0.19</v>
      </c>
      <c r="W31" s="252">
        <f t="shared" si="1"/>
        <v>94.949999999999974</v>
      </c>
      <c r="X31" s="24"/>
      <c r="Y31" s="247" t="s">
        <v>329</v>
      </c>
      <c r="Z31" s="51">
        <v>2</v>
      </c>
      <c r="AA31" s="51">
        <v>39.254999999999995</v>
      </c>
      <c r="AB31" s="51">
        <v>1.49E-2</v>
      </c>
      <c r="AC31" s="51">
        <v>3.1149999999999997E-2</v>
      </c>
      <c r="AD31" s="51">
        <v>16.420000000000002</v>
      </c>
      <c r="AE31" s="51">
        <v>0.25595000000000001</v>
      </c>
      <c r="AF31" s="51">
        <v>43.965000000000003</v>
      </c>
      <c r="AG31" s="51">
        <v>0.34944999999999998</v>
      </c>
      <c r="AH31" s="51">
        <v>0.18080000000000002</v>
      </c>
      <c r="AI31" s="51"/>
      <c r="AJ31" s="51">
        <v>1.1599999999999999E-2</v>
      </c>
      <c r="AK31" s="26">
        <f t="shared" si="24"/>
        <v>100.48385</v>
      </c>
      <c r="AL31" s="25">
        <f>100*AF31/40.3/(AF31/40.3+AD31/71.85)</f>
        <v>82.680101253431616</v>
      </c>
      <c r="AM31" s="51"/>
      <c r="AN31" s="51">
        <f t="shared" si="2"/>
        <v>25.147340787056063</v>
      </c>
      <c r="AO31" s="165">
        <f t="shared" si="3"/>
        <v>27.509067807228199</v>
      </c>
      <c r="AP31" s="5">
        <f t="shared" si="4"/>
        <v>97.706408594284255</v>
      </c>
      <c r="AR31" s="54"/>
      <c r="AS31" s="54">
        <f t="shared" si="5"/>
        <v>2.0563309740380489E-3</v>
      </c>
      <c r="AT31" s="54">
        <f t="shared" si="6"/>
        <v>0.17166091406162762</v>
      </c>
      <c r="AU31" s="54">
        <f t="shared" si="7"/>
        <v>0.46052052498410778</v>
      </c>
      <c r="AV31" s="54">
        <f t="shared" si="8"/>
        <v>0.47873209436638431</v>
      </c>
      <c r="AW31" s="54">
        <f t="shared" si="9"/>
        <v>0.70948778736649576</v>
      </c>
      <c r="AX31" s="54">
        <f t="shared" si="10"/>
        <v>3.7297582632240039E-3</v>
      </c>
      <c r="AY31" s="54">
        <f t="shared" si="11"/>
        <v>0.72079085120078534</v>
      </c>
      <c r="AZ31" s="54">
        <f t="shared" si="12"/>
        <v>9.2897230132466032E-3</v>
      </c>
      <c r="BA31" s="54">
        <f t="shared" si="13"/>
        <v>0.43936921474304919</v>
      </c>
      <c r="BB31" s="84">
        <f t="shared" si="14"/>
        <v>4.4104735012696697E-3</v>
      </c>
      <c r="BC31" s="82">
        <f>SUM(AS31:BB31)</f>
        <v>3.0000476724742287</v>
      </c>
      <c r="BD31" s="5">
        <v>4</v>
      </c>
      <c r="BE31" s="86"/>
      <c r="BF31" s="86">
        <f>BA31/(BA31+AY31)</f>
        <v>0.37871430644839993</v>
      </c>
      <c r="BG31" s="86">
        <f>1-BF31</f>
        <v>0.62128569355160002</v>
      </c>
      <c r="BH31" s="83">
        <f>AY31/AW31</f>
        <v>1.0159313014763012</v>
      </c>
      <c r="BI31" s="86">
        <f>10^((LOG10(BH31)+0.343)/0.764)</f>
        <v>2.8703682640255739</v>
      </c>
      <c r="BJ31" s="86">
        <f>AW31/(AW31+AY31)</f>
        <v>0.49604864970730039</v>
      </c>
      <c r="BK31" s="86">
        <f>AW31/(AU31+AV31+AW31)</f>
        <v>0.43032110117277056</v>
      </c>
      <c r="BL31" s="86">
        <f>AV31/(AU31+AV31+AW31)</f>
        <v>0.29036232290785385</v>
      </c>
      <c r="BM31" s="86">
        <f>AU31/(AU31+AV31+AW31)</f>
        <v>0.27931657591937564</v>
      </c>
      <c r="BN31" s="86">
        <f>AV31/(AV31+AU31)</f>
        <v>0.50969471311928316</v>
      </c>
      <c r="BO31" s="5">
        <f>AW31/(AU31+AW31)</f>
        <v>0.60639551008069359</v>
      </c>
      <c r="BP31" s="289"/>
      <c r="BQ31" s="290">
        <v>1200</v>
      </c>
      <c r="BR31" s="291">
        <f>BQ31+273</f>
        <v>1473</v>
      </c>
      <c r="BS31" s="290">
        <v>8000</v>
      </c>
      <c r="BT31" s="292">
        <f>BS31/10000</f>
        <v>0.8</v>
      </c>
      <c r="BU31" s="292">
        <f t="shared" si="16"/>
        <v>0.17319898746568385</v>
      </c>
      <c r="BV31" s="83">
        <f>1-BU31</f>
        <v>0.82680101253431615</v>
      </c>
      <c r="BW31" s="293">
        <f t="shared" si="17"/>
        <v>1179.5417805207192</v>
      </c>
      <c r="BX31" s="294">
        <f t="shared" si="18"/>
        <v>1156.2392584310476</v>
      </c>
      <c r="BY31" s="295">
        <f t="shared" si="19"/>
        <v>3.0980690697995654</v>
      </c>
      <c r="BZ31" s="295">
        <f>(82.75+0.00484*(BR31)-30681/(BR31)-24.45*LOG10(BR31)+940*BT31/(BR31)-0.02*BT31)+BY31</f>
        <v>-4.8195659180655532</v>
      </c>
      <c r="CA31" s="295">
        <f t="shared" si="20"/>
        <v>1.9561017689067224</v>
      </c>
      <c r="CB31" s="295">
        <f>(82.75+0.00484*(BR31)-30681/(BR31)-24.45*LOG10(BR31)+940*BT31/(BR31)-0.02*BT31)+CA31</f>
        <v>-5.9615332189583965</v>
      </c>
      <c r="CC31" s="296"/>
      <c r="CD31" s="297">
        <f t="shared" si="22"/>
        <v>0.44563873222863298</v>
      </c>
      <c r="CE31" s="297">
        <f t="shared" si="23"/>
        <v>2.732456140350877E-3</v>
      </c>
      <c r="CF31" s="294">
        <f>10000/(0.512+0.873*CD31-LN(CE31)*0.91)-273</f>
        <v>1321.2944392179979</v>
      </c>
      <c r="CG31" s="294">
        <f>10000/(0.575+0.884*CD31-0.897*LN(CE31))-273</f>
        <v>1323.5422913789209</v>
      </c>
    </row>
    <row r="32" spans="1:85" s="5" customFormat="1">
      <c r="A32" s="251" t="s">
        <v>261</v>
      </c>
      <c r="B32" s="24" t="s">
        <v>275</v>
      </c>
      <c r="C32" s="288" t="s">
        <v>323</v>
      </c>
      <c r="D32" s="247" t="s">
        <v>294</v>
      </c>
      <c r="E32" s="235" t="s">
        <v>277</v>
      </c>
      <c r="F32" s="26">
        <f>100*AF32/40.3/(AF32/40.3+AD32/71.85)</f>
        <v>83.236604511045741</v>
      </c>
      <c r="G32" s="4" t="s">
        <v>322</v>
      </c>
      <c r="H32" s="25" t="s">
        <v>261</v>
      </c>
      <c r="I32" s="25">
        <v>0.04</v>
      </c>
      <c r="J32" s="25">
        <v>5.71</v>
      </c>
      <c r="K32" s="25">
        <v>15.63</v>
      </c>
      <c r="L32" s="25">
        <v>44.15</v>
      </c>
      <c r="M32" s="25"/>
      <c r="N32" s="25">
        <v>0.28000000000000003</v>
      </c>
      <c r="O32" s="25">
        <v>10.32</v>
      </c>
      <c r="P32" s="25"/>
      <c r="Q32" s="25"/>
      <c r="R32" s="25"/>
      <c r="S32" s="25">
        <v>0.19</v>
      </c>
      <c r="T32" s="25">
        <v>20.12</v>
      </c>
      <c r="U32" s="25"/>
      <c r="V32" s="25">
        <v>0.18</v>
      </c>
      <c r="W32" s="252">
        <f t="shared" si="1"/>
        <v>96.62</v>
      </c>
      <c r="X32" s="24"/>
      <c r="Y32" s="247" t="s">
        <v>262</v>
      </c>
      <c r="Z32" s="51">
        <v>1</v>
      </c>
      <c r="AA32" s="51">
        <v>39.49</v>
      </c>
      <c r="AB32" s="51">
        <v>1.5100000000000001E-2</v>
      </c>
      <c r="AC32" s="51">
        <v>2.9100000000000001E-2</v>
      </c>
      <c r="AD32" s="51">
        <v>15.77</v>
      </c>
      <c r="AE32" s="51">
        <v>0.2326</v>
      </c>
      <c r="AF32" s="51">
        <v>43.92</v>
      </c>
      <c r="AG32" s="51">
        <v>0.31569999999999998</v>
      </c>
      <c r="AH32" s="51">
        <v>0.1797</v>
      </c>
      <c r="AI32" s="51"/>
      <c r="AJ32" s="51">
        <v>1.7399999999999999E-2</v>
      </c>
      <c r="AK32" s="26">
        <f t="shared" si="24"/>
        <v>99.969599999999986</v>
      </c>
      <c r="AL32" s="25">
        <f>100*AF32/40.3/(AF32/40.3+AD32/71.85)</f>
        <v>83.236604511045741</v>
      </c>
      <c r="AM32" s="51"/>
      <c r="AN32" s="51">
        <f t="shared" si="2"/>
        <v>22.783984722802305</v>
      </c>
      <c r="AO32" s="165">
        <f t="shared" si="3"/>
        <v>23.745293706598904</v>
      </c>
      <c r="AP32" s="5">
        <f t="shared" si="4"/>
        <v>98.999278429401215</v>
      </c>
      <c r="AR32" s="54"/>
      <c r="AS32" s="54">
        <f t="shared" si="5"/>
        <v>1.3118853535846716E-3</v>
      </c>
      <c r="AT32" s="54">
        <f t="shared" si="6"/>
        <v>0.14084045682769575</v>
      </c>
      <c r="AU32" s="54">
        <f t="shared" si="7"/>
        <v>0.60422298632728155</v>
      </c>
      <c r="AV32" s="54">
        <f t="shared" si="8"/>
        <v>0.52194404397975735</v>
      </c>
      <c r="AW32" s="54">
        <f t="shared" si="9"/>
        <v>0.58605816565057167</v>
      </c>
      <c r="AX32" s="54">
        <f t="shared" si="10"/>
        <v>3.3813779338105342E-3</v>
      </c>
      <c r="AY32" s="54">
        <f t="shared" si="11"/>
        <v>0.6249438584117426</v>
      </c>
      <c r="AZ32" s="54">
        <f t="shared" si="12"/>
        <v>7.7786627611829773E-3</v>
      </c>
      <c r="BA32" s="54">
        <f t="shared" si="13"/>
        <v>0.50455091171919997</v>
      </c>
      <c r="BB32" s="84">
        <f t="shared" si="14"/>
        <v>5.0120219081821555E-3</v>
      </c>
      <c r="BC32" s="82">
        <f>SUM(AS32:BB32)</f>
        <v>3.0000443708730091</v>
      </c>
      <c r="BD32" s="5">
        <v>4</v>
      </c>
      <c r="BE32" s="86"/>
      <c r="BF32" s="86">
        <f>BA32/(BA32+AY32)</f>
        <v>0.44670495611122418</v>
      </c>
      <c r="BG32" s="86">
        <f>1-BF32</f>
        <v>0.55329504388877582</v>
      </c>
      <c r="BH32" s="83">
        <f>AY32/AW32</f>
        <v>1.0663512515315006</v>
      </c>
      <c r="BI32" s="86">
        <f>10^((LOG10(BH32)+0.343)/0.764)</f>
        <v>3.0582400723563894</v>
      </c>
      <c r="BJ32" s="86">
        <f>AW32/(AW32+AY32)</f>
        <v>0.48394482751121726</v>
      </c>
      <c r="BK32" s="86">
        <f>AW32/(AU32+AV32+AW32)</f>
        <v>0.34227867165732367</v>
      </c>
      <c r="BL32" s="86">
        <f>AV32/(AU32+AV32+AW32)</f>
        <v>0.30483375972507248</v>
      </c>
      <c r="BM32" s="86">
        <f>AU32/(AU32+AV32+AW32)</f>
        <v>0.3528875686176039</v>
      </c>
      <c r="BN32" s="86">
        <f>AV32/(AV32+AU32)</f>
        <v>0.46346947649271375</v>
      </c>
      <c r="BO32" s="5">
        <f>AW32/(AU32+AW32)</f>
        <v>0.4923695251972503</v>
      </c>
      <c r="BP32" s="289"/>
      <c r="BQ32" s="290">
        <v>1200</v>
      </c>
      <c r="BR32" s="291">
        <f>BQ32+273</f>
        <v>1473</v>
      </c>
      <c r="BS32" s="290">
        <v>8000</v>
      </c>
      <c r="BT32" s="292">
        <f>BS32/10000</f>
        <v>0.8</v>
      </c>
      <c r="BU32" s="292">
        <f t="shared" si="16"/>
        <v>0.16763395488954258</v>
      </c>
      <c r="BV32" s="83">
        <f>1-BU32</f>
        <v>0.83236604511045742</v>
      </c>
      <c r="BW32" s="293">
        <f t="shared" si="17"/>
        <v>1178.2829505978866</v>
      </c>
      <c r="BX32" s="294">
        <f t="shared" si="18"/>
        <v>1150.6627260130533</v>
      </c>
      <c r="BY32" s="295">
        <f t="shared" si="19"/>
        <v>2.7478357079619218</v>
      </c>
      <c r="BZ32" s="295">
        <f>(82.75+0.00484*(BR32)-30681/(BR32)-24.45*LOG10(BR32)+940*BT32/(BR32)-0.02*BT32)+BY32</f>
        <v>-5.1697992799031969</v>
      </c>
      <c r="CA32" s="295">
        <f t="shared" si="20"/>
        <v>1.6371164470433166</v>
      </c>
      <c r="CB32" s="295">
        <f>(82.75+0.00484*(BR32)-30681/(BR32)-24.45*LOG10(BR32)+940*BT32/(BR32)-0.02*BT32)+CA32</f>
        <v>-6.2805185408218023</v>
      </c>
      <c r="CC32" s="296"/>
      <c r="CD32" s="297">
        <f t="shared" si="22"/>
        <v>0.40047781336119337</v>
      </c>
      <c r="CE32" s="297">
        <f t="shared" si="23"/>
        <v>1.8618042226487524E-3</v>
      </c>
      <c r="CF32" s="294">
        <f t="shared" ref="CF32" si="42">10000/(0.512+0.873*CD32-LN(CE32)*0.91)-273</f>
        <v>1246.2794554705822</v>
      </c>
      <c r="CG32" s="294">
        <f t="shared" ref="CG32" si="43">10000/(0.575+0.884*CD32-0.897*LN(CE32))-273</f>
        <v>1249.5909676164877</v>
      </c>
    </row>
    <row r="33" spans="1:85" s="5" customFormat="1">
      <c r="A33" s="251" t="s">
        <v>266</v>
      </c>
      <c r="B33" s="24" t="s">
        <v>279</v>
      </c>
      <c r="C33" s="288" t="s">
        <v>326</v>
      </c>
      <c r="D33" s="268" t="s">
        <v>294</v>
      </c>
      <c r="E33" s="235" t="s">
        <v>277</v>
      </c>
      <c r="F33" s="26">
        <f t="shared" si="0"/>
        <v>81.619482886456794</v>
      </c>
      <c r="G33" s="4" t="s">
        <v>322</v>
      </c>
      <c r="H33" s="25" t="s">
        <v>266</v>
      </c>
      <c r="I33" s="25">
        <v>0.14000000000000001</v>
      </c>
      <c r="J33" s="25">
        <v>8.74</v>
      </c>
      <c r="K33" s="25">
        <v>8.2200000000000006</v>
      </c>
      <c r="L33" s="25">
        <v>58.29</v>
      </c>
      <c r="M33" s="25"/>
      <c r="N33" s="25">
        <v>0.36</v>
      </c>
      <c r="O33" s="25">
        <v>7.7</v>
      </c>
      <c r="P33" s="25"/>
      <c r="Q33" s="25"/>
      <c r="R33" s="25"/>
      <c r="S33" s="25">
        <v>0.15</v>
      </c>
      <c r="T33" s="25">
        <v>9.92</v>
      </c>
      <c r="U33" s="25"/>
      <c r="V33" s="25">
        <v>0.19</v>
      </c>
      <c r="W33" s="252">
        <f t="shared" si="1"/>
        <v>93.710000000000008</v>
      </c>
      <c r="X33" s="24"/>
      <c r="Y33" s="247" t="s">
        <v>330</v>
      </c>
      <c r="Z33" s="51">
        <v>2</v>
      </c>
      <c r="AA33" s="51">
        <v>39.11</v>
      </c>
      <c r="AB33" s="51">
        <v>1.78E-2</v>
      </c>
      <c r="AC33" s="51">
        <v>2.7450000000000002E-2</v>
      </c>
      <c r="AD33" s="51">
        <v>17.13</v>
      </c>
      <c r="AE33" s="51">
        <v>0.28089999999999998</v>
      </c>
      <c r="AF33" s="51">
        <v>42.664999999999999</v>
      </c>
      <c r="AG33" s="51">
        <v>0.37390000000000001</v>
      </c>
      <c r="AH33" s="51">
        <v>0.15444999999999998</v>
      </c>
      <c r="AI33" s="51"/>
      <c r="AJ33" s="51">
        <v>1.04E-2</v>
      </c>
      <c r="AK33" s="26">
        <f t="shared" si="24"/>
        <v>99.769900000000021</v>
      </c>
      <c r="AL33" s="25">
        <f t="shared" si="25"/>
        <v>81.619482886456794</v>
      </c>
      <c r="AM33" s="51"/>
      <c r="AN33" s="51">
        <f t="shared" si="2"/>
        <v>27.679837976756179</v>
      </c>
      <c r="AO33" s="165">
        <f t="shared" si="3"/>
        <v>34.018850881577926</v>
      </c>
      <c r="AP33" s="5">
        <f t="shared" si="4"/>
        <v>97.11868885833411</v>
      </c>
      <c r="AR33" s="54"/>
      <c r="AS33" s="54">
        <f t="shared" si="5"/>
        <v>4.9406136955200417E-3</v>
      </c>
      <c r="AT33" s="54">
        <f t="shared" si="6"/>
        <v>0.23196353555011678</v>
      </c>
      <c r="AU33" s="54">
        <f t="shared" si="7"/>
        <v>0.34192200591862787</v>
      </c>
      <c r="AV33" s="54">
        <f t="shared" si="8"/>
        <v>0.27690105600715409</v>
      </c>
      <c r="AW33" s="54">
        <f t="shared" si="9"/>
        <v>0.90344097811379398</v>
      </c>
      <c r="AX33" s="54">
        <f t="shared" si="10"/>
        <v>3.8405354673476501E-3</v>
      </c>
      <c r="AY33" s="54">
        <f t="shared" si="11"/>
        <v>0.81694315346038759</v>
      </c>
      <c r="AZ33" s="54">
        <f t="shared" si="12"/>
        <v>1.0761340741367731E-2</v>
      </c>
      <c r="BA33" s="54">
        <f t="shared" si="13"/>
        <v>0.40507271726640942</v>
      </c>
      <c r="BB33" s="84">
        <f t="shared" si="14"/>
        <v>4.2576267801757179E-3</v>
      </c>
      <c r="BC33" s="82">
        <f t="shared" si="28"/>
        <v>3.0000435630009008</v>
      </c>
      <c r="BD33" s="5">
        <v>4</v>
      </c>
      <c r="BE33" s="86"/>
      <c r="BF33" s="86">
        <f t="shared" si="29"/>
        <v>0.33147909693307948</v>
      </c>
      <c r="BG33" s="86">
        <f t="shared" si="30"/>
        <v>0.66852090306692058</v>
      </c>
      <c r="BH33" s="83">
        <f t="shared" si="31"/>
        <v>0.90425735964069642</v>
      </c>
      <c r="BI33" s="86">
        <f t="shared" si="32"/>
        <v>2.4645834267557065</v>
      </c>
      <c r="BJ33" s="86">
        <f t="shared" si="33"/>
        <v>0.52513910209525694</v>
      </c>
      <c r="BK33" s="86">
        <f t="shared" si="34"/>
        <v>0.59348506852353045</v>
      </c>
      <c r="BL33" s="86">
        <f t="shared" si="35"/>
        <v>0.18190080611767928</v>
      </c>
      <c r="BM33" s="86">
        <f t="shared" si="36"/>
        <v>0.2246141253587903</v>
      </c>
      <c r="BN33" s="86">
        <f t="shared" si="37"/>
        <v>0.44746402169537114</v>
      </c>
      <c r="BO33" s="5">
        <f t="shared" si="15"/>
        <v>0.72544389844356716</v>
      </c>
      <c r="BP33" s="289"/>
      <c r="BQ33" s="290">
        <v>1200</v>
      </c>
      <c r="BR33" s="291">
        <f t="shared" si="38"/>
        <v>1473</v>
      </c>
      <c r="BS33" s="290">
        <v>8000</v>
      </c>
      <c r="BT33" s="292">
        <f t="shared" si="39"/>
        <v>0.8</v>
      </c>
      <c r="BU33" s="292">
        <f t="shared" si="16"/>
        <v>0.18380517113543204</v>
      </c>
      <c r="BV33" s="83">
        <f t="shared" si="40"/>
        <v>0.81619482886456796</v>
      </c>
      <c r="BW33" s="293">
        <f t="shared" si="17"/>
        <v>1279.1063973265123</v>
      </c>
      <c r="BX33" s="294">
        <f t="shared" si="18"/>
        <v>1250.2282366728227</v>
      </c>
      <c r="BY33" s="295">
        <f t="shared" si="19"/>
        <v>3.5539486576395833</v>
      </c>
      <c r="BZ33" s="295">
        <f t="shared" si="41"/>
        <v>-4.3636863302255353</v>
      </c>
      <c r="CA33" s="295">
        <f t="shared" si="20"/>
        <v>2.3574358397967101</v>
      </c>
      <c r="CB33" s="295">
        <f t="shared" si="21"/>
        <v>-5.560199148068409</v>
      </c>
      <c r="CC33" s="296"/>
      <c r="CD33" s="297">
        <f t="shared" si="22"/>
        <v>0.38508638629835301</v>
      </c>
      <c r="CE33" s="297">
        <f t="shared" si="23"/>
        <v>3.3394160583941606E-3</v>
      </c>
      <c r="CF33" s="294">
        <f t="shared" si="26"/>
        <v>1383.4619235155249</v>
      </c>
      <c r="CG33" s="294">
        <f t="shared" si="27"/>
        <v>1385.3544756296976</v>
      </c>
    </row>
    <row r="34" spans="1:85" s="5" customFormat="1">
      <c r="A34" s="251" t="s">
        <v>267</v>
      </c>
      <c r="B34" s="24" t="s">
        <v>279</v>
      </c>
      <c r="C34" s="288" t="s">
        <v>326</v>
      </c>
      <c r="D34" s="268" t="s">
        <v>294</v>
      </c>
      <c r="E34" s="235" t="s">
        <v>277</v>
      </c>
      <c r="F34" s="26">
        <f t="shared" si="0"/>
        <v>81.619482886456794</v>
      </c>
      <c r="G34" s="4" t="s">
        <v>322</v>
      </c>
      <c r="H34" s="25" t="s">
        <v>267</v>
      </c>
      <c r="I34" s="25">
        <v>0.06</v>
      </c>
      <c r="J34" s="25">
        <v>9.1300000000000008</v>
      </c>
      <c r="K34" s="25">
        <v>8</v>
      </c>
      <c r="L34" s="25">
        <v>58.82</v>
      </c>
      <c r="M34" s="25"/>
      <c r="N34" s="25">
        <v>0.36</v>
      </c>
      <c r="O34" s="25">
        <v>7.81</v>
      </c>
      <c r="P34" s="25"/>
      <c r="Q34" s="25"/>
      <c r="R34" s="25"/>
      <c r="S34" s="25">
        <v>0.16</v>
      </c>
      <c r="T34" s="25">
        <v>10.26</v>
      </c>
      <c r="U34" s="25"/>
      <c r="V34" s="25">
        <v>0.2</v>
      </c>
      <c r="W34" s="252">
        <f t="shared" si="1"/>
        <v>94.800000000000011</v>
      </c>
      <c r="X34" s="24"/>
      <c r="Y34" s="247" t="s">
        <v>330</v>
      </c>
      <c r="Z34" s="51">
        <v>2</v>
      </c>
      <c r="AA34" s="51">
        <v>39.11</v>
      </c>
      <c r="AB34" s="51">
        <v>1.78E-2</v>
      </c>
      <c r="AC34" s="51">
        <v>2.7450000000000002E-2</v>
      </c>
      <c r="AD34" s="51">
        <v>17.13</v>
      </c>
      <c r="AE34" s="51">
        <v>0.28089999999999998</v>
      </c>
      <c r="AF34" s="51">
        <v>42.664999999999999</v>
      </c>
      <c r="AG34" s="51">
        <v>0.37390000000000001</v>
      </c>
      <c r="AH34" s="51">
        <v>0.15444999999999998</v>
      </c>
      <c r="AI34" s="51"/>
      <c r="AJ34" s="51">
        <v>1.04E-2</v>
      </c>
      <c r="AK34" s="26">
        <f t="shared" si="24"/>
        <v>99.769900000000021</v>
      </c>
      <c r="AL34" s="25">
        <f t="shared" si="25"/>
        <v>81.619482886456794</v>
      </c>
      <c r="AM34" s="51"/>
      <c r="AN34" s="51">
        <f t="shared" si="2"/>
        <v>28.06540934732007</v>
      </c>
      <c r="AO34" s="165">
        <f t="shared" si="3"/>
        <v>34.179362805823438</v>
      </c>
      <c r="AP34" s="5">
        <f t="shared" si="4"/>
        <v>98.224772153143505</v>
      </c>
      <c r="AR34" s="54"/>
      <c r="AS34" s="54">
        <f t="shared" si="5"/>
        <v>2.096591006247984E-3</v>
      </c>
      <c r="AT34" s="54">
        <f t="shared" si="6"/>
        <v>0.23993227410356274</v>
      </c>
      <c r="AU34" s="54">
        <f t="shared" si="7"/>
        <v>0.32949955162924383</v>
      </c>
      <c r="AV34" s="54">
        <f t="shared" si="8"/>
        <v>0.28357628352889919</v>
      </c>
      <c r="AW34" s="54">
        <f t="shared" si="9"/>
        <v>0.89878064965514404</v>
      </c>
      <c r="AX34" s="54">
        <f t="shared" si="10"/>
        <v>4.0029280197452222E-3</v>
      </c>
      <c r="AY34" s="54">
        <f t="shared" si="11"/>
        <v>0.82018019974246015</v>
      </c>
      <c r="AZ34" s="54">
        <f t="shared" si="12"/>
        <v>1.0655552881204514E-2</v>
      </c>
      <c r="BA34" s="54">
        <f t="shared" si="13"/>
        <v>0.40682057361535479</v>
      </c>
      <c r="BB34" s="84">
        <f t="shared" si="14"/>
        <v>4.4968242918106954E-3</v>
      </c>
      <c r="BC34" s="82">
        <f t="shared" si="28"/>
        <v>3.0000414284736734</v>
      </c>
      <c r="BD34" s="5">
        <v>4</v>
      </c>
      <c r="BE34" s="86"/>
      <c r="BF34" s="86">
        <f t="shared" si="29"/>
        <v>0.33155690073613242</v>
      </c>
      <c r="BG34" s="86">
        <f t="shared" si="30"/>
        <v>0.66844309926386758</v>
      </c>
      <c r="BH34" s="83">
        <f t="shared" si="31"/>
        <v>0.91254768341659076</v>
      </c>
      <c r="BI34" s="86">
        <f t="shared" si="32"/>
        <v>2.4942005481878033</v>
      </c>
      <c r="BJ34" s="86">
        <f t="shared" si="33"/>
        <v>0.52286278071435677</v>
      </c>
      <c r="BK34" s="86">
        <f t="shared" si="34"/>
        <v>0.59448807389025593</v>
      </c>
      <c r="BL34" s="86">
        <f t="shared" si="35"/>
        <v>0.18756825557018436</v>
      </c>
      <c r="BM34" s="86">
        <f t="shared" si="36"/>
        <v>0.21794367053955965</v>
      </c>
      <c r="BN34" s="86">
        <f t="shared" si="37"/>
        <v>0.46254682906520145</v>
      </c>
      <c r="BO34" s="5">
        <f t="shared" si="15"/>
        <v>0.73173910050435331</v>
      </c>
      <c r="BP34" s="289"/>
      <c r="BQ34" s="290">
        <v>1200</v>
      </c>
      <c r="BR34" s="291">
        <f t="shared" si="38"/>
        <v>1473</v>
      </c>
      <c r="BS34" s="290">
        <v>8000</v>
      </c>
      <c r="BT34" s="292">
        <f t="shared" si="39"/>
        <v>0.8</v>
      </c>
      <c r="BU34" s="292">
        <f t="shared" si="16"/>
        <v>0.18380517113543204</v>
      </c>
      <c r="BV34" s="83">
        <f t="shared" si="40"/>
        <v>0.81619482886456796</v>
      </c>
      <c r="BW34" s="293">
        <f t="shared" si="17"/>
        <v>1293.1229693367841</v>
      </c>
      <c r="BX34" s="294">
        <f t="shared" si="18"/>
        <v>1265.0780241534362</v>
      </c>
      <c r="BY34" s="295">
        <f t="shared" si="19"/>
        <v>3.5515101387901455</v>
      </c>
      <c r="BZ34" s="295">
        <f t="shared" si="41"/>
        <v>-4.3661248490749731</v>
      </c>
      <c r="CA34" s="295">
        <f t="shared" si="20"/>
        <v>2.3604637212794248</v>
      </c>
      <c r="CB34" s="295">
        <f t="shared" si="21"/>
        <v>-5.5571712665856943</v>
      </c>
      <c r="CC34" s="296"/>
      <c r="CD34" s="297">
        <f t="shared" si="22"/>
        <v>0.39958717287902135</v>
      </c>
      <c r="CE34" s="297">
        <f t="shared" si="23"/>
        <v>3.4312500000000003E-3</v>
      </c>
      <c r="CF34" s="294">
        <f t="shared" si="26"/>
        <v>1386.7688069570024</v>
      </c>
      <c r="CG34" s="294">
        <f t="shared" si="27"/>
        <v>1388.5275187675718</v>
      </c>
    </row>
    <row r="35" spans="1:85" s="5" customFormat="1">
      <c r="A35" s="251" t="s">
        <v>268</v>
      </c>
      <c r="B35" s="24" t="s">
        <v>275</v>
      </c>
      <c r="C35" s="288" t="s">
        <v>323</v>
      </c>
      <c r="D35" s="268" t="s">
        <v>294</v>
      </c>
      <c r="E35" s="235" t="s">
        <v>277</v>
      </c>
      <c r="F35" s="26">
        <f t="shared" si="0"/>
        <v>79.004529003361498</v>
      </c>
      <c r="G35" s="4" t="s">
        <v>322</v>
      </c>
      <c r="H35" s="25" t="s">
        <v>268</v>
      </c>
      <c r="I35" s="25">
        <v>7.0000000000000007E-2</v>
      </c>
      <c r="J35" s="25">
        <v>3.99</v>
      </c>
      <c r="K35" s="25">
        <v>12.4</v>
      </c>
      <c r="L35" s="25">
        <v>48.29</v>
      </c>
      <c r="M35" s="25"/>
      <c r="N35" s="25">
        <v>0.38</v>
      </c>
      <c r="O35" s="25">
        <v>7.59</v>
      </c>
      <c r="P35" s="25"/>
      <c r="Q35" s="25"/>
      <c r="R35" s="25"/>
      <c r="S35" s="25">
        <v>0.09</v>
      </c>
      <c r="T35" s="25">
        <v>22.45</v>
      </c>
      <c r="U35" s="25"/>
      <c r="V35" s="25">
        <v>0.17</v>
      </c>
      <c r="W35" s="252">
        <f t="shared" si="1"/>
        <v>95.43</v>
      </c>
      <c r="X35" s="24"/>
      <c r="Y35" s="247" t="s">
        <v>331</v>
      </c>
      <c r="Z35" s="51">
        <v>4</v>
      </c>
      <c r="AA35" s="51">
        <v>38.8675</v>
      </c>
      <c r="AB35" s="51">
        <v>1.2800000000000001E-2</v>
      </c>
      <c r="AC35" s="51">
        <v>3.49E-2</v>
      </c>
      <c r="AD35" s="51">
        <v>19.327500000000001</v>
      </c>
      <c r="AE35" s="51">
        <v>0.37695000000000001</v>
      </c>
      <c r="AF35" s="51">
        <v>40.792499999999997</v>
      </c>
      <c r="AG35" s="51">
        <v>0.27065</v>
      </c>
      <c r="AH35" s="51">
        <v>9.6700000000000008E-2</v>
      </c>
      <c r="AI35" s="51"/>
      <c r="AJ35" s="51">
        <v>9.8499999999999994E-3</v>
      </c>
      <c r="AK35" s="26">
        <f t="shared" si="24"/>
        <v>99.789349999999999</v>
      </c>
      <c r="AL35" s="25">
        <f t="shared" si="25"/>
        <v>79.004529003361498</v>
      </c>
      <c r="AM35" s="51"/>
      <c r="AN35" s="51">
        <f t="shared" si="2"/>
        <v>24.6069597565035</v>
      </c>
      <c r="AO35" s="165">
        <f t="shared" si="3"/>
        <v>26.320338123467991</v>
      </c>
      <c r="AP35" s="5">
        <f t="shared" si="4"/>
        <v>98.067297879971491</v>
      </c>
      <c r="AR35" s="54"/>
      <c r="AS35" s="54">
        <f t="shared" si="5"/>
        <v>2.3963201079183665E-3</v>
      </c>
      <c r="AT35" s="54">
        <f t="shared" si="6"/>
        <v>0.10272475458366001</v>
      </c>
      <c r="AU35" s="54">
        <f t="shared" si="7"/>
        <v>0.50034648140214699</v>
      </c>
      <c r="AV35" s="54">
        <f t="shared" si="8"/>
        <v>0.60788750261270219</v>
      </c>
      <c r="AW35" s="54">
        <f t="shared" si="9"/>
        <v>0.67805596306340932</v>
      </c>
      <c r="AX35" s="54">
        <f t="shared" si="10"/>
        <v>3.3333508719607953E-3</v>
      </c>
      <c r="AY35" s="54">
        <f t="shared" si="11"/>
        <v>0.70449867805471222</v>
      </c>
      <c r="AZ35" s="54">
        <f t="shared" si="12"/>
        <v>1.1018980347220904E-2</v>
      </c>
      <c r="BA35" s="54">
        <f t="shared" si="13"/>
        <v>0.38732717986027682</v>
      </c>
      <c r="BB35" s="84">
        <f t="shared" si="14"/>
        <v>2.4780654293044186E-3</v>
      </c>
      <c r="BC35" s="82">
        <f t="shared" si="28"/>
        <v>3.0000672763333123</v>
      </c>
      <c r="BD35" s="5">
        <v>4</v>
      </c>
      <c r="BE35" s="86"/>
      <c r="BF35" s="86">
        <f t="shared" si="29"/>
        <v>0.35475179219508335</v>
      </c>
      <c r="BG35" s="86">
        <f t="shared" si="30"/>
        <v>0.64524820780491665</v>
      </c>
      <c r="BH35" s="83">
        <f t="shared" si="31"/>
        <v>1.0389978356238276</v>
      </c>
      <c r="BI35" s="86">
        <f t="shared" si="32"/>
        <v>2.9559684495896961</v>
      </c>
      <c r="BJ35" s="86">
        <f t="shared" si="33"/>
        <v>0.49043700906825727</v>
      </c>
      <c r="BK35" s="86">
        <f t="shared" si="34"/>
        <v>0.37958897108079803</v>
      </c>
      <c r="BL35" s="86">
        <f t="shared" si="35"/>
        <v>0.340307296476136</v>
      </c>
      <c r="BM35" s="86">
        <f t="shared" si="36"/>
        <v>0.28010373244306597</v>
      </c>
      <c r="BN35" s="86">
        <f t="shared" si="37"/>
        <v>0.54851909558889422</v>
      </c>
      <c r="BO35" s="5">
        <f t="shared" si="15"/>
        <v>0.57540271258596176</v>
      </c>
      <c r="BP35" s="289"/>
      <c r="BQ35" s="290">
        <v>1200</v>
      </c>
      <c r="BR35" s="291">
        <f t="shared" si="38"/>
        <v>1473</v>
      </c>
      <c r="BS35" s="290">
        <v>8000</v>
      </c>
      <c r="BT35" s="292">
        <f t="shared" si="39"/>
        <v>0.8</v>
      </c>
      <c r="BU35" s="292">
        <f t="shared" si="16"/>
        <v>0.20995470996638499</v>
      </c>
      <c r="BV35" s="83">
        <f t="shared" si="40"/>
        <v>0.79004529003361501</v>
      </c>
      <c r="BW35" s="293">
        <f t="shared" si="17"/>
        <v>1131.0775432809178</v>
      </c>
      <c r="BX35" s="294">
        <f t="shared" si="18"/>
        <v>1118.4606105320654</v>
      </c>
      <c r="BY35" s="295">
        <f t="shared" si="19"/>
        <v>2.5414327135702832</v>
      </c>
      <c r="BZ35" s="295">
        <f t="shared" si="41"/>
        <v>-5.3762022742948359</v>
      </c>
      <c r="CA35" s="295">
        <f t="shared" si="20"/>
        <v>1.2250202921583297</v>
      </c>
      <c r="CB35" s="295">
        <f t="shared" si="21"/>
        <v>-6.6926146957067889</v>
      </c>
      <c r="CC35" s="296"/>
      <c r="CD35" s="297">
        <f t="shared" si="22"/>
        <v>0.4844043920801685</v>
      </c>
      <c r="CE35" s="297">
        <f t="shared" si="23"/>
        <v>2.8145161290322579E-3</v>
      </c>
      <c r="CF35" s="294">
        <f t="shared" si="26"/>
        <v>1319.5384823391898</v>
      </c>
      <c r="CG35" s="294">
        <f t="shared" si="27"/>
        <v>1321.5751232778387</v>
      </c>
    </row>
    <row r="36" spans="1:85" s="5" customFormat="1">
      <c r="A36" s="251" t="s">
        <v>269</v>
      </c>
      <c r="B36" s="24" t="s">
        <v>275</v>
      </c>
      <c r="C36" s="288" t="s">
        <v>323</v>
      </c>
      <c r="D36" s="268" t="s">
        <v>294</v>
      </c>
      <c r="E36" s="235" t="s">
        <v>277</v>
      </c>
      <c r="F36" s="26">
        <f t="shared" si="0"/>
        <v>79.004529003361498</v>
      </c>
      <c r="G36" s="4" t="s">
        <v>322</v>
      </c>
      <c r="H36" s="25" t="s">
        <v>269</v>
      </c>
      <c r="I36" s="25">
        <v>0.04</v>
      </c>
      <c r="J36" s="25">
        <v>3.78</v>
      </c>
      <c r="K36" s="25">
        <v>11.91</v>
      </c>
      <c r="L36" s="25">
        <v>48.15</v>
      </c>
      <c r="M36" s="25"/>
      <c r="N36" s="25">
        <v>0.4</v>
      </c>
      <c r="O36" s="25">
        <v>7.7</v>
      </c>
      <c r="P36" s="25"/>
      <c r="Q36" s="25"/>
      <c r="R36" s="25"/>
      <c r="S36" s="25">
        <v>0.09</v>
      </c>
      <c r="T36" s="25">
        <v>22.75</v>
      </c>
      <c r="U36" s="25"/>
      <c r="V36" s="25">
        <v>0.17</v>
      </c>
      <c r="W36" s="252">
        <f t="shared" si="1"/>
        <v>94.990000000000009</v>
      </c>
      <c r="X36" s="24"/>
      <c r="Y36" s="247" t="s">
        <v>331</v>
      </c>
      <c r="Z36" s="51">
        <v>4</v>
      </c>
      <c r="AA36" s="51">
        <v>38.8675</v>
      </c>
      <c r="AB36" s="51">
        <v>1.2800000000000001E-2</v>
      </c>
      <c r="AC36" s="51">
        <v>3.49E-2</v>
      </c>
      <c r="AD36" s="51">
        <v>19.327500000000001</v>
      </c>
      <c r="AE36" s="51">
        <v>0.37695000000000001</v>
      </c>
      <c r="AF36" s="51">
        <v>40.792499999999997</v>
      </c>
      <c r="AG36" s="51">
        <v>0.27065</v>
      </c>
      <c r="AH36" s="51">
        <v>9.6700000000000008E-2</v>
      </c>
      <c r="AI36" s="51"/>
      <c r="AJ36" s="51">
        <v>9.8499999999999994E-3</v>
      </c>
      <c r="AK36" s="26">
        <f t="shared" si="24"/>
        <v>99.789349999999999</v>
      </c>
      <c r="AL36" s="25">
        <f t="shared" si="25"/>
        <v>79.004529003361498</v>
      </c>
      <c r="AM36" s="51"/>
      <c r="AN36" s="51">
        <f t="shared" si="2"/>
        <v>23.981133892184332</v>
      </c>
      <c r="AO36" s="165">
        <f t="shared" si="3"/>
        <v>26.860264623044749</v>
      </c>
      <c r="AP36" s="5">
        <f t="shared" si="4"/>
        <v>97.681398515229091</v>
      </c>
      <c r="AR36" s="54"/>
      <c r="AS36" s="54">
        <f t="shared" si="5"/>
        <v>1.3766218230465658E-3</v>
      </c>
      <c r="AT36" s="54">
        <f t="shared" si="6"/>
        <v>9.78367197156325E-2</v>
      </c>
      <c r="AU36" s="54">
        <f t="shared" si="7"/>
        <v>0.4831353254615533</v>
      </c>
      <c r="AV36" s="54">
        <f t="shared" si="8"/>
        <v>0.61929295170503162</v>
      </c>
      <c r="AW36" s="54">
        <f t="shared" si="9"/>
        <v>0.69565230605951867</v>
      </c>
      <c r="AX36" s="54">
        <f t="shared" si="10"/>
        <v>3.3511116454502869E-3</v>
      </c>
      <c r="AY36" s="54">
        <f t="shared" si="11"/>
        <v>0.69023949239600535</v>
      </c>
      <c r="AZ36" s="54">
        <f t="shared" si="12"/>
        <v>1.1660728128963651E-2</v>
      </c>
      <c r="BA36" s="54">
        <f t="shared" si="13"/>
        <v>0.39503428502287558</v>
      </c>
      <c r="BB36" s="84">
        <f t="shared" si="14"/>
        <v>2.4912690674669161E-3</v>
      </c>
      <c r="BC36" s="82">
        <f t="shared" si="28"/>
        <v>3.0000708110255441</v>
      </c>
      <c r="BD36" s="5">
        <v>4</v>
      </c>
      <c r="BE36" s="86"/>
      <c r="BF36" s="86">
        <f t="shared" si="29"/>
        <v>0.36399505197885657</v>
      </c>
      <c r="BG36" s="86">
        <f t="shared" si="30"/>
        <v>0.63600494802114338</v>
      </c>
      <c r="BH36" s="83">
        <f t="shared" si="31"/>
        <v>0.99221908183676721</v>
      </c>
      <c r="BI36" s="86">
        <f t="shared" si="32"/>
        <v>2.7829956826326212</v>
      </c>
      <c r="BJ36" s="86">
        <f t="shared" si="33"/>
        <v>0.50195282693408882</v>
      </c>
      <c r="BK36" s="86">
        <f t="shared" si="34"/>
        <v>0.38688605646994095</v>
      </c>
      <c r="BL36" s="86">
        <f t="shared" si="35"/>
        <v>0.34441890840837652</v>
      </c>
      <c r="BM36" s="86">
        <f t="shared" si="36"/>
        <v>0.26869503512168252</v>
      </c>
      <c r="BN36" s="86">
        <f t="shared" si="37"/>
        <v>0.56175350771726618</v>
      </c>
      <c r="BO36" s="5">
        <f t="shared" si="15"/>
        <v>0.59014218291539922</v>
      </c>
      <c r="BP36" s="289"/>
      <c r="BQ36" s="290">
        <v>1200</v>
      </c>
      <c r="BR36" s="291">
        <f t="shared" si="38"/>
        <v>1473</v>
      </c>
      <c r="BS36" s="290">
        <v>8000</v>
      </c>
      <c r="BT36" s="292">
        <f t="shared" si="39"/>
        <v>0.8</v>
      </c>
      <c r="BU36" s="292">
        <f t="shared" si="16"/>
        <v>0.20995470996638499</v>
      </c>
      <c r="BV36" s="83">
        <f t="shared" si="40"/>
        <v>0.79004529003361501</v>
      </c>
      <c r="BW36" s="293">
        <f t="shared" si="17"/>
        <v>1158.5524545148039</v>
      </c>
      <c r="BX36" s="294">
        <f t="shared" si="18"/>
        <v>1145.9166493795592</v>
      </c>
      <c r="BY36" s="295">
        <f t="shared" si="19"/>
        <v>2.5507990774614258</v>
      </c>
      <c r="BZ36" s="295">
        <f t="shared" si="41"/>
        <v>-5.3668359104036938</v>
      </c>
      <c r="CA36" s="295">
        <f t="shared" si="20"/>
        <v>1.2571034875421343</v>
      </c>
      <c r="CB36" s="295">
        <f t="shared" si="21"/>
        <v>-6.6605315003229846</v>
      </c>
      <c r="CC36" s="296"/>
      <c r="CD36" s="297">
        <f t="shared" si="22"/>
        <v>0.49779750087108809</v>
      </c>
      <c r="CE36" s="297">
        <f t="shared" si="23"/>
        <v>2.9303106633081443E-3</v>
      </c>
      <c r="CF36" s="294">
        <f t="shared" si="26"/>
        <v>1325.9035777306417</v>
      </c>
      <c r="CG36" s="294">
        <f t="shared" si="27"/>
        <v>1327.7844611986725</v>
      </c>
    </row>
    <row r="37" spans="1:85" s="5" customFormat="1">
      <c r="A37" s="251" t="s">
        <v>270</v>
      </c>
      <c r="B37" s="24" t="s">
        <v>275</v>
      </c>
      <c r="C37" s="288" t="s">
        <v>323</v>
      </c>
      <c r="D37" s="268" t="s">
        <v>294</v>
      </c>
      <c r="E37" s="235" t="s">
        <v>277</v>
      </c>
      <c r="F37" s="26">
        <f t="shared" si="0"/>
        <v>79.004529003361498</v>
      </c>
      <c r="G37" s="4" t="s">
        <v>322</v>
      </c>
      <c r="H37" s="25" t="s">
        <v>270</v>
      </c>
      <c r="I37" s="25">
        <v>0.06</v>
      </c>
      <c r="J37" s="25">
        <v>3.58</v>
      </c>
      <c r="K37" s="25">
        <v>12.57</v>
      </c>
      <c r="L37" s="25">
        <v>48.71</v>
      </c>
      <c r="M37" s="25"/>
      <c r="N37" s="25">
        <v>0.39</v>
      </c>
      <c r="O37" s="25">
        <v>7.69</v>
      </c>
      <c r="P37" s="25"/>
      <c r="Q37" s="25"/>
      <c r="R37" s="25"/>
      <c r="S37" s="25">
        <v>0.09</v>
      </c>
      <c r="T37" s="25">
        <v>21.87</v>
      </c>
      <c r="U37" s="25"/>
      <c r="V37" s="25">
        <v>0.16</v>
      </c>
      <c r="W37" s="252">
        <f t="shared" si="1"/>
        <v>95.12</v>
      </c>
      <c r="X37" s="24"/>
      <c r="Y37" s="247" t="s">
        <v>331</v>
      </c>
      <c r="Z37" s="51">
        <v>4</v>
      </c>
      <c r="AA37" s="51">
        <v>38.8675</v>
      </c>
      <c r="AB37" s="51">
        <v>1.2800000000000001E-2</v>
      </c>
      <c r="AC37" s="51">
        <v>3.49E-2</v>
      </c>
      <c r="AD37" s="51">
        <v>19.327500000000001</v>
      </c>
      <c r="AE37" s="51">
        <v>0.37695000000000001</v>
      </c>
      <c r="AF37" s="51">
        <v>40.792499999999997</v>
      </c>
      <c r="AG37" s="51">
        <v>0.27065</v>
      </c>
      <c r="AH37" s="51">
        <v>9.6700000000000008E-2</v>
      </c>
      <c r="AI37" s="51"/>
      <c r="AJ37" s="51">
        <v>9.8499999999999994E-3</v>
      </c>
      <c r="AK37" s="26">
        <f t="shared" si="24"/>
        <v>99.789349999999999</v>
      </c>
      <c r="AL37" s="25">
        <f t="shared" si="25"/>
        <v>79.004529003361498</v>
      </c>
      <c r="AM37" s="51"/>
      <c r="AN37" s="51">
        <f t="shared" si="2"/>
        <v>24.009016778873722</v>
      </c>
      <c r="AO37" s="165">
        <f t="shared" si="3"/>
        <v>27.451637276201687</v>
      </c>
      <c r="AP37" s="5">
        <f t="shared" si="4"/>
        <v>97.87065405507542</v>
      </c>
      <c r="AR37" s="54"/>
      <c r="AS37" s="54">
        <f t="shared" si="5"/>
        <v>2.0557195228962438E-3</v>
      </c>
      <c r="AT37" s="54">
        <f t="shared" si="6"/>
        <v>9.2246747256652148E-2</v>
      </c>
      <c r="AU37" s="54">
        <f t="shared" si="7"/>
        <v>0.50763348360945471</v>
      </c>
      <c r="AV37" s="54">
        <f t="shared" si="8"/>
        <v>0.59268163544411567</v>
      </c>
      <c r="AW37" s="54">
        <f t="shared" si="9"/>
        <v>0.70779606742868284</v>
      </c>
      <c r="AX37" s="54">
        <f t="shared" si="10"/>
        <v>3.1399151305775822E-3</v>
      </c>
      <c r="AY37" s="54">
        <f t="shared" si="11"/>
        <v>0.68795877835283259</v>
      </c>
      <c r="AZ37" s="54">
        <f t="shared" si="12"/>
        <v>1.1318483364116571E-2</v>
      </c>
      <c r="BA37" s="54">
        <f t="shared" si="13"/>
        <v>0.39276099865464464</v>
      </c>
      <c r="BB37" s="84">
        <f t="shared" si="14"/>
        <v>2.480153650063619E-3</v>
      </c>
      <c r="BC37" s="82">
        <f t="shared" si="28"/>
        <v>3.0000719824140365</v>
      </c>
      <c r="BD37" s="5">
        <v>4</v>
      </c>
      <c r="BE37" s="86"/>
      <c r="BF37" s="86">
        <f t="shared" si="29"/>
        <v>0.36342538279645753</v>
      </c>
      <c r="BG37" s="86">
        <f t="shared" si="30"/>
        <v>0.63657461720354247</v>
      </c>
      <c r="BH37" s="83">
        <f t="shared" si="31"/>
        <v>0.9719731572571233</v>
      </c>
      <c r="BI37" s="86">
        <f t="shared" si="32"/>
        <v>2.7089035903652041</v>
      </c>
      <c r="BJ37" s="86">
        <f t="shared" si="33"/>
        <v>0.50710629418045938</v>
      </c>
      <c r="BK37" s="86">
        <f t="shared" si="34"/>
        <v>0.39145605243764142</v>
      </c>
      <c r="BL37" s="86">
        <f t="shared" si="35"/>
        <v>0.32779048095886165</v>
      </c>
      <c r="BM37" s="86">
        <f t="shared" si="36"/>
        <v>0.28075346660349709</v>
      </c>
      <c r="BN37" s="86">
        <f t="shared" si="37"/>
        <v>0.53864717950427454</v>
      </c>
      <c r="BO37" s="5">
        <f t="shared" si="15"/>
        <v>0.58234232237000605</v>
      </c>
      <c r="BP37" s="289"/>
      <c r="BQ37" s="290">
        <v>1200</v>
      </c>
      <c r="BR37" s="291">
        <f t="shared" si="38"/>
        <v>1473</v>
      </c>
      <c r="BS37" s="290">
        <v>8000</v>
      </c>
      <c r="BT37" s="292">
        <f t="shared" si="39"/>
        <v>0.8</v>
      </c>
      <c r="BU37" s="292">
        <f t="shared" si="16"/>
        <v>0.20995470996638499</v>
      </c>
      <c r="BV37" s="83">
        <f t="shared" si="40"/>
        <v>0.79004529003361501</v>
      </c>
      <c r="BW37" s="293">
        <f t="shared" si="17"/>
        <v>1142.7914643553588</v>
      </c>
      <c r="BX37" s="294">
        <f t="shared" si="18"/>
        <v>1128.0172916212318</v>
      </c>
      <c r="BY37" s="295">
        <f t="shared" si="19"/>
        <v>2.5838060818397559</v>
      </c>
      <c r="BZ37" s="295">
        <f t="shared" si="41"/>
        <v>-5.3338289060253636</v>
      </c>
      <c r="CA37" s="295">
        <f t="shared" si="20"/>
        <v>1.2769511332825589</v>
      </c>
      <c r="CB37" s="295">
        <f t="shared" si="21"/>
        <v>-6.6406838545825604</v>
      </c>
      <c r="CC37" s="296"/>
      <c r="CD37" s="297">
        <f t="shared" si="22"/>
        <v>0.47447371083342371</v>
      </c>
      <c r="CE37" s="297">
        <f t="shared" si="23"/>
        <v>2.7764518695306286E-3</v>
      </c>
      <c r="CF37" s="294">
        <f t="shared" si="26"/>
        <v>1318.5951832472163</v>
      </c>
      <c r="CG37" s="294">
        <f t="shared" si="27"/>
        <v>1320.7021122596648</v>
      </c>
    </row>
    <row r="38" spans="1:85" s="5" customFormat="1">
      <c r="A38" s="251" t="s">
        <v>271</v>
      </c>
      <c r="B38" s="24" t="s">
        <v>275</v>
      </c>
      <c r="C38" s="288" t="s">
        <v>323</v>
      </c>
      <c r="D38" s="268" t="s">
        <v>294</v>
      </c>
      <c r="E38" s="235" t="s">
        <v>277</v>
      </c>
      <c r="F38" s="26">
        <f t="shared" si="0"/>
        <v>79.004529003361498</v>
      </c>
      <c r="G38" s="4" t="s">
        <v>322</v>
      </c>
      <c r="H38" s="25" t="s">
        <v>271</v>
      </c>
      <c r="I38" s="25">
        <v>2.0499999999999998</v>
      </c>
      <c r="J38" s="25">
        <v>3.28</v>
      </c>
      <c r="K38" s="25">
        <v>14.2</v>
      </c>
      <c r="L38" s="25">
        <v>47.57</v>
      </c>
      <c r="M38" s="25"/>
      <c r="N38" s="25">
        <v>0.36</v>
      </c>
      <c r="O38" s="25">
        <v>6.88</v>
      </c>
      <c r="P38" s="25"/>
      <c r="Q38" s="25"/>
      <c r="R38" s="25"/>
      <c r="S38" s="25">
        <v>0.08</v>
      </c>
      <c r="T38" s="25">
        <v>18.850000000000001</v>
      </c>
      <c r="U38" s="25"/>
      <c r="V38" s="25">
        <v>0.17</v>
      </c>
      <c r="W38" s="252">
        <f t="shared" si="1"/>
        <v>93.439999999999984</v>
      </c>
      <c r="X38" s="24"/>
      <c r="Y38" s="247" t="s">
        <v>331</v>
      </c>
      <c r="Z38" s="51">
        <v>4</v>
      </c>
      <c r="AA38" s="51">
        <v>38.8675</v>
      </c>
      <c r="AB38" s="51">
        <v>1.2800000000000001E-2</v>
      </c>
      <c r="AC38" s="51">
        <v>3.49E-2</v>
      </c>
      <c r="AD38" s="51">
        <v>19.327500000000001</v>
      </c>
      <c r="AE38" s="51">
        <v>0.37695000000000001</v>
      </c>
      <c r="AF38" s="51">
        <v>40.792499999999997</v>
      </c>
      <c r="AG38" s="51">
        <v>0.27065</v>
      </c>
      <c r="AH38" s="51">
        <v>9.6700000000000008E-2</v>
      </c>
      <c r="AI38" s="51"/>
      <c r="AJ38" s="51">
        <v>9.8499999999999994E-3</v>
      </c>
      <c r="AK38" s="26">
        <f t="shared" si="24"/>
        <v>99.789349999999999</v>
      </c>
      <c r="AL38" s="25">
        <f t="shared" si="25"/>
        <v>79.004529003361498</v>
      </c>
      <c r="AM38" s="51"/>
      <c r="AN38" s="51">
        <f t="shared" si="2"/>
        <v>27.246589423718735</v>
      </c>
      <c r="AO38" s="165">
        <f t="shared" si="3"/>
        <v>22.58658654843439</v>
      </c>
      <c r="AP38" s="5">
        <f t="shared" si="4"/>
        <v>95.703175972153133</v>
      </c>
      <c r="AR38" s="54"/>
      <c r="AS38" s="54">
        <f t="shared" si="5"/>
        <v>7.0959623205642156E-2</v>
      </c>
      <c r="AT38" s="54">
        <f t="shared" si="6"/>
        <v>8.5386007678138406E-2</v>
      </c>
      <c r="AU38" s="54">
        <f t="shared" si="7"/>
        <v>0.57935953238155491</v>
      </c>
      <c r="AV38" s="54">
        <f t="shared" si="8"/>
        <v>0.51609407337523905</v>
      </c>
      <c r="AW38" s="54">
        <f t="shared" si="9"/>
        <v>0.58834941410938113</v>
      </c>
      <c r="AX38" s="54">
        <f t="shared" si="10"/>
        <v>3.3704794071229296E-3</v>
      </c>
      <c r="AY38" s="54">
        <f t="shared" si="11"/>
        <v>0.78876025489062995</v>
      </c>
      <c r="AZ38" s="54">
        <f t="shared" si="12"/>
        <v>1.0555309213789279E-2</v>
      </c>
      <c r="BA38" s="54">
        <f t="shared" si="13"/>
        <v>0.35500566533727052</v>
      </c>
      <c r="BB38" s="84">
        <f t="shared" si="14"/>
        <v>2.2272598808019497E-3</v>
      </c>
      <c r="BC38" s="82">
        <f t="shared" si="28"/>
        <v>3.0000676194795703</v>
      </c>
      <c r="BD38" s="5">
        <v>4</v>
      </c>
      <c r="BE38" s="86"/>
      <c r="BF38" s="86">
        <f t="shared" si="29"/>
        <v>0.31038314663767397</v>
      </c>
      <c r="BG38" s="86">
        <f t="shared" si="30"/>
        <v>0.68961685336232603</v>
      </c>
      <c r="BH38" s="83">
        <f t="shared" si="31"/>
        <v>1.340632345295393</v>
      </c>
      <c r="BI38" s="86">
        <f t="shared" si="32"/>
        <v>4.1265641785155163</v>
      </c>
      <c r="BJ38" s="86">
        <f t="shared" si="33"/>
        <v>0.42723497434783925</v>
      </c>
      <c r="BK38" s="86">
        <f t="shared" si="34"/>
        <v>0.34941700850265839</v>
      </c>
      <c r="BL38" s="86">
        <f t="shared" si="35"/>
        <v>0.30650501708700884</v>
      </c>
      <c r="BM38" s="86">
        <f t="shared" si="36"/>
        <v>0.34407797441033283</v>
      </c>
      <c r="BN38" s="86">
        <f t="shared" si="37"/>
        <v>0.47112362464560559</v>
      </c>
      <c r="BO38" s="5">
        <f t="shared" si="15"/>
        <v>0.50384936749643028</v>
      </c>
      <c r="BP38" s="289"/>
      <c r="BQ38" s="290">
        <v>1200</v>
      </c>
      <c r="BR38" s="291">
        <f t="shared" si="38"/>
        <v>1473</v>
      </c>
      <c r="BS38" s="290">
        <v>8000</v>
      </c>
      <c r="BT38" s="292">
        <f t="shared" si="39"/>
        <v>0.8</v>
      </c>
      <c r="BU38" s="292">
        <f t="shared" si="16"/>
        <v>0.20995470996638499</v>
      </c>
      <c r="BV38" s="83">
        <f t="shared" si="40"/>
        <v>0.79004529003361501</v>
      </c>
      <c r="BW38" s="293">
        <f t="shared" si="17"/>
        <v>956.53166610544145</v>
      </c>
      <c r="BX38" s="294">
        <f t="shared" si="18"/>
        <v>941.34234483040746</v>
      </c>
      <c r="BY38" s="295">
        <f t="shared" si="19"/>
        <v>2.5266133157210904</v>
      </c>
      <c r="BZ38" s="295">
        <f t="shared" si="41"/>
        <v>-5.3910216721440287</v>
      </c>
      <c r="CA38" s="295">
        <f t="shared" si="20"/>
        <v>1.0809231559263894</v>
      </c>
      <c r="CB38" s="295">
        <f t="shared" si="21"/>
        <v>-6.8367118319387297</v>
      </c>
      <c r="CC38" s="296"/>
      <c r="CD38" s="297">
        <f t="shared" si="22"/>
        <v>0.40788252075718279</v>
      </c>
      <c r="CE38" s="297">
        <f t="shared" si="23"/>
        <v>2.4577464788732395E-3</v>
      </c>
      <c r="CF38" s="294">
        <f t="shared" si="26"/>
        <v>1305.3261929674341</v>
      </c>
      <c r="CG38" s="294">
        <f t="shared" si="27"/>
        <v>1307.9771791845028</v>
      </c>
    </row>
    <row r="39" spans="1:85" s="29" customFormat="1">
      <c r="A39" s="253" t="s">
        <v>272</v>
      </c>
      <c r="B39" s="8" t="s">
        <v>275</v>
      </c>
      <c r="C39" s="298" t="s">
        <v>323</v>
      </c>
      <c r="D39" s="255" t="s">
        <v>294</v>
      </c>
      <c r="E39" s="236" t="s">
        <v>277</v>
      </c>
      <c r="F39" s="28">
        <f t="shared" si="0"/>
        <v>81.38089770300671</v>
      </c>
      <c r="G39" s="8" t="s">
        <v>322</v>
      </c>
      <c r="H39" s="27" t="s">
        <v>272</v>
      </c>
      <c r="I39" s="27">
        <v>0.1</v>
      </c>
      <c r="J39" s="27">
        <v>3.17</v>
      </c>
      <c r="K39" s="27">
        <v>15.7</v>
      </c>
      <c r="L39" s="27">
        <v>45.32</v>
      </c>
      <c r="M39" s="27"/>
      <c r="N39" s="27">
        <v>0.28999999999999998</v>
      </c>
      <c r="O39" s="27">
        <v>9.23</v>
      </c>
      <c r="P39" s="27"/>
      <c r="Q39" s="27"/>
      <c r="R39" s="27"/>
      <c r="S39" s="27">
        <v>0.16</v>
      </c>
      <c r="T39" s="27">
        <v>21.78</v>
      </c>
      <c r="U39" s="27"/>
      <c r="V39" s="25">
        <v>0.19</v>
      </c>
      <c r="W39" s="254">
        <f t="shared" si="1"/>
        <v>95.94</v>
      </c>
      <c r="X39" s="8"/>
      <c r="Y39" s="255" t="s">
        <v>273</v>
      </c>
      <c r="Z39" s="27">
        <v>1</v>
      </c>
      <c r="AA39" s="27">
        <v>39.44</v>
      </c>
      <c r="AB39" s="27">
        <v>1.3599999999999999E-2</v>
      </c>
      <c r="AC39" s="27">
        <v>3.04E-2</v>
      </c>
      <c r="AD39" s="27">
        <v>17.34</v>
      </c>
      <c r="AE39" s="27">
        <v>0.27210000000000001</v>
      </c>
      <c r="AF39" s="27">
        <v>42.51</v>
      </c>
      <c r="AG39" s="27">
        <v>0.33250000000000002</v>
      </c>
      <c r="AH39" s="27">
        <v>0.1736</v>
      </c>
      <c r="AI39" s="27"/>
      <c r="AJ39" s="27">
        <v>1.35E-2</v>
      </c>
      <c r="AK39" s="28">
        <f t="shared" si="24"/>
        <v>100.12569999999998</v>
      </c>
      <c r="AL39" s="27">
        <f t="shared" si="25"/>
        <v>81.38089770300671</v>
      </c>
      <c r="AM39" s="27"/>
      <c r="AN39" s="27">
        <f t="shared" si="2"/>
        <v>22.093014855346556</v>
      </c>
      <c r="AO39" s="170">
        <f t="shared" si="3"/>
        <v>25.81349760463819</v>
      </c>
      <c r="AP39" s="29">
        <f t="shared" si="4"/>
        <v>98.526512459984744</v>
      </c>
      <c r="AR39" s="9"/>
      <c r="AS39" s="9">
        <f t="shared" si="5"/>
        <v>3.3200680241649017E-3</v>
      </c>
      <c r="AT39" s="9">
        <f t="shared" si="6"/>
        <v>7.9151959149369025E-2</v>
      </c>
      <c r="AU39" s="9">
        <f t="shared" si="7"/>
        <v>0.61439688797204439</v>
      </c>
      <c r="AV39" s="9">
        <f t="shared" si="8"/>
        <v>0.5719590484822511</v>
      </c>
      <c r="AW39" s="9">
        <f t="shared" si="9"/>
        <v>0.64494268133500365</v>
      </c>
      <c r="AX39" s="9">
        <f t="shared" si="10"/>
        <v>3.6131492363638456E-3</v>
      </c>
      <c r="AY39" s="9">
        <f t="shared" si="11"/>
        <v>0.613447496007551</v>
      </c>
      <c r="AZ39" s="9">
        <f t="shared" si="12"/>
        <v>8.1556015500281916E-3</v>
      </c>
      <c r="BA39" s="9">
        <f t="shared" si="13"/>
        <v>0.45681261530394351</v>
      </c>
      <c r="BB39" s="88">
        <f t="shared" si="14"/>
        <v>4.2725822529154104E-3</v>
      </c>
      <c r="BC39" s="89">
        <f t="shared" si="28"/>
        <v>3.0000720893136354</v>
      </c>
      <c r="BD39" s="29">
        <v>4</v>
      </c>
      <c r="BE39" s="90"/>
      <c r="BF39" s="90">
        <f t="shared" si="29"/>
        <v>0.42682391922853813</v>
      </c>
      <c r="BG39" s="90">
        <f t="shared" si="30"/>
        <v>0.57317608077146187</v>
      </c>
      <c r="BH39" s="90">
        <f t="shared" si="31"/>
        <v>0.95116591560933916</v>
      </c>
      <c r="BI39" s="90">
        <f t="shared" si="32"/>
        <v>2.6332525419458257</v>
      </c>
      <c r="BJ39" s="90">
        <f t="shared" si="33"/>
        <v>0.51251407786492875</v>
      </c>
      <c r="BK39" s="90">
        <f t="shared" si="34"/>
        <v>0.35217777978425135</v>
      </c>
      <c r="BL39" s="90">
        <f t="shared" si="35"/>
        <v>0.31232429431564074</v>
      </c>
      <c r="BM39" s="90">
        <f t="shared" si="36"/>
        <v>0.33549792590010796</v>
      </c>
      <c r="BN39" s="90">
        <f t="shared" si="37"/>
        <v>0.48211420443655856</v>
      </c>
      <c r="BO39" s="29">
        <f t="shared" si="15"/>
        <v>0.51212770332459545</v>
      </c>
      <c r="BP39" s="299"/>
      <c r="BQ39" s="300">
        <v>1200</v>
      </c>
      <c r="BR39" s="291">
        <f t="shared" si="38"/>
        <v>1473</v>
      </c>
      <c r="BS39" s="300">
        <v>8000</v>
      </c>
      <c r="BT39" s="301">
        <f t="shared" si="39"/>
        <v>0.8</v>
      </c>
      <c r="BU39" s="301">
        <f t="shared" si="16"/>
        <v>0.18619102296993295</v>
      </c>
      <c r="BV39" s="83">
        <f t="shared" si="40"/>
        <v>0.81380897703006705</v>
      </c>
      <c r="BW39" s="302">
        <f t="shared" si="17"/>
        <v>1136.9335606173474</v>
      </c>
      <c r="BX39" s="303">
        <f t="shared" si="18"/>
        <v>1113.1900475550592</v>
      </c>
      <c r="BY39" s="304">
        <f t="shared" si="19"/>
        <v>2.5994367577205129</v>
      </c>
      <c r="BZ39" s="304">
        <f t="shared" si="41"/>
        <v>-5.3181982301446062</v>
      </c>
      <c r="CA39" s="304">
        <f t="shared" si="20"/>
        <v>1.4107289984347822</v>
      </c>
      <c r="CB39" s="304">
        <f t="shared" si="21"/>
        <v>-6.5069059894303365</v>
      </c>
      <c r="CC39" s="305"/>
      <c r="CD39" s="306">
        <f t="shared" si="22"/>
        <v>0.41856538475969707</v>
      </c>
      <c r="CE39" s="297">
        <f t="shared" si="23"/>
        <v>1.9363057324840766E-3</v>
      </c>
      <c r="CF39" s="294">
        <f t="shared" si="26"/>
        <v>1250.890017861605</v>
      </c>
      <c r="CG39" s="294">
        <f t="shared" si="27"/>
        <v>1254.0563248799863</v>
      </c>
    </row>
    <row r="40" spans="1:85" s="5" customFormat="1">
      <c r="A40" s="233" t="s">
        <v>274</v>
      </c>
      <c r="B40" s="232" t="s">
        <v>275</v>
      </c>
      <c r="C40" s="288" t="s">
        <v>323</v>
      </c>
      <c r="D40" s="269">
        <v>2</v>
      </c>
      <c r="E40" s="235" t="s">
        <v>277</v>
      </c>
      <c r="F40" s="26">
        <f t="shared" si="0"/>
        <v>77.809981757155512</v>
      </c>
      <c r="G40" s="237" t="s">
        <v>130</v>
      </c>
      <c r="H40" s="25" t="s">
        <v>274</v>
      </c>
      <c r="I40" s="25">
        <v>0.24</v>
      </c>
      <c r="J40" s="25">
        <v>4.62</v>
      </c>
      <c r="K40" s="25">
        <v>14.06</v>
      </c>
      <c r="L40" s="25">
        <v>54.56</v>
      </c>
      <c r="M40" s="25"/>
      <c r="N40" s="25">
        <v>0.52</v>
      </c>
      <c r="O40" s="25">
        <v>7.39</v>
      </c>
      <c r="P40" s="25"/>
      <c r="Q40" s="25"/>
      <c r="R40" s="25"/>
      <c r="S40" s="25"/>
      <c r="T40" s="25">
        <v>13.92</v>
      </c>
      <c r="U40" s="25"/>
      <c r="V40" s="25">
        <v>0.41</v>
      </c>
      <c r="W40" s="5">
        <f t="shared" si="1"/>
        <v>95.72</v>
      </c>
      <c r="X40" s="238"/>
      <c r="Y40" s="239" t="s">
        <v>143</v>
      </c>
      <c r="Z40" s="25">
        <v>1</v>
      </c>
      <c r="AA40" s="25">
        <v>38.64</v>
      </c>
      <c r="AB40" s="25"/>
      <c r="AC40" s="25"/>
      <c r="AD40" s="25">
        <v>20.47</v>
      </c>
      <c r="AE40" s="25">
        <v>0.46</v>
      </c>
      <c r="AF40" s="25">
        <v>40.26</v>
      </c>
      <c r="AG40" s="25">
        <v>0.25</v>
      </c>
      <c r="AH40" s="25"/>
      <c r="AI40" s="25"/>
      <c r="AJ40" s="51"/>
      <c r="AK40" s="26">
        <f t="shared" si="24"/>
        <v>100.08</v>
      </c>
      <c r="AL40" s="25">
        <f>100*(AF40/40.3/(AF40/40.3+AD40/71.85))</f>
        <v>77.809981757155526</v>
      </c>
      <c r="AM40" s="51"/>
      <c r="AN40" s="51">
        <f t="shared" si="2"/>
        <v>26.072419389359681</v>
      </c>
      <c r="AO40" s="165">
        <f t="shared" si="3"/>
        <v>31.659902879129053</v>
      </c>
      <c r="AP40" s="5">
        <f t="shared" si="4"/>
        <v>98.892322268488726</v>
      </c>
      <c r="AR40" s="54"/>
      <c r="AS40" s="54">
        <f t="shared" si="5"/>
        <v>8.124913461441674E-3</v>
      </c>
      <c r="AT40" s="54">
        <f t="shared" si="6"/>
        <v>0.11762642628957549</v>
      </c>
      <c r="AU40" s="54">
        <f t="shared" si="7"/>
        <v>0.56104176977624443</v>
      </c>
      <c r="AV40" s="54">
        <f t="shared" si="8"/>
        <v>0.37274069888226607</v>
      </c>
      <c r="AW40" s="54">
        <f t="shared" si="9"/>
        <v>0.80657427065500187</v>
      </c>
      <c r="AX40" s="54">
        <f t="shared" si="10"/>
        <v>7.9501747711606934E-3</v>
      </c>
      <c r="AY40" s="54">
        <f t="shared" si="11"/>
        <v>0.73818338725074761</v>
      </c>
      <c r="AZ40" s="54">
        <f t="shared" si="12"/>
        <v>1.4911518298736947E-2</v>
      </c>
      <c r="BA40" s="54">
        <f t="shared" si="13"/>
        <v>0.37294204382147145</v>
      </c>
      <c r="BB40" s="84">
        <f t="shared" si="14"/>
        <v>0</v>
      </c>
      <c r="BC40" s="82">
        <f t="shared" si="28"/>
        <v>3.0000952032066461</v>
      </c>
      <c r="BD40" s="5">
        <v>4</v>
      </c>
      <c r="BE40" s="86"/>
      <c r="BF40" s="86">
        <f t="shared" si="29"/>
        <v>0.33564351367746847</v>
      </c>
      <c r="BG40" s="86">
        <f t="shared" si="30"/>
        <v>0.66435648632253153</v>
      </c>
      <c r="BH40" s="83">
        <f t="shared" si="31"/>
        <v>0.91520820103929734</v>
      </c>
      <c r="BI40" s="86">
        <f t="shared" si="32"/>
        <v>2.5037228944824417</v>
      </c>
      <c r="BJ40" s="86">
        <f t="shared" si="33"/>
        <v>0.52213644420347871</v>
      </c>
      <c r="BK40" s="86">
        <f t="shared" si="34"/>
        <v>0.46345341299000392</v>
      </c>
      <c r="BL40" s="86">
        <f t="shared" si="35"/>
        <v>0.21417488177124794</v>
      </c>
      <c r="BM40" s="86">
        <f t="shared" si="36"/>
        <v>0.32237170523874814</v>
      </c>
      <c r="BN40" s="86">
        <f t="shared" si="37"/>
        <v>0.39917294594077396</v>
      </c>
      <c r="BO40" s="5">
        <f t="shared" si="15"/>
        <v>0.58976660613067045</v>
      </c>
      <c r="BP40" s="289"/>
      <c r="BQ40" s="290">
        <v>1200</v>
      </c>
      <c r="BR40" s="291">
        <f t="shared" si="38"/>
        <v>1473</v>
      </c>
      <c r="BS40" s="290">
        <v>8000</v>
      </c>
      <c r="BT40" s="292">
        <f t="shared" si="39"/>
        <v>0.8</v>
      </c>
      <c r="BU40" s="292">
        <f t="shared" si="16"/>
        <v>0.22190018242844489</v>
      </c>
      <c r="BV40" s="83">
        <f t="shared" si="40"/>
        <v>0.77809981757155511</v>
      </c>
      <c r="BW40" s="293">
        <f t="shared" si="17"/>
        <v>1140.1733682072188</v>
      </c>
      <c r="BX40" s="294">
        <f t="shared" si="18"/>
        <v>1115.7849693615603</v>
      </c>
      <c r="BY40" s="295">
        <f t="shared" si="19"/>
        <v>2.8555216144227646</v>
      </c>
      <c r="BZ40" s="295">
        <f t="shared" si="41"/>
        <v>-5.0621133734423545</v>
      </c>
      <c r="CA40" s="295">
        <f t="shared" si="20"/>
        <v>1.4151245847483067</v>
      </c>
      <c r="CB40" s="295">
        <f t="shared" si="21"/>
        <v>-6.5025104031168119</v>
      </c>
      <c r="CC40" s="296"/>
      <c r="CD40" s="297">
        <f t="shared" si="22"/>
        <v>0.33939217814578221</v>
      </c>
      <c r="CE40" s="297"/>
      <c r="CF40" s="294"/>
      <c r="CG40" s="294"/>
    </row>
    <row r="41" spans="1:85" s="5" customFormat="1">
      <c r="A41" s="233" t="s">
        <v>278</v>
      </c>
      <c r="B41" s="5" t="s">
        <v>279</v>
      </c>
      <c r="C41" s="288" t="s">
        <v>326</v>
      </c>
      <c r="D41" s="269">
        <v>3</v>
      </c>
      <c r="E41" s="235" t="s">
        <v>277</v>
      </c>
      <c r="F41" s="26">
        <f t="shared" si="0"/>
        <v>81.174060019656579</v>
      </c>
      <c r="G41" s="237" t="s">
        <v>130</v>
      </c>
      <c r="H41" s="25" t="s">
        <v>278</v>
      </c>
      <c r="I41" s="25">
        <v>0.22</v>
      </c>
      <c r="J41" s="25">
        <v>12.86</v>
      </c>
      <c r="K41" s="25">
        <v>9.6199999999999992</v>
      </c>
      <c r="L41" s="25">
        <v>55</v>
      </c>
      <c r="M41" s="25"/>
      <c r="N41" s="25">
        <v>0.37</v>
      </c>
      <c r="O41" s="25">
        <v>9.02</v>
      </c>
      <c r="P41" s="25"/>
      <c r="Q41" s="25"/>
      <c r="R41" s="25"/>
      <c r="S41" s="25">
        <v>0.24</v>
      </c>
      <c r="T41" s="25">
        <v>8.83</v>
      </c>
      <c r="U41" s="25"/>
      <c r="V41" s="25">
        <v>0.54</v>
      </c>
      <c r="W41" s="5">
        <f t="shared" si="1"/>
        <v>96.7</v>
      </c>
      <c r="X41" s="238"/>
      <c r="Y41" s="239" t="s">
        <v>145</v>
      </c>
      <c r="Z41" s="25">
        <v>1</v>
      </c>
      <c r="AA41" s="25">
        <v>39.21</v>
      </c>
      <c r="AB41" s="25"/>
      <c r="AC41" s="25"/>
      <c r="AD41" s="25">
        <v>17.66</v>
      </c>
      <c r="AE41" s="25">
        <v>0.33</v>
      </c>
      <c r="AF41" s="25">
        <v>42.71</v>
      </c>
      <c r="AG41" s="25">
        <v>0.34</v>
      </c>
      <c r="AH41" s="25">
        <v>0.2</v>
      </c>
      <c r="AI41" s="25"/>
      <c r="AJ41" s="51"/>
      <c r="AK41" s="26">
        <f t="shared" si="24"/>
        <v>100.45</v>
      </c>
      <c r="AL41" s="25">
        <f>100*(AF41/40.3/(AF41/40.3+AD41/71.85))</f>
        <v>81.174060019656594</v>
      </c>
      <c r="AM41" s="51"/>
      <c r="AN41" s="51">
        <f t="shared" si="2"/>
        <v>30.41034354390683</v>
      </c>
      <c r="AO41" s="165">
        <f t="shared" si="3"/>
        <v>27.327913376409391</v>
      </c>
      <c r="AP41" s="5">
        <f t="shared" si="4"/>
        <v>99.438256920316235</v>
      </c>
      <c r="AR41" s="54"/>
      <c r="AS41" s="54">
        <f t="shared" si="5"/>
        <v>7.4598139162809496E-3</v>
      </c>
      <c r="AT41" s="54">
        <f t="shared" si="6"/>
        <v>0.32794552317835274</v>
      </c>
      <c r="AU41" s="54">
        <f t="shared" si="7"/>
        <v>0.38448797205375373</v>
      </c>
      <c r="AV41" s="54">
        <f t="shared" si="8"/>
        <v>0.23682420853715677</v>
      </c>
      <c r="AW41" s="54">
        <f t="shared" si="9"/>
        <v>0.69733115579559912</v>
      </c>
      <c r="AX41" s="54">
        <f t="shared" si="10"/>
        <v>1.0487799838989008E-2</v>
      </c>
      <c r="AY41" s="54">
        <f t="shared" si="11"/>
        <v>0.86238674216615041</v>
      </c>
      <c r="AZ41" s="54">
        <f t="shared" si="12"/>
        <v>1.0627180507525518E-2</v>
      </c>
      <c r="BA41" s="54">
        <f t="shared" si="13"/>
        <v>0.45593324106678768</v>
      </c>
      <c r="BB41" s="84">
        <f t="shared" si="14"/>
        <v>6.5454577320206223E-3</v>
      </c>
      <c r="BC41" s="82">
        <f t="shared" si="28"/>
        <v>3.0000290947926165</v>
      </c>
      <c r="BD41" s="5">
        <v>4</v>
      </c>
      <c r="BE41" s="86"/>
      <c r="BF41" s="86">
        <f t="shared" si="29"/>
        <v>0.34584414016746906</v>
      </c>
      <c r="BG41" s="86">
        <f t="shared" si="30"/>
        <v>0.65415585983253099</v>
      </c>
      <c r="BH41" s="83">
        <f t="shared" si="31"/>
        <v>1.2366961306672668</v>
      </c>
      <c r="BI41" s="86">
        <f t="shared" si="32"/>
        <v>3.7129232430371442</v>
      </c>
      <c r="BJ41" s="86">
        <f t="shared" si="33"/>
        <v>0.44708800014853745</v>
      </c>
      <c r="BK41" s="86">
        <f t="shared" si="34"/>
        <v>0.52882469167629675</v>
      </c>
      <c r="BL41" s="86">
        <f t="shared" si="35"/>
        <v>0.17959686444564177</v>
      </c>
      <c r="BM41" s="86">
        <f t="shared" si="36"/>
        <v>0.29157844387806159</v>
      </c>
      <c r="BN41" s="86">
        <f t="shared" si="37"/>
        <v>0.38116781858665749</v>
      </c>
      <c r="BO41" s="5">
        <f t="shared" si="15"/>
        <v>0.64459126100116892</v>
      </c>
      <c r="BP41" s="289"/>
      <c r="BQ41" s="290">
        <v>1200</v>
      </c>
      <c r="BR41" s="291">
        <f t="shared" si="38"/>
        <v>1473</v>
      </c>
      <c r="BS41" s="290">
        <v>8000</v>
      </c>
      <c r="BT41" s="292">
        <f t="shared" si="39"/>
        <v>0.8</v>
      </c>
      <c r="BU41" s="292">
        <f t="shared" si="16"/>
        <v>0.1882593998034342</v>
      </c>
      <c r="BV41" s="83">
        <f t="shared" si="40"/>
        <v>0.8117406001965658</v>
      </c>
      <c r="BW41" s="293">
        <f t="shared" si="17"/>
        <v>1362.0912483703755</v>
      </c>
      <c r="BX41" s="294">
        <f t="shared" si="18"/>
        <v>1334.7748582491645</v>
      </c>
      <c r="BY41" s="295">
        <f t="shared" si="19"/>
        <v>3.349765445688258</v>
      </c>
      <c r="BZ41" s="295">
        <f t="shared" si="41"/>
        <v>-4.5678695421768616</v>
      </c>
      <c r="CA41" s="295">
        <f t="shared" si="20"/>
        <v>2.089669458587549</v>
      </c>
      <c r="CB41" s="295">
        <f t="shared" si="21"/>
        <v>-5.8279655292775701</v>
      </c>
      <c r="CC41" s="296"/>
      <c r="CD41" s="297">
        <f t="shared" si="22"/>
        <v>0.3226355577226096</v>
      </c>
      <c r="CE41" s="297"/>
      <c r="CF41" s="294"/>
      <c r="CG41" s="294"/>
    </row>
    <row r="42" spans="1:85" s="48" customFormat="1">
      <c r="A42" s="17" t="s">
        <v>281</v>
      </c>
      <c r="B42" s="307" t="s">
        <v>279</v>
      </c>
      <c r="C42" s="288" t="s">
        <v>327</v>
      </c>
      <c r="D42" s="265">
        <v>3</v>
      </c>
      <c r="E42" s="21" t="s">
        <v>277</v>
      </c>
      <c r="F42" s="256">
        <f t="shared" si="0"/>
        <v>81.414334900729074</v>
      </c>
      <c r="G42" s="240" t="s">
        <v>130</v>
      </c>
      <c r="H42" s="51" t="s">
        <v>281</v>
      </c>
      <c r="I42" s="51">
        <v>0.18</v>
      </c>
      <c r="J42" s="51">
        <v>9.01</v>
      </c>
      <c r="K42" s="51">
        <v>9.25</v>
      </c>
      <c r="L42" s="51">
        <v>56.13</v>
      </c>
      <c r="M42" s="51"/>
      <c r="N42" s="51">
        <v>0.37</v>
      </c>
      <c r="O42" s="51">
        <v>7.74</v>
      </c>
      <c r="P42" s="51"/>
      <c r="Q42" s="51"/>
      <c r="R42" s="51"/>
      <c r="S42" s="51"/>
      <c r="T42" s="51">
        <v>12.05</v>
      </c>
      <c r="U42" s="51"/>
      <c r="V42" s="25">
        <v>0.35</v>
      </c>
      <c r="W42" s="48">
        <f t="shared" si="1"/>
        <v>95.079999999999984</v>
      </c>
      <c r="X42" s="241"/>
      <c r="Y42" s="242" t="s">
        <v>146</v>
      </c>
      <c r="Z42" s="51">
        <v>1</v>
      </c>
      <c r="AA42" s="51">
        <v>38.71</v>
      </c>
      <c r="AB42" s="51"/>
      <c r="AC42" s="51"/>
      <c r="AD42" s="51">
        <v>17.2</v>
      </c>
      <c r="AE42" s="51">
        <v>0.35</v>
      </c>
      <c r="AF42" s="51">
        <v>42.26</v>
      </c>
      <c r="AG42" s="51">
        <v>0.31</v>
      </c>
      <c r="AH42" s="51">
        <v>0.2</v>
      </c>
      <c r="AI42" s="51"/>
      <c r="AJ42" s="51"/>
      <c r="AK42" s="256">
        <f t="shared" si="24"/>
        <v>99.03</v>
      </c>
      <c r="AL42" s="51">
        <f>100*(AF42/40.3/(AF42/40.3+AD42/71.85))</f>
        <v>81.414334900729074</v>
      </c>
      <c r="AM42" s="51"/>
      <c r="AN42" s="51">
        <f t="shared" si="2"/>
        <v>28.581882367461262</v>
      </c>
      <c r="AO42" s="165">
        <f t="shared" si="3"/>
        <v>30.615823107955922</v>
      </c>
      <c r="AP42" s="48">
        <f t="shared" si="4"/>
        <v>98.147705475417183</v>
      </c>
      <c r="AR42" s="54"/>
      <c r="AS42" s="54">
        <f t="shared" si="5"/>
        <v>6.2511631353952711E-3</v>
      </c>
      <c r="AT42" s="54">
        <f t="shared" si="6"/>
        <v>0.23532525790440659</v>
      </c>
      <c r="AU42" s="54">
        <f t="shared" si="7"/>
        <v>0.37864518040349077</v>
      </c>
      <c r="AV42" s="54">
        <f t="shared" si="8"/>
        <v>0.33100568450346757</v>
      </c>
      <c r="AW42" s="54">
        <f t="shared" si="9"/>
        <v>0.80013183690000045</v>
      </c>
      <c r="AX42" s="54">
        <f t="shared" si="10"/>
        <v>6.9621229562940529E-3</v>
      </c>
      <c r="AY42" s="54">
        <f t="shared" si="11"/>
        <v>0.83014620463823474</v>
      </c>
      <c r="AZ42" s="54">
        <f t="shared" si="12"/>
        <v>1.0884314235675194E-2</v>
      </c>
      <c r="BA42" s="54">
        <f t="shared" si="13"/>
        <v>0.40069940190160708</v>
      </c>
      <c r="BB42" s="84">
        <f t="shared" si="14"/>
        <v>0</v>
      </c>
      <c r="BC42" s="82">
        <f t="shared" si="28"/>
        <v>3.0000511665785714</v>
      </c>
      <c r="BD42" s="48">
        <v>4</v>
      </c>
      <c r="BE42" s="83"/>
      <c r="BF42" s="83">
        <f t="shared" si="29"/>
        <v>0.32554806205796588</v>
      </c>
      <c r="BG42" s="83">
        <f t="shared" si="30"/>
        <v>0.67445193794203417</v>
      </c>
      <c r="BH42" s="83">
        <f>AY42/AW42</f>
        <v>1.0375117778771568</v>
      </c>
      <c r="BI42" s="83">
        <f t="shared" si="32"/>
        <v>2.9504358212384414</v>
      </c>
      <c r="BJ42" s="83">
        <f t="shared" si="33"/>
        <v>0.49079470894734173</v>
      </c>
      <c r="BK42" s="83">
        <f t="shared" si="34"/>
        <v>0.52996489888404186</v>
      </c>
      <c r="BL42" s="83">
        <f t="shared" si="35"/>
        <v>0.21924061264399761</v>
      </c>
      <c r="BM42" s="83">
        <f t="shared" si="36"/>
        <v>0.25079448847196056</v>
      </c>
      <c r="BN42" s="83">
        <f t="shared" si="37"/>
        <v>0.4664345537673168</v>
      </c>
      <c r="BO42" s="48">
        <f t="shared" si="15"/>
        <v>0.67878133451425804</v>
      </c>
      <c r="BP42" s="289"/>
      <c r="BQ42" s="308">
        <v>1200</v>
      </c>
      <c r="BR42" s="289">
        <f t="shared" si="38"/>
        <v>1473</v>
      </c>
      <c r="BS42" s="308">
        <v>8000</v>
      </c>
      <c r="BT42" s="292">
        <f t="shared" si="39"/>
        <v>0.8</v>
      </c>
      <c r="BU42" s="292">
        <f t="shared" si="16"/>
        <v>0.18585665099270932</v>
      </c>
      <c r="BV42" s="83">
        <f t="shared" si="40"/>
        <v>0.81414334900729068</v>
      </c>
      <c r="BW42" s="293">
        <f t="shared" si="17"/>
        <v>1231.9317597107424</v>
      </c>
      <c r="BX42" s="309">
        <f t="shared" si="18"/>
        <v>1207.8843269604752</v>
      </c>
      <c r="BY42" s="310">
        <f t="shared" si="19"/>
        <v>3.3655362246462683</v>
      </c>
      <c r="BZ42" s="310">
        <f t="shared" si="41"/>
        <v>-4.5520987632188508</v>
      </c>
      <c r="CA42" s="310">
        <f t="shared" si="20"/>
        <v>2.1258542406297956</v>
      </c>
      <c r="CB42" s="310">
        <f t="shared" si="21"/>
        <v>-5.7917807472353235</v>
      </c>
      <c r="CC42" s="311"/>
      <c r="CD42" s="312">
        <f t="shared" si="22"/>
        <v>0.40334285204952608</v>
      </c>
      <c r="CE42" s="297"/>
      <c r="CF42" s="294"/>
      <c r="CG42" s="294"/>
    </row>
    <row r="43" spans="1:85" s="5" customFormat="1">
      <c r="A43" s="233" t="s">
        <v>282</v>
      </c>
      <c r="B43" s="232" t="s">
        <v>275</v>
      </c>
      <c r="C43" s="288" t="s">
        <v>323</v>
      </c>
      <c r="D43" s="269" t="s">
        <v>294</v>
      </c>
      <c r="E43" s="235" t="s">
        <v>277</v>
      </c>
      <c r="F43" s="26">
        <f t="shared" si="0"/>
        <v>82.291514159356893</v>
      </c>
      <c r="G43" s="237" t="s">
        <v>130</v>
      </c>
      <c r="H43" s="25" t="s">
        <v>282</v>
      </c>
      <c r="I43" s="25">
        <v>0.2</v>
      </c>
      <c r="J43" s="25">
        <v>1.68</v>
      </c>
      <c r="K43" s="25">
        <v>17.420000000000002</v>
      </c>
      <c r="L43" s="25">
        <v>40.25</v>
      </c>
      <c r="M43" s="25"/>
      <c r="N43" s="25"/>
      <c r="O43" s="25">
        <v>9.94</v>
      </c>
      <c r="P43" s="25"/>
      <c r="Q43" s="25"/>
      <c r="R43" s="25"/>
      <c r="S43" s="25"/>
      <c r="T43" s="25">
        <v>28.64</v>
      </c>
      <c r="U43" s="25"/>
      <c r="V43" s="25">
        <v>0.26</v>
      </c>
      <c r="W43" s="5">
        <f t="shared" si="1"/>
        <v>98.39</v>
      </c>
      <c r="X43" s="238"/>
      <c r="Y43" s="239" t="s">
        <v>135</v>
      </c>
      <c r="Z43" s="25">
        <v>2</v>
      </c>
      <c r="AA43" s="25">
        <v>39.659999999999997</v>
      </c>
      <c r="AB43" s="25"/>
      <c r="AC43" s="25"/>
      <c r="AD43" s="25">
        <v>16.86</v>
      </c>
      <c r="AE43" s="25">
        <v>0.28000000000000003</v>
      </c>
      <c r="AF43" s="25">
        <v>43.945</v>
      </c>
      <c r="AG43" s="25">
        <v>0.34499999999999997</v>
      </c>
      <c r="AH43" s="25"/>
      <c r="AI43" s="25"/>
      <c r="AJ43" s="51"/>
      <c r="AK43" s="26">
        <f t="shared" si="24"/>
        <v>101.09</v>
      </c>
      <c r="AL43" s="25">
        <f t="shared" ref="AL43:AL50" si="44">100*(AF43/40.3/(AF43/40.3+AD43/71.85))</f>
        <v>82.291514159356893</v>
      </c>
      <c r="AM43" s="51"/>
      <c r="AN43" s="51">
        <f t="shared" si="2"/>
        <v>21.218501640892871</v>
      </c>
      <c r="AO43" s="165">
        <f t="shared" si="3"/>
        <v>21.150809467778537</v>
      </c>
      <c r="AP43" s="5">
        <f t="shared" si="4"/>
        <v>100.5093111086714</v>
      </c>
      <c r="AR43" s="54"/>
      <c r="AS43" s="54">
        <f t="shared" si="5"/>
        <v>6.4325233652364052E-3</v>
      </c>
      <c r="AT43" s="54">
        <f t="shared" si="6"/>
        <v>4.0636480146974553E-2</v>
      </c>
      <c r="AU43" s="54">
        <f t="shared" si="7"/>
        <v>0.6603921470652323</v>
      </c>
      <c r="AV43" s="54">
        <f t="shared" si="8"/>
        <v>0.72859211682562008</v>
      </c>
      <c r="AW43" s="54">
        <f t="shared" si="9"/>
        <v>0.51192419176941095</v>
      </c>
      <c r="AX43" s="54">
        <f t="shared" si="10"/>
        <v>4.789719070843316E-3</v>
      </c>
      <c r="AY43" s="54">
        <f t="shared" si="11"/>
        <v>0.5707442185458077</v>
      </c>
      <c r="AZ43" s="54">
        <f t="shared" si="12"/>
        <v>0</v>
      </c>
      <c r="BA43" s="54">
        <f t="shared" si="13"/>
        <v>0.47657051233310993</v>
      </c>
      <c r="BB43" s="84">
        <f t="shared" si="14"/>
        <v>0</v>
      </c>
      <c r="BC43" s="82">
        <f t="shared" si="28"/>
        <v>3.0000819091222355</v>
      </c>
      <c r="BD43" s="5">
        <v>4</v>
      </c>
      <c r="BE43" s="86"/>
      <c r="BF43" s="86">
        <f t="shared" si="29"/>
        <v>0.45504039834631838</v>
      </c>
      <c r="BG43" s="86">
        <f t="shared" si="30"/>
        <v>0.54495960165368162</v>
      </c>
      <c r="BH43" s="83">
        <f t="shared" si="31"/>
        <v>1.114899877212467</v>
      </c>
      <c r="BI43" s="86">
        <f t="shared" si="32"/>
        <v>3.2417530748510481</v>
      </c>
      <c r="BJ43" s="86">
        <f t="shared" si="33"/>
        <v>0.47283562251563649</v>
      </c>
      <c r="BK43" s="86">
        <f t="shared" si="34"/>
        <v>0.26930502110455323</v>
      </c>
      <c r="BL43" s="86">
        <f t="shared" si="35"/>
        <v>0.38328627275875321</v>
      </c>
      <c r="BM43" s="86">
        <f t="shared" si="36"/>
        <v>0.34740870613669345</v>
      </c>
      <c r="BN43" s="86">
        <f t="shared" si="37"/>
        <v>0.52455030324438101</v>
      </c>
      <c r="BO43" s="5">
        <f t="shared" si="15"/>
        <v>0.43667752023169448</v>
      </c>
      <c r="BP43" s="289"/>
      <c r="BQ43" s="290">
        <v>1200</v>
      </c>
      <c r="BR43" s="291">
        <f t="shared" si="38"/>
        <v>1473</v>
      </c>
      <c r="BS43" s="290">
        <v>8000</v>
      </c>
      <c r="BT43" s="292">
        <f t="shared" si="39"/>
        <v>0.8</v>
      </c>
      <c r="BU43" s="292">
        <f t="shared" si="16"/>
        <v>0.17708485840643107</v>
      </c>
      <c r="BV43" s="83">
        <f t="shared" si="40"/>
        <v>0.82291514159356893</v>
      </c>
      <c r="BW43" s="293">
        <f t="shared" si="17"/>
        <v>1070.3011510436936</v>
      </c>
      <c r="BX43" s="294">
        <f t="shared" si="18"/>
        <v>1052.501713977759</v>
      </c>
      <c r="BY43" s="295">
        <f t="shared" si="19"/>
        <v>2.2023274428663653</v>
      </c>
      <c r="BZ43" s="295">
        <f t="shared" si="41"/>
        <v>-5.7153075449987538</v>
      </c>
      <c r="CA43" s="295">
        <f t="shared" si="20"/>
        <v>1.0931894822496726</v>
      </c>
      <c r="CB43" s="295">
        <f t="shared" si="21"/>
        <v>-6.8244455056154463</v>
      </c>
      <c r="CC43" s="296"/>
      <c r="CD43" s="297">
        <f t="shared" si="22"/>
        <v>0.46038037459813164</v>
      </c>
      <c r="CE43" s="297"/>
      <c r="CF43" s="294"/>
      <c r="CG43" s="294"/>
    </row>
    <row r="44" spans="1:85" s="5" customFormat="1">
      <c r="A44" s="233" t="s">
        <v>283</v>
      </c>
      <c r="B44" s="5" t="s">
        <v>279</v>
      </c>
      <c r="C44" s="288" t="s">
        <v>327</v>
      </c>
      <c r="D44" s="269" t="s">
        <v>294</v>
      </c>
      <c r="E44" s="235" t="s">
        <v>277</v>
      </c>
      <c r="F44" s="26">
        <f t="shared" si="0"/>
        <v>82.291514159356893</v>
      </c>
      <c r="G44" s="237" t="s">
        <v>130</v>
      </c>
      <c r="H44" s="25" t="s">
        <v>283</v>
      </c>
      <c r="I44" s="25">
        <v>0.28000000000000003</v>
      </c>
      <c r="J44" s="25">
        <v>8.74</v>
      </c>
      <c r="K44" s="25">
        <v>11.76</v>
      </c>
      <c r="L44" s="25">
        <v>55.6</v>
      </c>
      <c r="M44" s="25"/>
      <c r="N44" s="25">
        <v>0.42</v>
      </c>
      <c r="O44" s="25">
        <v>6.61</v>
      </c>
      <c r="P44" s="25"/>
      <c r="Q44" s="25"/>
      <c r="R44" s="25"/>
      <c r="S44" s="25"/>
      <c r="T44" s="25">
        <v>14.78</v>
      </c>
      <c r="U44" s="25"/>
      <c r="V44" s="25">
        <v>0.34</v>
      </c>
      <c r="W44" s="5">
        <f t="shared" si="1"/>
        <v>98.53</v>
      </c>
      <c r="X44" s="238"/>
      <c r="Y44" s="239" t="s">
        <v>135</v>
      </c>
      <c r="Z44" s="25">
        <v>2</v>
      </c>
      <c r="AA44" s="25">
        <v>39.659999999999997</v>
      </c>
      <c r="AB44" s="25"/>
      <c r="AC44" s="25"/>
      <c r="AD44" s="25">
        <v>16.86</v>
      </c>
      <c r="AE44" s="25">
        <v>0.28000000000000003</v>
      </c>
      <c r="AF44" s="25">
        <v>43.945</v>
      </c>
      <c r="AG44" s="25">
        <v>0.34499999999999997</v>
      </c>
      <c r="AH44" s="25"/>
      <c r="AI44" s="25"/>
      <c r="AJ44" s="51"/>
      <c r="AK44" s="26">
        <f t="shared" si="24"/>
        <v>101.09</v>
      </c>
      <c r="AL44" s="25">
        <f t="shared" si="44"/>
        <v>82.291514159356893</v>
      </c>
      <c r="AM44" s="51"/>
      <c r="AN44" s="51">
        <f t="shared" si="2"/>
        <v>31.586830752349929</v>
      </c>
      <c r="AO44" s="165">
        <f t="shared" si="3"/>
        <v>26.687229659535532</v>
      </c>
      <c r="AP44" s="5">
        <f t="shared" si="4"/>
        <v>101.20406041188546</v>
      </c>
      <c r="AR44" s="54"/>
      <c r="AS44" s="54">
        <f t="shared" si="5"/>
        <v>9.4056750798582871E-3</v>
      </c>
      <c r="AT44" s="54">
        <f t="shared" si="6"/>
        <v>0.22079986214444405</v>
      </c>
      <c r="AU44" s="54">
        <f t="shared" si="7"/>
        <v>0.46563073073842187</v>
      </c>
      <c r="AV44" s="54">
        <f t="shared" si="8"/>
        <v>0.39270501935959479</v>
      </c>
      <c r="AW44" s="54">
        <f t="shared" si="9"/>
        <v>0.67462544433917271</v>
      </c>
      <c r="AX44" s="54">
        <f t="shared" si="10"/>
        <v>6.5417836133880988E-3</v>
      </c>
      <c r="AY44" s="54">
        <f t="shared" si="11"/>
        <v>0.88738774249736874</v>
      </c>
      <c r="AZ44" s="54">
        <f t="shared" si="12"/>
        <v>1.1950669908697868E-2</v>
      </c>
      <c r="BA44" s="54">
        <f t="shared" si="13"/>
        <v>0.33099604606946204</v>
      </c>
      <c r="BB44" s="84">
        <f t="shared" si="14"/>
        <v>0</v>
      </c>
      <c r="BC44" s="82">
        <f t="shared" si="28"/>
        <v>3.0000429737504084</v>
      </c>
      <c r="BD44" s="5">
        <v>4</v>
      </c>
      <c r="BE44" s="86"/>
      <c r="BF44" s="86">
        <f t="shared" si="29"/>
        <v>0.27166813049836164</v>
      </c>
      <c r="BG44" s="86">
        <f t="shared" si="30"/>
        <v>0.72833186950163831</v>
      </c>
      <c r="BH44" s="83">
        <f t="shared" si="31"/>
        <v>1.3153784072977068</v>
      </c>
      <c r="BI44" s="86">
        <f t="shared" si="32"/>
        <v>4.0251161230809123</v>
      </c>
      <c r="BJ44" s="86">
        <f t="shared" si="33"/>
        <v>0.43189484571859099</v>
      </c>
      <c r="BK44" s="86">
        <f t="shared" si="34"/>
        <v>0.44007992295385823</v>
      </c>
      <c r="BL44" s="86">
        <f t="shared" si="35"/>
        <v>0.25617414242750769</v>
      </c>
      <c r="BM44" s="86">
        <f t="shared" si="36"/>
        <v>0.30374593461863419</v>
      </c>
      <c r="BN44" s="86">
        <f t="shared" si="37"/>
        <v>0.45751912269149958</v>
      </c>
      <c r="BO44" s="5">
        <f t="shared" si="15"/>
        <v>0.59164375434604799</v>
      </c>
      <c r="BP44" s="289"/>
      <c r="BQ44" s="290">
        <v>1200</v>
      </c>
      <c r="BR44" s="291">
        <f t="shared" si="38"/>
        <v>1473</v>
      </c>
      <c r="BS44" s="290">
        <v>8000</v>
      </c>
      <c r="BT44" s="292">
        <f t="shared" si="39"/>
        <v>0.8</v>
      </c>
      <c r="BU44" s="292">
        <f t="shared" si="16"/>
        <v>0.17708485840643107</v>
      </c>
      <c r="BV44" s="83">
        <f t="shared" si="40"/>
        <v>0.82291514159356893</v>
      </c>
      <c r="BW44" s="293">
        <f t="shared" si="17"/>
        <v>1011.5609499506024</v>
      </c>
      <c r="BX44" s="294">
        <f t="shared" si="18"/>
        <v>993.59637666553181</v>
      </c>
      <c r="BY44" s="295">
        <f t="shared" si="19"/>
        <v>3.2566427375340368</v>
      </c>
      <c r="BZ44" s="295">
        <f t="shared" si="41"/>
        <v>-4.6609922503310823</v>
      </c>
      <c r="CA44" s="295">
        <f t="shared" si="20"/>
        <v>1.9188814138792978</v>
      </c>
      <c r="CB44" s="295">
        <f t="shared" si="21"/>
        <v>-5.9987535739858213</v>
      </c>
      <c r="CC44" s="296"/>
      <c r="CD44" s="297">
        <f t="shared" si="22"/>
        <v>0.39474118384476053</v>
      </c>
      <c r="CE44" s="297"/>
      <c r="CF44" s="294"/>
      <c r="CG44" s="294"/>
    </row>
    <row r="45" spans="1:85" s="5" customFormat="1">
      <c r="A45" s="233" t="s">
        <v>284</v>
      </c>
      <c r="B45" s="5" t="s">
        <v>279</v>
      </c>
      <c r="C45" s="288" t="s">
        <v>327</v>
      </c>
      <c r="D45" s="269" t="s">
        <v>294</v>
      </c>
      <c r="E45" s="235" t="s">
        <v>277</v>
      </c>
      <c r="F45" s="26">
        <f t="shared" si="0"/>
        <v>82.291514159356893</v>
      </c>
      <c r="G45" s="237" t="s">
        <v>130</v>
      </c>
      <c r="H45" s="25" t="s">
        <v>284</v>
      </c>
      <c r="I45" s="25"/>
      <c r="J45" s="25">
        <v>12.47</v>
      </c>
      <c r="K45" s="25">
        <v>9.52</v>
      </c>
      <c r="L45" s="25">
        <v>57.08</v>
      </c>
      <c r="M45" s="25"/>
      <c r="N45" s="25">
        <v>0.7</v>
      </c>
      <c r="O45" s="25">
        <v>5.76</v>
      </c>
      <c r="P45" s="25"/>
      <c r="Q45" s="25"/>
      <c r="R45" s="25"/>
      <c r="S45" s="25"/>
      <c r="T45" s="25">
        <v>11.04</v>
      </c>
      <c r="U45" s="25"/>
      <c r="V45" s="25">
        <v>0.49</v>
      </c>
      <c r="W45" s="5">
        <f t="shared" si="1"/>
        <v>97.059999999999988</v>
      </c>
      <c r="X45" s="238"/>
      <c r="Y45" s="239" t="s">
        <v>135</v>
      </c>
      <c r="Z45" s="25">
        <v>2</v>
      </c>
      <c r="AA45" s="25">
        <v>39.659999999999997</v>
      </c>
      <c r="AB45" s="25"/>
      <c r="AC45" s="25"/>
      <c r="AD45" s="25">
        <v>16.86</v>
      </c>
      <c r="AE45" s="25">
        <v>0.28000000000000003</v>
      </c>
      <c r="AF45" s="25">
        <v>43.945</v>
      </c>
      <c r="AG45" s="25">
        <v>0.34499999999999997</v>
      </c>
      <c r="AH45" s="25"/>
      <c r="AI45" s="25"/>
      <c r="AJ45" s="51"/>
      <c r="AK45" s="26">
        <f t="shared" si="24"/>
        <v>101.09</v>
      </c>
      <c r="AL45" s="25">
        <f t="shared" si="44"/>
        <v>82.291514159356893</v>
      </c>
      <c r="AM45" s="51"/>
      <c r="AN45" s="51">
        <f t="shared" si="2"/>
        <v>34.727830174687639</v>
      </c>
      <c r="AO45" s="165">
        <f t="shared" si="3"/>
        <v>24.841264531354028</v>
      </c>
      <c r="AP45" s="5">
        <f t="shared" si="4"/>
        <v>99.549094706041672</v>
      </c>
      <c r="AR45" s="54"/>
      <c r="AS45" s="54">
        <f t="shared" si="5"/>
        <v>0</v>
      </c>
      <c r="AT45" s="54">
        <f t="shared" si="6"/>
        <v>0.32514881174472249</v>
      </c>
      <c r="AU45" s="54">
        <f t="shared" si="7"/>
        <v>0.38904479948581139</v>
      </c>
      <c r="AV45" s="54">
        <f t="shared" si="8"/>
        <v>0.30275368927524016</v>
      </c>
      <c r="AW45" s="54">
        <f t="shared" si="9"/>
        <v>0.64812873456498588</v>
      </c>
      <c r="AX45" s="54">
        <f t="shared" si="10"/>
        <v>9.7306463764814267E-3</v>
      </c>
      <c r="AY45" s="54">
        <f t="shared" si="11"/>
        <v>1.0069626767319637</v>
      </c>
      <c r="AZ45" s="54">
        <f t="shared" si="12"/>
        <v>2.0557455220843901E-2</v>
      </c>
      <c r="BA45" s="54">
        <f t="shared" si="13"/>
        <v>0.29769544000396914</v>
      </c>
      <c r="BB45" s="84">
        <f t="shared" si="14"/>
        <v>0</v>
      </c>
      <c r="BC45" s="82">
        <f t="shared" si="28"/>
        <v>3.0000222534040186</v>
      </c>
      <c r="BD45" s="5">
        <v>4</v>
      </c>
      <c r="BE45" s="86"/>
      <c r="BF45" s="86">
        <f t="shared" si="29"/>
        <v>0.22817888930838093</v>
      </c>
      <c r="BG45" s="86">
        <f t="shared" si="30"/>
        <v>0.77182111069161907</v>
      </c>
      <c r="BH45" s="83">
        <f t="shared" si="31"/>
        <v>1.5536460937931131</v>
      </c>
      <c r="BI45" s="86">
        <f t="shared" si="32"/>
        <v>5.0051113079828458</v>
      </c>
      <c r="BJ45" s="86">
        <f t="shared" si="33"/>
        <v>0.39159694149890151</v>
      </c>
      <c r="BK45" s="86">
        <f t="shared" si="34"/>
        <v>0.48370443057061469</v>
      </c>
      <c r="BL45" s="86">
        <f t="shared" si="35"/>
        <v>0.22594786045448728</v>
      </c>
      <c r="BM45" s="86">
        <f t="shared" si="36"/>
        <v>0.29034770897489792</v>
      </c>
      <c r="BN45" s="86">
        <f t="shared" si="37"/>
        <v>0.43763277051594113</v>
      </c>
      <c r="BO45" s="5">
        <f t="shared" si="15"/>
        <v>0.6248990292238239</v>
      </c>
      <c r="BP45" s="289"/>
      <c r="BQ45" s="290">
        <v>1200</v>
      </c>
      <c r="BR45" s="291">
        <f t="shared" si="38"/>
        <v>1473</v>
      </c>
      <c r="BS45" s="290">
        <v>8000</v>
      </c>
      <c r="BT45" s="292">
        <f t="shared" si="39"/>
        <v>0.8</v>
      </c>
      <c r="BU45" s="292">
        <f t="shared" si="16"/>
        <v>0.17708485840643107</v>
      </c>
      <c r="BV45" s="83">
        <f t="shared" si="40"/>
        <v>0.82291514159356893</v>
      </c>
      <c r="BW45" s="293">
        <f t="shared" si="17"/>
        <v>1044.926981296343</v>
      </c>
      <c r="BX45" s="294">
        <f t="shared" si="18"/>
        <v>1030.9062743837169</v>
      </c>
      <c r="BY45" s="295">
        <f t="shared" si="19"/>
        <v>3.456999454432728</v>
      </c>
      <c r="BZ45" s="295">
        <f t="shared" si="41"/>
        <v>-4.4606355334323915</v>
      </c>
      <c r="CA45" s="295">
        <f t="shared" si="20"/>
        <v>2.0635582568555089</v>
      </c>
      <c r="CB45" s="295">
        <f t="shared" si="21"/>
        <v>-5.8540767310096102</v>
      </c>
      <c r="CC45" s="296"/>
      <c r="CD45" s="297">
        <f t="shared" si="22"/>
        <v>0.37569377179387836</v>
      </c>
      <c r="CE45" s="297"/>
      <c r="CF45" s="294"/>
      <c r="CG45" s="294"/>
    </row>
    <row r="46" spans="1:85" s="5" customFormat="1">
      <c r="A46" s="233" t="s">
        <v>285</v>
      </c>
      <c r="B46" s="5" t="s">
        <v>279</v>
      </c>
      <c r="C46" s="288" t="s">
        <v>327</v>
      </c>
      <c r="D46" s="269" t="s">
        <v>294</v>
      </c>
      <c r="E46" s="235" t="s">
        <v>277</v>
      </c>
      <c r="F46" s="26">
        <f t="shared" si="0"/>
        <v>82.291514159356893</v>
      </c>
      <c r="G46" s="237" t="s">
        <v>130</v>
      </c>
      <c r="H46" s="25" t="s">
        <v>285</v>
      </c>
      <c r="I46" s="25">
        <v>0.27</v>
      </c>
      <c r="J46" s="25">
        <v>14.36</v>
      </c>
      <c r="K46" s="25">
        <v>8.82</v>
      </c>
      <c r="L46" s="25">
        <v>61.54</v>
      </c>
      <c r="M46" s="25"/>
      <c r="N46" s="25">
        <v>0.65</v>
      </c>
      <c r="O46" s="25">
        <v>5.73</v>
      </c>
      <c r="P46" s="25"/>
      <c r="Q46" s="25"/>
      <c r="R46" s="25"/>
      <c r="S46" s="25"/>
      <c r="T46" s="25">
        <v>6.36</v>
      </c>
      <c r="U46" s="25"/>
      <c r="V46" s="25">
        <v>0.51</v>
      </c>
      <c r="W46" s="5">
        <f t="shared" si="1"/>
        <v>98.240000000000009</v>
      </c>
      <c r="X46" s="238"/>
      <c r="Y46" s="239" t="s">
        <v>135</v>
      </c>
      <c r="Z46" s="25">
        <v>2</v>
      </c>
      <c r="AA46" s="25">
        <v>39.659999999999997</v>
      </c>
      <c r="AB46" s="25"/>
      <c r="AC46" s="25"/>
      <c r="AD46" s="25">
        <v>16.86</v>
      </c>
      <c r="AE46" s="25">
        <v>0.28000000000000003</v>
      </c>
      <c r="AF46" s="25">
        <v>43.945</v>
      </c>
      <c r="AG46" s="25">
        <v>0.34499999999999997</v>
      </c>
      <c r="AH46" s="25"/>
      <c r="AI46" s="25"/>
      <c r="AJ46" s="51"/>
      <c r="AK46" s="26">
        <f t="shared" si="24"/>
        <v>101.09</v>
      </c>
      <c r="AL46" s="25">
        <f t="shared" si="44"/>
        <v>82.291514159356893</v>
      </c>
      <c r="AM46" s="51"/>
      <c r="AN46" s="51">
        <f t="shared" si="2"/>
        <v>37.179875221766835</v>
      </c>
      <c r="AO46" s="165">
        <f t="shared" si="3"/>
        <v>27.072821491701674</v>
      </c>
      <c r="AP46" s="5">
        <f t="shared" si="4"/>
        <v>100.95269671346851</v>
      </c>
      <c r="AR46" s="54"/>
      <c r="AS46" s="54">
        <f t="shared" si="5"/>
        <v>9.27323751475332E-3</v>
      </c>
      <c r="AT46" s="54">
        <f t="shared" si="6"/>
        <v>0.37091763662334987</v>
      </c>
      <c r="AU46" s="54">
        <f t="shared" si="7"/>
        <v>0.35705784321714168</v>
      </c>
      <c r="AV46" s="54">
        <f t="shared" si="8"/>
        <v>0.17277655589113206</v>
      </c>
      <c r="AW46" s="54">
        <f t="shared" si="9"/>
        <v>0.69972666233325964</v>
      </c>
      <c r="AX46" s="54">
        <f t="shared" si="10"/>
        <v>1.0032822121020092E-2</v>
      </c>
      <c r="AY46" s="54">
        <f t="shared" si="11"/>
        <v>1.067950144346667</v>
      </c>
      <c r="AZ46" s="54">
        <f t="shared" si="12"/>
        <v>1.8910020333823708E-2</v>
      </c>
      <c r="BA46" s="54">
        <f t="shared" si="13"/>
        <v>0.29336726169947258</v>
      </c>
      <c r="BB46" s="84">
        <f t="shared" si="14"/>
        <v>0</v>
      </c>
      <c r="BC46" s="82">
        <f t="shared" si="28"/>
        <v>3.00001218408062</v>
      </c>
      <c r="BD46" s="5">
        <v>4</v>
      </c>
      <c r="BE46" s="86"/>
      <c r="BF46" s="86">
        <f t="shared" si="29"/>
        <v>0.21550246870899806</v>
      </c>
      <c r="BG46" s="86">
        <f t="shared" si="30"/>
        <v>0.78449753129100197</v>
      </c>
      <c r="BH46" s="83">
        <f t="shared" si="31"/>
        <v>1.5262390328039739</v>
      </c>
      <c r="BI46" s="86">
        <f t="shared" si="32"/>
        <v>4.8898612881310539</v>
      </c>
      <c r="BJ46" s="86">
        <f t="shared" si="33"/>
        <v>0.39584536024291411</v>
      </c>
      <c r="BK46" s="86">
        <f t="shared" si="34"/>
        <v>0.56908654988870777</v>
      </c>
      <c r="BL46" s="86">
        <f t="shared" si="35"/>
        <v>0.14051889028477316</v>
      </c>
      <c r="BM46" s="86">
        <f t="shared" si="36"/>
        <v>0.29039455982651913</v>
      </c>
      <c r="BN46" s="86">
        <f t="shared" si="37"/>
        <v>0.32609539165807261</v>
      </c>
      <c r="BO46" s="5">
        <f t="shared" si="15"/>
        <v>0.6621280484887726</v>
      </c>
      <c r="BP46" s="289"/>
      <c r="BQ46" s="290">
        <v>1200</v>
      </c>
      <c r="BR46" s="291">
        <f t="shared" si="38"/>
        <v>1473</v>
      </c>
      <c r="BS46" s="290">
        <v>8000</v>
      </c>
      <c r="BT46" s="292">
        <f t="shared" si="39"/>
        <v>0.8</v>
      </c>
      <c r="BU46" s="292">
        <f t="shared" si="16"/>
        <v>0.17708485840643107</v>
      </c>
      <c r="BV46" s="83">
        <f t="shared" si="40"/>
        <v>0.82291514159356893</v>
      </c>
      <c r="BW46" s="293">
        <f t="shared" si="17"/>
        <v>1086.1603472083789</v>
      </c>
      <c r="BX46" s="294">
        <f t="shared" si="18"/>
        <v>1067.3471321785564</v>
      </c>
      <c r="BY46" s="295">
        <f t="shared" si="19"/>
        <v>3.7535909141714923</v>
      </c>
      <c r="BZ46" s="295">
        <f t="shared" si="41"/>
        <v>-4.1640440736936268</v>
      </c>
      <c r="CA46" s="295">
        <f t="shared" si="20"/>
        <v>2.3428988179392727</v>
      </c>
      <c r="CB46" s="295">
        <f t="shared" si="21"/>
        <v>-5.5747361699258464</v>
      </c>
      <c r="CC46" s="296"/>
      <c r="CD46" s="297">
        <f t="shared" si="22"/>
        <v>0.27229884427139744</v>
      </c>
      <c r="CE46" s="297"/>
      <c r="CF46" s="294"/>
      <c r="CG46" s="294"/>
    </row>
    <row r="47" spans="1:85" s="5" customFormat="1">
      <c r="A47" s="233" t="s">
        <v>286</v>
      </c>
      <c r="B47" s="232" t="s">
        <v>275</v>
      </c>
      <c r="C47" s="288" t="s">
        <v>323</v>
      </c>
      <c r="D47" s="269" t="s">
        <v>294</v>
      </c>
      <c r="E47" s="235" t="s">
        <v>277</v>
      </c>
      <c r="F47" s="26">
        <f t="shared" si="0"/>
        <v>82.184956110543183</v>
      </c>
      <c r="G47" s="237" t="s">
        <v>130</v>
      </c>
      <c r="H47" s="25" t="s">
        <v>286</v>
      </c>
      <c r="I47" s="25">
        <v>0.16</v>
      </c>
      <c r="J47" s="25">
        <v>3.84</v>
      </c>
      <c r="K47" s="25">
        <v>14.594999999999999</v>
      </c>
      <c r="L47" s="25">
        <v>44.980000000000004</v>
      </c>
      <c r="M47" s="25"/>
      <c r="N47" s="25">
        <v>0.30000000000000004</v>
      </c>
      <c r="O47" s="25">
        <v>9.3049999999999997</v>
      </c>
      <c r="P47" s="25"/>
      <c r="Q47" s="25"/>
      <c r="R47" s="25"/>
      <c r="S47" s="25">
        <v>0.26</v>
      </c>
      <c r="T47" s="25">
        <v>23.759999999999998</v>
      </c>
      <c r="U47" s="25"/>
      <c r="V47" s="25">
        <v>0.31999999999999995</v>
      </c>
      <c r="W47" s="5">
        <f t="shared" si="1"/>
        <v>97.52000000000001</v>
      </c>
      <c r="X47" s="238"/>
      <c r="Y47" s="239" t="s">
        <v>136</v>
      </c>
      <c r="Z47" s="25">
        <v>3</v>
      </c>
      <c r="AA47" s="25">
        <v>38.893333333333338</v>
      </c>
      <c r="AB47" s="25"/>
      <c r="AC47" s="25">
        <v>0.09</v>
      </c>
      <c r="AD47" s="25">
        <v>16.72</v>
      </c>
      <c r="AE47" s="25">
        <v>0.29333333333333339</v>
      </c>
      <c r="AF47" s="25">
        <v>43.263333333333328</v>
      </c>
      <c r="AG47" s="25">
        <v>0.3066666666666667</v>
      </c>
      <c r="AH47" s="25">
        <v>0.22</v>
      </c>
      <c r="AI47" s="25"/>
      <c r="AJ47" s="51"/>
      <c r="AK47" s="26">
        <f t="shared" si="24"/>
        <v>99.786666666666676</v>
      </c>
      <c r="AL47" s="25">
        <f t="shared" si="44"/>
        <v>82.184956110543183</v>
      </c>
      <c r="AM47" s="51"/>
      <c r="AN47" s="51">
        <f t="shared" si="2"/>
        <v>22.854082905094263</v>
      </c>
      <c r="AO47" s="165">
        <f t="shared" si="3"/>
        <v>24.589816731391132</v>
      </c>
      <c r="AP47" s="5">
        <f t="shared" si="4"/>
        <v>99.983899636485404</v>
      </c>
      <c r="AR47" s="54"/>
      <c r="AS47" s="54">
        <f t="shared" si="5"/>
        <v>5.2644429797446728E-3</v>
      </c>
      <c r="AT47" s="54">
        <f t="shared" si="6"/>
        <v>9.5020889707992204E-2</v>
      </c>
      <c r="AU47" s="54">
        <f t="shared" si="7"/>
        <v>0.56602930394743689</v>
      </c>
      <c r="AV47" s="54">
        <f t="shared" si="8"/>
        <v>0.61835653850137318</v>
      </c>
      <c r="AW47" s="54">
        <f t="shared" si="9"/>
        <v>0.60885660111244833</v>
      </c>
      <c r="AX47" s="54">
        <f t="shared" si="10"/>
        <v>6.0307001935536626E-3</v>
      </c>
      <c r="AY47" s="54">
        <f t="shared" si="11"/>
        <v>0.62888563326037883</v>
      </c>
      <c r="AZ47" s="54">
        <f t="shared" si="12"/>
        <v>8.3611250348760609E-3</v>
      </c>
      <c r="BA47" s="54">
        <f t="shared" si="13"/>
        <v>0.4563922139923155</v>
      </c>
      <c r="BB47" s="84">
        <f t="shared" si="14"/>
        <v>6.8806467047368945E-3</v>
      </c>
      <c r="BC47" s="82">
        <f t="shared" si="28"/>
        <v>3.0000780954348563</v>
      </c>
      <c r="BD47" s="5">
        <v>4</v>
      </c>
      <c r="BE47" s="86"/>
      <c r="BF47" s="86">
        <f t="shared" si="29"/>
        <v>0.42053029567280009</v>
      </c>
      <c r="BG47" s="86">
        <f t="shared" si="30"/>
        <v>0.57946970432719991</v>
      </c>
      <c r="BH47" s="83">
        <f t="shared" si="31"/>
        <v>1.0328961402591927</v>
      </c>
      <c r="BI47" s="86">
        <f t="shared" si="32"/>
        <v>2.9332673089237482</v>
      </c>
      <c r="BJ47" s="86">
        <f t="shared" si="33"/>
        <v>0.49190904552187337</v>
      </c>
      <c r="BK47" s="86">
        <f t="shared" si="34"/>
        <v>0.33952832384632847</v>
      </c>
      <c r="BL47" s="86">
        <f t="shared" si="35"/>
        <v>0.34482595519731224</v>
      </c>
      <c r="BM47" s="86">
        <f t="shared" si="36"/>
        <v>0.31564572095635934</v>
      </c>
      <c r="BN47" s="86">
        <f t="shared" si="37"/>
        <v>0.52209045088116968</v>
      </c>
      <c r="BO47" s="5">
        <f t="shared" si="15"/>
        <v>0.51822615156951279</v>
      </c>
      <c r="BP47" s="289"/>
      <c r="BQ47" s="290">
        <v>1200</v>
      </c>
      <c r="BR47" s="291">
        <f t="shared" si="38"/>
        <v>1473</v>
      </c>
      <c r="BS47" s="290">
        <v>8000</v>
      </c>
      <c r="BT47" s="292">
        <f t="shared" si="39"/>
        <v>0.8</v>
      </c>
      <c r="BU47" s="292">
        <f t="shared" si="16"/>
        <v>0.17815043889456816</v>
      </c>
      <c r="BV47" s="83">
        <f t="shared" si="40"/>
        <v>0.82184956110543184</v>
      </c>
      <c r="BW47" s="293">
        <f t="shared" si="17"/>
        <v>1127.4521152756802</v>
      </c>
      <c r="BX47" s="294">
        <f t="shared" si="18"/>
        <v>1107.2318869731616</v>
      </c>
      <c r="BY47" s="295">
        <f t="shared" si="19"/>
        <v>2.6087581124407246</v>
      </c>
      <c r="BZ47" s="295">
        <f t="shared" si="41"/>
        <v>-5.308876875424394</v>
      </c>
      <c r="CA47" s="295">
        <f t="shared" si="20"/>
        <v>1.4713871849755273</v>
      </c>
      <c r="CB47" s="295">
        <f t="shared" si="21"/>
        <v>-6.4462478028895918</v>
      </c>
      <c r="CC47" s="296"/>
      <c r="CD47" s="297">
        <f t="shared" si="22"/>
        <v>0.45793160978410785</v>
      </c>
      <c r="CE47" s="297"/>
      <c r="CF47" s="294"/>
      <c r="CG47" s="294"/>
    </row>
    <row r="48" spans="1:85" s="5" customFormat="1">
      <c r="A48" s="233" t="s">
        <v>287</v>
      </c>
      <c r="B48" s="232" t="s">
        <v>275</v>
      </c>
      <c r="C48" s="288" t="s">
        <v>323</v>
      </c>
      <c r="D48" s="269" t="s">
        <v>294</v>
      </c>
      <c r="E48" s="235" t="s">
        <v>277</v>
      </c>
      <c r="F48" s="26">
        <f t="shared" si="0"/>
        <v>82.184956110543183</v>
      </c>
      <c r="G48" s="237" t="s">
        <v>130</v>
      </c>
      <c r="H48" s="25" t="s">
        <v>287</v>
      </c>
      <c r="I48" s="25">
        <v>0.23</v>
      </c>
      <c r="J48" s="25">
        <v>6.85</v>
      </c>
      <c r="K48" s="25">
        <v>12.22</v>
      </c>
      <c r="L48" s="25">
        <v>48.73</v>
      </c>
      <c r="M48" s="25"/>
      <c r="N48" s="25">
        <v>0.28000000000000003</v>
      </c>
      <c r="O48" s="25">
        <v>8.7899999999999991</v>
      </c>
      <c r="P48" s="25">
        <v>0.06</v>
      </c>
      <c r="Q48" s="25"/>
      <c r="R48" s="25"/>
      <c r="S48" s="25">
        <v>0.18</v>
      </c>
      <c r="T48" s="25">
        <v>18</v>
      </c>
      <c r="U48" s="25"/>
      <c r="V48" s="25">
        <v>0.31</v>
      </c>
      <c r="W48" s="5">
        <f t="shared" si="1"/>
        <v>95.65</v>
      </c>
      <c r="X48" s="238"/>
      <c r="Y48" s="239" t="s">
        <v>136</v>
      </c>
      <c r="Z48" s="25">
        <v>3</v>
      </c>
      <c r="AA48" s="25">
        <v>38.893333333333338</v>
      </c>
      <c r="AB48" s="25"/>
      <c r="AC48" s="25">
        <v>0.09</v>
      </c>
      <c r="AD48" s="25">
        <v>16.72</v>
      </c>
      <c r="AE48" s="25">
        <v>0.29333333333333339</v>
      </c>
      <c r="AF48" s="25">
        <v>43.263333333333328</v>
      </c>
      <c r="AG48" s="25">
        <v>0.3066666666666667</v>
      </c>
      <c r="AH48" s="25">
        <v>0.22</v>
      </c>
      <c r="AI48" s="25"/>
      <c r="AJ48" s="51"/>
      <c r="AK48" s="26">
        <f t="shared" si="24"/>
        <v>99.786666666666676</v>
      </c>
      <c r="AL48" s="25">
        <f t="shared" si="44"/>
        <v>82.184956110543183</v>
      </c>
      <c r="AM48" s="51"/>
      <c r="AN48" s="51">
        <f t="shared" si="2"/>
        <v>25.565104354158979</v>
      </c>
      <c r="AO48" s="165">
        <f t="shared" si="3"/>
        <v>25.744493938476346</v>
      </c>
      <c r="AP48" s="5">
        <f t="shared" si="4"/>
        <v>98.22959829263533</v>
      </c>
      <c r="AR48" s="54"/>
      <c r="AS48" s="54">
        <f t="shared" si="5"/>
        <v>7.8020470568691182E-3</v>
      </c>
      <c r="AT48" s="54">
        <f t="shared" si="6"/>
        <v>0.17475383916764256</v>
      </c>
      <c r="AU48" s="54">
        <f t="shared" si="7"/>
        <v>0.48860095122124469</v>
      </c>
      <c r="AV48" s="54">
        <f t="shared" si="8"/>
        <v>0.48296239005389863</v>
      </c>
      <c r="AW48" s="54">
        <f t="shared" si="9"/>
        <v>0.65719215744636139</v>
      </c>
      <c r="AX48" s="54">
        <f t="shared" si="10"/>
        <v>6.0232063247028407E-3</v>
      </c>
      <c r="AY48" s="54">
        <f t="shared" si="11"/>
        <v>0.72527670838048586</v>
      </c>
      <c r="AZ48" s="54">
        <f t="shared" si="12"/>
        <v>8.0454396330784314E-3</v>
      </c>
      <c r="BA48" s="54">
        <f t="shared" si="13"/>
        <v>0.44448694543585704</v>
      </c>
      <c r="BB48" s="84">
        <f t="shared" si="14"/>
        <v>4.9110765322439671E-3</v>
      </c>
      <c r="BC48" s="82">
        <f t="shared" si="28"/>
        <v>3.0000547612523847</v>
      </c>
      <c r="BD48" s="5">
        <v>4</v>
      </c>
      <c r="BE48" s="86"/>
      <c r="BF48" s="86">
        <f t="shared" si="29"/>
        <v>0.37998013016195414</v>
      </c>
      <c r="BG48" s="86">
        <f t="shared" si="30"/>
        <v>0.62001986983804591</v>
      </c>
      <c r="BH48" s="83">
        <f t="shared" si="31"/>
        <v>1.1035991530980516</v>
      </c>
      <c r="BI48" s="86">
        <f t="shared" si="32"/>
        <v>3.1988117983137587</v>
      </c>
      <c r="BJ48" s="86">
        <f t="shared" si="33"/>
        <v>0.47537573806647587</v>
      </c>
      <c r="BK48" s="86">
        <f t="shared" si="34"/>
        <v>0.40349343898591644</v>
      </c>
      <c r="BL48" s="86">
        <f t="shared" si="35"/>
        <v>0.29652233894712932</v>
      </c>
      <c r="BM48" s="86">
        <f t="shared" si="36"/>
        <v>0.29998422206695424</v>
      </c>
      <c r="BN48" s="86">
        <f t="shared" si="37"/>
        <v>0.49709820197623672</v>
      </c>
      <c r="BO48" s="5">
        <f t="shared" si="15"/>
        <v>0.57356965448202257</v>
      </c>
      <c r="BP48" s="289"/>
      <c r="BQ48" s="290">
        <v>1200</v>
      </c>
      <c r="BR48" s="291">
        <f t="shared" si="38"/>
        <v>1473</v>
      </c>
      <c r="BS48" s="290">
        <v>8000</v>
      </c>
      <c r="BT48" s="292">
        <f t="shared" si="39"/>
        <v>0.8</v>
      </c>
      <c r="BU48" s="292">
        <f t="shared" si="16"/>
        <v>0.17815043889456816</v>
      </c>
      <c r="BV48" s="83">
        <f t="shared" si="40"/>
        <v>0.82184956110543184</v>
      </c>
      <c r="BW48" s="293">
        <f t="shared" si="17"/>
        <v>1175.1351039044332</v>
      </c>
      <c r="BX48" s="294">
        <f t="shared" si="18"/>
        <v>1153.1336620576483</v>
      </c>
      <c r="BY48" s="295">
        <f t="shared" si="19"/>
        <v>2.9501347666225146</v>
      </c>
      <c r="BZ48" s="295">
        <f t="shared" si="41"/>
        <v>-4.967500221242604</v>
      </c>
      <c r="CA48" s="295">
        <f t="shared" si="20"/>
        <v>1.7701996200647434</v>
      </c>
      <c r="CB48" s="295">
        <f t="shared" si="21"/>
        <v>-6.1474353678003757</v>
      </c>
      <c r="CC48" s="296"/>
      <c r="CD48" s="297">
        <f t="shared" si="22"/>
        <v>0.43322651368100068</v>
      </c>
      <c r="CE48" s="297"/>
      <c r="CF48" s="294"/>
      <c r="CG48" s="294"/>
    </row>
    <row r="49" spans="1:85" s="5" customFormat="1">
      <c r="A49" s="233" t="s">
        <v>288</v>
      </c>
      <c r="B49" s="232" t="s">
        <v>275</v>
      </c>
      <c r="C49" s="288" t="s">
        <v>323</v>
      </c>
      <c r="D49" s="269" t="s">
        <v>294</v>
      </c>
      <c r="E49" s="235" t="s">
        <v>277</v>
      </c>
      <c r="F49" s="26">
        <f t="shared" si="0"/>
        <v>81.164474095387234</v>
      </c>
      <c r="G49" s="237" t="s">
        <v>130</v>
      </c>
      <c r="H49" s="25" t="s">
        <v>288</v>
      </c>
      <c r="I49" s="25">
        <v>0.23</v>
      </c>
      <c r="J49" s="25">
        <v>4.47</v>
      </c>
      <c r="K49" s="25">
        <v>17.41</v>
      </c>
      <c r="L49" s="25">
        <v>45.4</v>
      </c>
      <c r="M49" s="25"/>
      <c r="N49" s="25"/>
      <c r="O49" s="25">
        <v>9.39</v>
      </c>
      <c r="P49" s="25"/>
      <c r="Q49" s="25"/>
      <c r="R49" s="25"/>
      <c r="S49" s="25">
        <v>0.21</v>
      </c>
      <c r="T49" s="25">
        <v>19.649999999999999</v>
      </c>
      <c r="U49" s="25"/>
      <c r="V49" s="25">
        <v>0.33</v>
      </c>
      <c r="W49" s="5">
        <f t="shared" si="1"/>
        <v>97.089999999999989</v>
      </c>
      <c r="X49" s="238"/>
      <c r="Y49" s="239" t="s">
        <v>137</v>
      </c>
      <c r="Z49" s="25">
        <v>1</v>
      </c>
      <c r="AA49" s="25">
        <v>39.74</v>
      </c>
      <c r="AB49" s="25"/>
      <c r="AC49" s="25"/>
      <c r="AD49" s="25">
        <v>18.059999999999999</v>
      </c>
      <c r="AE49" s="25">
        <v>0.32</v>
      </c>
      <c r="AF49" s="25">
        <v>43.65</v>
      </c>
      <c r="AG49" s="25">
        <v>0.32</v>
      </c>
      <c r="AH49" s="25">
        <v>0.23</v>
      </c>
      <c r="AI49" s="25"/>
      <c r="AJ49" s="51"/>
      <c r="AK49" s="26">
        <f t="shared" si="24"/>
        <v>102.32</v>
      </c>
      <c r="AL49" s="25">
        <f t="shared" si="44"/>
        <v>81.164474095387234</v>
      </c>
      <c r="AM49" s="51"/>
      <c r="AN49" s="51">
        <f t="shared" si="2"/>
        <v>24.022911898484999</v>
      </c>
      <c r="AO49" s="165">
        <f t="shared" si="3"/>
        <v>23.757599579367636</v>
      </c>
      <c r="AP49" s="5">
        <f t="shared" si="4"/>
        <v>99.470511477852639</v>
      </c>
      <c r="AR49" s="54"/>
      <c r="AS49" s="54">
        <f t="shared" si="5"/>
        <v>7.5017703118926467E-3</v>
      </c>
      <c r="AT49" s="54">
        <f t="shared" si="6"/>
        <v>0.10964753549796387</v>
      </c>
      <c r="AU49" s="54">
        <f t="shared" si="7"/>
        <v>0.66932503724433823</v>
      </c>
      <c r="AV49" s="54">
        <f t="shared" si="8"/>
        <v>0.50694233298716374</v>
      </c>
      <c r="AW49" s="54">
        <f t="shared" si="9"/>
        <v>0.58313051522411985</v>
      </c>
      <c r="AX49" s="54">
        <f t="shared" si="10"/>
        <v>6.1650298497568359E-3</v>
      </c>
      <c r="AY49" s="54">
        <f t="shared" si="11"/>
        <v>0.65529523041189186</v>
      </c>
      <c r="AZ49" s="54">
        <f t="shared" si="12"/>
        <v>0</v>
      </c>
      <c r="BA49" s="54">
        <f t="shared" si="13"/>
        <v>0.45655270995555075</v>
      </c>
      <c r="BB49" s="84">
        <f t="shared" si="14"/>
        <v>5.5090750547765639E-3</v>
      </c>
      <c r="BC49" s="82">
        <f t="shared" si="28"/>
        <v>3.0000692365374544</v>
      </c>
      <c r="BD49" s="5">
        <v>4</v>
      </c>
      <c r="BE49" s="86"/>
      <c r="BF49" s="86">
        <f t="shared" si="29"/>
        <v>0.41062513440881993</v>
      </c>
      <c r="BG49" s="86">
        <f t="shared" si="30"/>
        <v>0.58937486559118013</v>
      </c>
      <c r="BH49" s="83">
        <f t="shared" si="31"/>
        <v>1.1237539681147304</v>
      </c>
      <c r="BI49" s="86">
        <f t="shared" si="32"/>
        <v>3.2754915991678284</v>
      </c>
      <c r="BJ49" s="86">
        <f t="shared" si="33"/>
        <v>0.47086433504710823</v>
      </c>
      <c r="BK49" s="86">
        <f t="shared" si="34"/>
        <v>0.33143754465358449</v>
      </c>
      <c r="BL49" s="86">
        <f t="shared" si="35"/>
        <v>0.28813399014395402</v>
      </c>
      <c r="BM49" s="86">
        <f t="shared" si="36"/>
        <v>0.38042846520246137</v>
      </c>
      <c r="BN49" s="86">
        <f t="shared" si="37"/>
        <v>0.43097542771027647</v>
      </c>
      <c r="BO49" s="5">
        <f t="shared" si="15"/>
        <v>0.46558978805661488</v>
      </c>
      <c r="BP49" s="289"/>
      <c r="BQ49" s="290">
        <v>1200</v>
      </c>
      <c r="BR49" s="291">
        <f t="shared" si="38"/>
        <v>1473</v>
      </c>
      <c r="BS49" s="290">
        <v>8000</v>
      </c>
      <c r="BT49" s="292">
        <f t="shared" si="39"/>
        <v>0.8</v>
      </c>
      <c r="BU49" s="292">
        <f t="shared" si="16"/>
        <v>0.18835525904612771</v>
      </c>
      <c r="BV49" s="83">
        <f t="shared" si="40"/>
        <v>0.81164474095387229</v>
      </c>
      <c r="BW49" s="293">
        <f t="shared" si="17"/>
        <v>1100.3641806573307</v>
      </c>
      <c r="BX49" s="294">
        <f t="shared" si="18"/>
        <v>1075.3590001305879</v>
      </c>
      <c r="BY49" s="295">
        <f t="shared" si="19"/>
        <v>2.553164335155631</v>
      </c>
      <c r="BZ49" s="295">
        <f t="shared" si="41"/>
        <v>-5.3644706527094881</v>
      </c>
      <c r="CA49" s="295">
        <f t="shared" si="20"/>
        <v>1.2844638760598819</v>
      </c>
      <c r="CB49" s="295">
        <f t="shared" si="21"/>
        <v>-6.633171111805237</v>
      </c>
      <c r="CC49" s="296"/>
      <c r="CD49" s="297">
        <f t="shared" si="22"/>
        <v>0.36935980609687025</v>
      </c>
      <c r="CE49" s="297"/>
      <c r="CF49" s="294"/>
      <c r="CG49" s="294"/>
    </row>
    <row r="50" spans="1:85" s="29" customFormat="1">
      <c r="A50" s="248" t="s">
        <v>289</v>
      </c>
      <c r="B50" s="249" t="s">
        <v>275</v>
      </c>
      <c r="C50" s="298" t="s">
        <v>323</v>
      </c>
      <c r="D50" s="270" t="s">
        <v>294</v>
      </c>
      <c r="E50" s="236" t="s">
        <v>277</v>
      </c>
      <c r="F50" s="28">
        <f t="shared" si="0"/>
        <v>82.950116703894793</v>
      </c>
      <c r="G50" s="243" t="s">
        <v>130</v>
      </c>
      <c r="H50" s="27" t="s">
        <v>289</v>
      </c>
      <c r="I50" s="27">
        <v>0.26</v>
      </c>
      <c r="J50" s="27">
        <v>5.8</v>
      </c>
      <c r="K50" s="27">
        <v>16.86</v>
      </c>
      <c r="L50" s="27">
        <v>43.4</v>
      </c>
      <c r="M50" s="27"/>
      <c r="N50" s="27">
        <v>0.34</v>
      </c>
      <c r="O50" s="27">
        <v>10.56</v>
      </c>
      <c r="P50" s="27"/>
      <c r="Q50" s="27"/>
      <c r="R50" s="27"/>
      <c r="S50" s="27"/>
      <c r="T50" s="27">
        <v>20.79</v>
      </c>
      <c r="U50" s="27"/>
      <c r="V50" s="25">
        <v>0.4</v>
      </c>
      <c r="W50" s="29">
        <f t="shared" si="1"/>
        <v>98.41</v>
      </c>
      <c r="X50" s="244"/>
      <c r="Y50" s="245" t="s">
        <v>138</v>
      </c>
      <c r="Z50" s="27">
        <v>1</v>
      </c>
      <c r="AA50" s="27">
        <v>38.950000000000003</v>
      </c>
      <c r="AB50" s="27"/>
      <c r="AC50" s="27"/>
      <c r="AD50" s="27">
        <v>15.93</v>
      </c>
      <c r="AE50" s="27">
        <v>0.25</v>
      </c>
      <c r="AF50" s="27">
        <v>43.47</v>
      </c>
      <c r="AG50" s="27">
        <v>0.3</v>
      </c>
      <c r="AH50" s="27"/>
      <c r="AI50" s="27"/>
      <c r="AJ50" s="27"/>
      <c r="AK50" s="28">
        <f t="shared" si="24"/>
        <v>98.899999999999991</v>
      </c>
      <c r="AL50" s="27">
        <f t="shared" si="44"/>
        <v>82.950116703894793</v>
      </c>
      <c r="AM50" s="27"/>
      <c r="AN50" s="27">
        <f t="shared" si="2"/>
        <v>23.629871162232565</v>
      </c>
      <c r="AO50" s="170">
        <f t="shared" si="3"/>
        <v>21.971692418056715</v>
      </c>
      <c r="AP50" s="29">
        <f t="shared" si="4"/>
        <v>100.61156358028929</v>
      </c>
      <c r="AR50" s="9"/>
      <c r="AS50" s="9">
        <f t="shared" si="5"/>
        <v>8.3428897681634574E-3</v>
      </c>
      <c r="AT50" s="9">
        <f t="shared" si="6"/>
        <v>0.13996729699527602</v>
      </c>
      <c r="AU50" s="9">
        <f t="shared" si="7"/>
        <v>0.63768044711412952</v>
      </c>
      <c r="AV50" s="9">
        <f t="shared" si="8"/>
        <v>0.5276643147523975</v>
      </c>
      <c r="AW50" s="9">
        <f t="shared" si="9"/>
        <v>0.53055932462492872</v>
      </c>
      <c r="AX50" s="9">
        <f t="shared" si="10"/>
        <v>7.3517116674210441E-3</v>
      </c>
      <c r="AY50" s="9">
        <f t="shared" si="11"/>
        <v>0.63413239909402419</v>
      </c>
      <c r="AZ50" s="9">
        <f t="shared" si="12"/>
        <v>9.2413005409468629E-3</v>
      </c>
      <c r="BA50" s="9">
        <f t="shared" si="13"/>
        <v>0.50512222959983488</v>
      </c>
      <c r="BB50" s="88">
        <f t="shared" si="14"/>
        <v>0</v>
      </c>
      <c r="BC50" s="89">
        <f t="shared" si="28"/>
        <v>3.0000619141571225</v>
      </c>
      <c r="BD50" s="29">
        <v>4</v>
      </c>
      <c r="BE50" s="90"/>
      <c r="BF50" s="90">
        <f t="shared" si="29"/>
        <v>0.443379571939024</v>
      </c>
      <c r="BG50" s="90">
        <f t="shared" si="30"/>
        <v>0.556620428060976</v>
      </c>
      <c r="BH50" s="90">
        <f t="shared" si="31"/>
        <v>1.1952148792075514</v>
      </c>
      <c r="BI50" s="90">
        <f t="shared" si="32"/>
        <v>3.5507653876305691</v>
      </c>
      <c r="BJ50" s="90">
        <f t="shared" si="33"/>
        <v>0.45553627094628163</v>
      </c>
      <c r="BK50" s="90">
        <f t="shared" si="34"/>
        <v>0.31284748285651459</v>
      </c>
      <c r="BL50" s="90">
        <f t="shared" si="35"/>
        <v>0.31114042294929983</v>
      </c>
      <c r="BM50" s="90">
        <f t="shared" si="36"/>
        <v>0.37601209419418563</v>
      </c>
      <c r="BN50" s="90">
        <f t="shared" si="37"/>
        <v>0.45279674480815463</v>
      </c>
      <c r="BO50" s="29">
        <f t="shared" si="15"/>
        <v>0.4541527668032827</v>
      </c>
      <c r="BP50" s="299"/>
      <c r="BQ50" s="300">
        <v>1200</v>
      </c>
      <c r="BR50" s="299">
        <f t="shared" si="38"/>
        <v>1473</v>
      </c>
      <c r="BS50" s="300">
        <v>8000</v>
      </c>
      <c r="BT50" s="301">
        <f t="shared" si="39"/>
        <v>0.8</v>
      </c>
      <c r="BU50" s="301">
        <f t="shared" si="16"/>
        <v>0.17049883296105206</v>
      </c>
      <c r="BV50" s="83">
        <f t="shared" si="40"/>
        <v>0.82950116703894794</v>
      </c>
      <c r="BW50" s="302">
        <f t="shared" si="17"/>
        <v>1147.6881930121465</v>
      </c>
      <c r="BX50" s="303">
        <f t="shared" si="18"/>
        <v>1121.4394785554748</v>
      </c>
      <c r="BY50" s="304">
        <f t="shared" si="19"/>
        <v>2.5931332440504002</v>
      </c>
      <c r="BZ50" s="304">
        <f t="shared" si="41"/>
        <v>-5.3245017438147189</v>
      </c>
      <c r="CA50" s="304">
        <f t="shared" si="20"/>
        <v>1.444938862997599</v>
      </c>
      <c r="CB50" s="304">
        <f t="shared" si="21"/>
        <v>-6.4726961248675199</v>
      </c>
      <c r="CC50" s="305"/>
      <c r="CD50" s="306">
        <f t="shared" si="22"/>
        <v>0.39020069958692644</v>
      </c>
      <c r="CE50" s="297"/>
      <c r="CF50" s="294"/>
      <c r="CG50" s="294"/>
    </row>
    <row r="51" spans="1:85">
      <c r="A51" s="257"/>
    </row>
    <row r="52" spans="1:85">
      <c r="A52" s="257"/>
    </row>
    <row r="53" spans="1:85">
      <c r="A53" s="257"/>
    </row>
    <row r="54" spans="1:85">
      <c r="A54" s="257"/>
    </row>
  </sheetData>
  <autoFilter ref="A13:CG13"/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7</vt:i4>
      </vt:variant>
    </vt:vector>
  </HeadingPairs>
  <TitlesOfParts>
    <vt:vector size="7" baseType="lpstr">
      <vt:lpstr>Table S1. Whole rock</vt:lpstr>
      <vt:lpstr>Table S2. Olivine</vt:lpstr>
      <vt:lpstr>Table S3. CPx</vt:lpstr>
      <vt:lpstr>Table S4. CPx-profiles</vt:lpstr>
      <vt:lpstr>Table S5. Spinels</vt:lpstr>
      <vt:lpstr>Table S6. Plag</vt:lpstr>
      <vt:lpstr>Table S7.Ol-Spinel pairs</vt:lpstr>
    </vt:vector>
  </TitlesOfParts>
  <Company>SPecialiST RePack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Tatiana</dc:creator>
  <cp:lastModifiedBy>Tatiana</cp:lastModifiedBy>
  <dcterms:created xsi:type="dcterms:W3CDTF">2025-05-10T18:32:26Z</dcterms:created>
  <dcterms:modified xsi:type="dcterms:W3CDTF">2025-08-21T16:26:46Z</dcterms:modified>
</cp:coreProperties>
</file>