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23515"/>
  <workbookPr date1904="1" showInkAnnotation="0" checkCompatibility="1" autoCompressPictures="0"/>
  <bookViews>
    <workbookView xWindow="0" yWindow="0" windowWidth="25600" windowHeight="16060" tabRatio="500"/>
  </bookViews>
  <sheets>
    <sheet name="Human" sheetId="15" r:id="rId1"/>
    <sheet name="Chicken" sheetId="8" r:id="rId2"/>
    <sheet name="Spotted gar" sheetId="17" r:id="rId3"/>
    <sheet name="Zebrafish" sheetId="9" r:id="rId4"/>
    <sheet name="Stickleback" sheetId="10" r:id="rId5"/>
  </sheets>
  <definedNames>
    <definedName name="_xlnm._FilterDatabase" localSheetId="0" hidden="1">Human!$A$1:$A$65</definedName>
  </definedName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G6" i="9" l="1"/>
  <c r="C8" i="9"/>
  <c r="I66" i="9"/>
  <c r="I67" i="9"/>
  <c r="E48" i="15"/>
  <c r="K48" i="15"/>
  <c r="I48" i="15"/>
  <c r="E47" i="15"/>
  <c r="K46" i="15"/>
  <c r="E46" i="15"/>
  <c r="K44" i="15"/>
  <c r="C44" i="15"/>
  <c r="E22" i="15"/>
  <c r="C22" i="15"/>
  <c r="K21" i="15"/>
  <c r="I21" i="15"/>
  <c r="C21" i="15"/>
  <c r="K20" i="15"/>
  <c r="I20" i="15"/>
  <c r="E20" i="15"/>
  <c r="I14" i="15"/>
  <c r="E14" i="15"/>
  <c r="K8" i="15"/>
  <c r="I8" i="15"/>
  <c r="C8" i="15"/>
  <c r="E67" i="9"/>
  <c r="C67" i="9"/>
  <c r="E66" i="9"/>
  <c r="G64" i="9"/>
  <c r="C64" i="9"/>
  <c r="G30" i="9"/>
  <c r="E30" i="9"/>
  <c r="C28" i="9"/>
  <c r="G28" i="9"/>
  <c r="C29" i="9"/>
  <c r="C26" i="9"/>
  <c r="O26" i="9"/>
  <c r="K26" i="9"/>
  <c r="G26" i="9"/>
  <c r="E26" i="9"/>
  <c r="C27" i="9"/>
  <c r="M20" i="9"/>
  <c r="K20" i="9"/>
  <c r="G20" i="9"/>
  <c r="C20" i="9"/>
  <c r="K14" i="9"/>
  <c r="G14" i="9"/>
  <c r="C14" i="9"/>
  <c r="C6" i="9"/>
  <c r="C9" i="9"/>
  <c r="K6" i="9"/>
  <c r="C7" i="9"/>
  <c r="I65" i="10"/>
  <c r="G65" i="10"/>
  <c r="E65" i="10"/>
  <c r="E64" i="10"/>
  <c r="C64" i="10"/>
  <c r="E61" i="10"/>
  <c r="C61" i="10"/>
  <c r="E29" i="10"/>
  <c r="C29" i="10"/>
  <c r="E27" i="10"/>
  <c r="I28" i="10"/>
  <c r="G28" i="10"/>
  <c r="E28" i="10"/>
  <c r="K25" i="10"/>
  <c r="I25" i="10"/>
  <c r="E25" i="10"/>
  <c r="C26" i="10"/>
  <c r="K19" i="10"/>
  <c r="I19" i="10"/>
  <c r="G19" i="10"/>
  <c r="E19" i="10"/>
  <c r="K13" i="10"/>
  <c r="I13" i="10"/>
  <c r="C13" i="10"/>
  <c r="E7" i="10"/>
  <c r="E5" i="10"/>
  <c r="I5" i="10"/>
  <c r="G5" i="10"/>
  <c r="E6" i="10"/>
  <c r="C6" i="10"/>
  <c r="G48" i="8"/>
  <c r="E48" i="8"/>
  <c r="E49" i="8"/>
  <c r="E47" i="8"/>
  <c r="C45" i="8"/>
  <c r="E22" i="8"/>
  <c r="C22" i="8"/>
  <c r="G21" i="8"/>
  <c r="C21" i="8"/>
  <c r="G20" i="8"/>
  <c r="E20" i="8"/>
  <c r="G13" i="8"/>
  <c r="E13" i="8"/>
  <c r="G7" i="8"/>
  <c r="C7" i="8"/>
  <c r="G3" i="8"/>
  <c r="E3" i="8"/>
  <c r="C3" i="8"/>
</calcChain>
</file>

<file path=xl/sharedStrings.xml><?xml version="1.0" encoding="utf-8"?>
<sst xmlns="http://schemas.openxmlformats.org/spreadsheetml/2006/main" count="1078" uniqueCount="456">
  <si>
    <t>SYP</t>
    <phoneticPr fontId="2" type="noConversion"/>
  </si>
  <si>
    <t>CACNA1S</t>
  </si>
  <si>
    <t>CAMK1G</t>
  </si>
  <si>
    <t>CDK18</t>
  </si>
  <si>
    <t>CNTN2</t>
  </si>
  <si>
    <t>IKBKE</t>
  </si>
  <si>
    <t>KDM5B</t>
  </si>
  <si>
    <t>KLHDC8A</t>
  </si>
  <si>
    <t>NFASC</t>
  </si>
  <si>
    <t>PLXNA2</t>
  </si>
  <si>
    <t>TIMM17A</t>
  </si>
  <si>
    <t>ATP2B2</t>
  </si>
  <si>
    <t>CACNA1D</t>
  </si>
  <si>
    <t>CAMK1</t>
  </si>
  <si>
    <t>CHL1</t>
  </si>
  <si>
    <t>CNTN3</t>
  </si>
  <si>
    <t>CNTN4</t>
  </si>
  <si>
    <t>CNTN6</t>
  </si>
  <si>
    <t>COPG1</t>
  </si>
  <si>
    <t>ERC2</t>
  </si>
  <si>
    <t>FLNB</t>
  </si>
  <si>
    <t>GXYLT2</t>
  </si>
  <si>
    <t>IQSEC1</t>
  </si>
  <si>
    <t>KLHDC8B</t>
  </si>
  <si>
    <t>PLXNA1</t>
  </si>
  <si>
    <t>UBA7</t>
  </si>
  <si>
    <t>USP19</t>
  </si>
  <si>
    <t>USP4</t>
  </si>
  <si>
    <t>COPG2</t>
  </si>
  <si>
    <t>ATP2B3</t>
  </si>
  <si>
    <t>CACNA1F</t>
  </si>
  <si>
    <t>CDK16</t>
  </si>
  <si>
    <t>FLNA</t>
  </si>
  <si>
    <t>IQSEC2</t>
  </si>
  <si>
    <t>KDM5C</t>
  </si>
  <si>
    <t>L1CAM</t>
  </si>
  <si>
    <t>PLXNA3</t>
  </si>
  <si>
    <t>FLN</t>
    <phoneticPr fontId="2" type="noConversion"/>
  </si>
  <si>
    <t>GXYLT</t>
    <phoneticPr fontId="2" type="noConversion"/>
  </si>
  <si>
    <t>IKBKE</t>
    <phoneticPr fontId="2" type="noConversion"/>
  </si>
  <si>
    <t>L1CAM</t>
    <phoneticPr fontId="2" type="noConversion"/>
  </si>
  <si>
    <t>PRICKLE</t>
    <phoneticPr fontId="2" type="noConversion"/>
  </si>
  <si>
    <t>MAGI</t>
    <phoneticPr fontId="2" type="noConversion"/>
  </si>
  <si>
    <t>SEMA3</t>
    <phoneticPr fontId="2" type="noConversion"/>
  </si>
  <si>
    <t>CELSR</t>
    <phoneticPr fontId="2" type="noConversion"/>
  </si>
  <si>
    <t>RBM</t>
    <phoneticPr fontId="2" type="noConversion"/>
  </si>
  <si>
    <t>PPM1</t>
    <phoneticPr fontId="2" type="noConversion"/>
  </si>
  <si>
    <t>PHTF</t>
    <phoneticPr fontId="2" type="noConversion"/>
  </si>
  <si>
    <t>RSBN</t>
    <phoneticPr fontId="2" type="noConversion"/>
  </si>
  <si>
    <t>PTPN</t>
    <phoneticPr fontId="2" type="noConversion"/>
  </si>
  <si>
    <t>ATP2B</t>
    <phoneticPr fontId="2" type="noConversion"/>
  </si>
  <si>
    <t>LRRN</t>
    <phoneticPr fontId="2" type="noConversion"/>
  </si>
  <si>
    <t>CNTN</t>
    <phoneticPr fontId="2" type="noConversion"/>
  </si>
  <si>
    <t>SRGAP</t>
    <phoneticPr fontId="2" type="noConversion"/>
  </si>
  <si>
    <t>PLXNA</t>
    <phoneticPr fontId="2" type="noConversion"/>
  </si>
  <si>
    <t>CACNA2D</t>
    <phoneticPr fontId="2" type="noConversion"/>
  </si>
  <si>
    <t>COPG</t>
    <phoneticPr fontId="2" type="noConversion"/>
  </si>
  <si>
    <t>TWF</t>
    <phoneticPr fontId="2" type="noConversion"/>
  </si>
  <si>
    <t>WNK</t>
    <phoneticPr fontId="2" type="noConversion"/>
  </si>
  <si>
    <t>B4GALNT</t>
    <phoneticPr fontId="2" type="noConversion"/>
  </si>
  <si>
    <t>PNCK</t>
  </si>
  <si>
    <t>TIMM17B</t>
  </si>
  <si>
    <t>UBA1</t>
  </si>
  <si>
    <t>USP11</t>
  </si>
  <si>
    <t>CAMK1D</t>
  </si>
  <si>
    <t>CNTN5</t>
  </si>
  <si>
    <t>B4GALNT2</t>
  </si>
  <si>
    <t>KDM5D</t>
  </si>
  <si>
    <t>ATP2B4</t>
  </si>
  <si>
    <t>FLNC</t>
  </si>
  <si>
    <t>NRCAM</t>
  </si>
  <si>
    <t>PLXNA4</t>
  </si>
  <si>
    <t>ATP2B1</t>
  </si>
  <si>
    <t>B4GALNT1</t>
  </si>
  <si>
    <t>CACNA1C</t>
  </si>
  <si>
    <t>CDK17</t>
  </si>
  <si>
    <t>CNTN1</t>
  </si>
  <si>
    <t>ERC1</t>
  </si>
  <si>
    <t>GXYLT1</t>
  </si>
  <si>
    <t>IQSEC3</t>
  </si>
  <si>
    <t>KDM5A</t>
  </si>
  <si>
    <t>TBK1</t>
  </si>
  <si>
    <t>USP15</t>
  </si>
  <si>
    <t>Family</t>
  </si>
  <si>
    <t>CDK</t>
  </si>
  <si>
    <t>ERC</t>
  </si>
  <si>
    <t>IQSEC</t>
  </si>
  <si>
    <t>KDM</t>
  </si>
  <si>
    <t>KLHDC</t>
  </si>
  <si>
    <t>TIMM</t>
  </si>
  <si>
    <t>UBA</t>
  </si>
  <si>
    <t>USP</t>
  </si>
  <si>
    <t>PLXNA</t>
  </si>
  <si>
    <t>44.5k</t>
  </si>
  <si>
    <t>LRRN</t>
    <phoneticPr fontId="1" type="noConversion"/>
  </si>
  <si>
    <t>LRRN2</t>
  </si>
  <si>
    <t>LRRN1</t>
  </si>
  <si>
    <t>LRRN3</t>
  </si>
  <si>
    <t>PRICKLE</t>
    <phoneticPr fontId="1" type="noConversion"/>
  </si>
  <si>
    <t>PRICKLE2</t>
  </si>
  <si>
    <t>PRICKLE1</t>
  </si>
  <si>
    <t>PRICKLE3</t>
  </si>
  <si>
    <t>PRICKLE4</t>
  </si>
  <si>
    <t>SRGAP</t>
    <phoneticPr fontId="1" type="noConversion"/>
  </si>
  <si>
    <t>SRGAP2</t>
  </si>
  <si>
    <t>SRGAP3</t>
  </si>
  <si>
    <t>SRGAP1</t>
  </si>
  <si>
    <t>ARHGAP4</t>
  </si>
  <si>
    <t>SYPL2</t>
  </si>
  <si>
    <t>SYNPR</t>
  </si>
  <si>
    <t>SYPL1</t>
  </si>
  <si>
    <t>SYP</t>
  </si>
  <si>
    <t>TWF</t>
    <phoneticPr fontId="1" type="noConversion"/>
  </si>
  <si>
    <t>TWF2</t>
  </si>
  <si>
    <t>TWF1</t>
  </si>
  <si>
    <t>WNK</t>
    <phoneticPr fontId="1" type="noConversion"/>
  </si>
  <si>
    <t>WNK1</t>
  </si>
  <si>
    <t>WNK3</t>
  </si>
  <si>
    <t>WNK2</t>
  </si>
  <si>
    <t>WNK4</t>
  </si>
  <si>
    <t>Chicken other</t>
  </si>
  <si>
    <t>PLG</t>
  </si>
  <si>
    <t>Zebrafish other</t>
  </si>
  <si>
    <t>CELSR</t>
    <phoneticPr fontId="0" type="noConversion"/>
  </si>
  <si>
    <t>CELSR2</t>
  </si>
  <si>
    <t>CELSR3</t>
  </si>
  <si>
    <t>CELSR1</t>
  </si>
  <si>
    <t>SYP</t>
    <phoneticPr fontId="0" type="noConversion"/>
  </si>
  <si>
    <t>GNAI3</t>
  </si>
  <si>
    <t>GNAI2</t>
  </si>
  <si>
    <t>GNAI1</t>
  </si>
  <si>
    <t>GNAT2</t>
  </si>
  <si>
    <t>GNAT1</t>
    <phoneticPr fontId="0" type="noConversion"/>
  </si>
  <si>
    <t>GNAT3</t>
    <phoneticPr fontId="0" type="noConversion"/>
  </si>
  <si>
    <t>RBM</t>
    <phoneticPr fontId="0" type="noConversion"/>
  </si>
  <si>
    <t>RBM15</t>
  </si>
  <si>
    <t>RBM15B</t>
  </si>
  <si>
    <t>PPM1</t>
    <phoneticPr fontId="0" type="noConversion"/>
  </si>
  <si>
    <t>PPM1J</t>
  </si>
  <si>
    <t>PPM1M</t>
  </si>
  <si>
    <t>PPM1H</t>
  </si>
  <si>
    <t>MAGI</t>
    <phoneticPr fontId="0" type="noConversion"/>
  </si>
  <si>
    <t>MAGI3</t>
  </si>
  <si>
    <t>MAGI1</t>
  </si>
  <si>
    <t>MAGI2</t>
  </si>
  <si>
    <t>PHTF</t>
    <phoneticPr fontId="0" type="noConversion"/>
  </si>
  <si>
    <t>PHTF1</t>
  </si>
  <si>
    <t>PHTF2</t>
  </si>
  <si>
    <t>RSBN</t>
    <phoneticPr fontId="0" type="noConversion"/>
  </si>
  <si>
    <t>RSBN1</t>
  </si>
  <si>
    <t>RSBN1L</t>
  </si>
  <si>
    <t>PTPN</t>
    <phoneticPr fontId="0" type="noConversion"/>
  </si>
  <si>
    <t>PTPN22</t>
  </si>
  <si>
    <t>PTPN12</t>
  </si>
  <si>
    <t>PTPN18</t>
  </si>
  <si>
    <t>CACNA2D2</t>
  </si>
  <si>
    <t>CACNA2D1</t>
  </si>
  <si>
    <t>SEMA3</t>
    <phoneticPr fontId="0" type="noConversion"/>
  </si>
  <si>
    <t>SEMA3F</t>
  </si>
  <si>
    <t>SEMA3C</t>
  </si>
  <si>
    <t>SEMA3G</t>
  </si>
  <si>
    <t>SEMA3E</t>
  </si>
  <si>
    <t>SEMA3B</t>
    <phoneticPr fontId="0" type="noConversion"/>
  </si>
  <si>
    <t>SEMA3A</t>
  </si>
  <si>
    <t>SEMA3D</t>
  </si>
  <si>
    <t>MST1</t>
  </si>
  <si>
    <t>HGF</t>
  </si>
  <si>
    <t>AVPR1B</t>
  </si>
  <si>
    <t>OXTR</t>
  </si>
  <si>
    <t>AVPR1A</t>
  </si>
  <si>
    <t>AVPR2A</t>
    <phoneticPr fontId="0" type="noConversion"/>
  </si>
  <si>
    <t>OT/VP-R</t>
  </si>
  <si>
    <t>CACNA2D4</t>
  </si>
  <si>
    <t>CACNA2D3</t>
  </si>
  <si>
    <t>CACNA2D</t>
  </si>
  <si>
    <t>GNAI</t>
  </si>
  <si>
    <t>GNAT</t>
  </si>
  <si>
    <t>OPN</t>
  </si>
  <si>
    <t>GNAT1</t>
  </si>
  <si>
    <t>RHO</t>
  </si>
  <si>
    <t>OPN1SW</t>
  </si>
  <si>
    <t>OPN1LW</t>
  </si>
  <si>
    <t>OPN1MW</t>
  </si>
  <si>
    <t>OPN1MW2</t>
  </si>
  <si>
    <t>GNAT3</t>
  </si>
  <si>
    <t>OTR</t>
  </si>
  <si>
    <t>OTR1</t>
  </si>
  <si>
    <t>OTR2</t>
  </si>
  <si>
    <t>ENSDARP00000043090_1</t>
  </si>
  <si>
    <t>ENSDARP00000023794_1</t>
  </si>
  <si>
    <t>ENSGACP00000025092_1</t>
  </si>
  <si>
    <t>ENSLACP00000020429_1</t>
  </si>
  <si>
    <t>ENSGACP00000002013_1</t>
  </si>
  <si>
    <t>ENSGACP00000026150_1</t>
  </si>
  <si>
    <t>ENSGACP00000002138_1</t>
  </si>
  <si>
    <t>ENSDARP00000006267_1</t>
  </si>
  <si>
    <t>ENSLACP00000020040_1</t>
  </si>
  <si>
    <t>ENSDARP00000116425_1</t>
  </si>
  <si>
    <t>CNTN</t>
    <phoneticPr fontId="3" type="noConversion"/>
  </si>
  <si>
    <t>ENSGACP00000015171_1</t>
  </si>
  <si>
    <t>ENSDARP00000011116_1</t>
  </si>
  <si>
    <t>ENSLACP00000004074_1</t>
  </si>
  <si>
    <t>ENSDARP00000089410_1</t>
  </si>
  <si>
    <t>ENSDARP00000055034_1</t>
  </si>
  <si>
    <t>GXYLT</t>
    <phoneticPr fontId="3" type="noConversion"/>
  </si>
  <si>
    <t>ENSDARP00000064877_1</t>
  </si>
  <si>
    <t>ENSLACP00000005101_1</t>
  </si>
  <si>
    <t>PRICKLE</t>
    <phoneticPr fontId="2" type="noConversion"/>
  </si>
  <si>
    <t>ENSLACP00000004588_1</t>
  </si>
  <si>
    <t>ENSLACP00000011772_1</t>
  </si>
  <si>
    <t>TWF</t>
    <phoneticPr fontId="2" type="noConversion"/>
  </si>
  <si>
    <t>ENSGACP00000005307_1</t>
  </si>
  <si>
    <t>B4GALNT</t>
    <phoneticPr fontId="3" type="noConversion"/>
  </si>
  <si>
    <t>ENSDARP00000099955_1</t>
  </si>
  <si>
    <t>ENSDARP00000050113_1</t>
  </si>
  <si>
    <t>ENSGACP00000004706_1</t>
  </si>
  <si>
    <t>ENSGACP00000014075_1</t>
  </si>
  <si>
    <t>ENSGACP00000025112_1</t>
  </si>
  <si>
    <t>PPM1</t>
    <phoneticPr fontId="0" type="noConversion"/>
  </si>
  <si>
    <t>ENSDARP00000087709_1</t>
  </si>
  <si>
    <t>SRGAP</t>
    <phoneticPr fontId="2" type="noConversion"/>
  </si>
  <si>
    <t>ENSGACP00000001197_1</t>
  </si>
  <si>
    <t>ENSLACP00000021111_1</t>
  </si>
  <si>
    <t>IKBKE</t>
    <phoneticPr fontId="3" type="noConversion"/>
  </si>
  <si>
    <t>ENSGACP00000000783_1</t>
  </si>
  <si>
    <t>ATP2B</t>
    <phoneticPr fontId="3" type="noConversion"/>
  </si>
  <si>
    <t>ENSLACP00000007725_1</t>
  </si>
  <si>
    <t>ENSGACP00000009521_1</t>
  </si>
  <si>
    <t>ENSDARP00000072130_1</t>
  </si>
  <si>
    <t>ENSGACP00000014494_1</t>
  </si>
  <si>
    <t>ENSGACP00000025317_1</t>
  </si>
  <si>
    <t>PTPN</t>
    <phoneticPr fontId="0" type="noConversion"/>
  </si>
  <si>
    <t>ENSLACP00000006222_1</t>
  </si>
  <si>
    <t>ENSLACP00000018349_1</t>
  </si>
  <si>
    <t>PHTF</t>
    <phoneticPr fontId="0" type="noConversion"/>
  </si>
  <si>
    <t>ENSGACP00000025980_1</t>
  </si>
  <si>
    <t>ENSDARP00000044422_1</t>
  </si>
  <si>
    <t>ENSDARP00000118891_1</t>
  </si>
  <si>
    <t>ENSGACP00000010342_1</t>
  </si>
  <si>
    <t>ENSLACP00000013070_1</t>
  </si>
  <si>
    <t>ENSGACP00000015800_1</t>
  </si>
  <si>
    <t>ENSDARP00000064895_1</t>
  </si>
  <si>
    <t>ENSLACP00000023309_1</t>
  </si>
  <si>
    <t>ENSGACP00000001703_1</t>
  </si>
  <si>
    <t>SEMA3</t>
    <phoneticPr fontId="0" type="noConversion"/>
  </si>
  <si>
    <t>ENSLACP00000018405_1</t>
  </si>
  <si>
    <t>ENSDARP00000061885_1</t>
  </si>
  <si>
    <t>ENSDARP00000028248_1</t>
  </si>
  <si>
    <t>ENSDARP00000019469_1</t>
  </si>
  <si>
    <t>ENSDARP00000046862_1</t>
  </si>
  <si>
    <t>ENSLACP00000005942_1</t>
  </si>
  <si>
    <t>ENSDARP00000053124_1</t>
  </si>
  <si>
    <t>SYP</t>
    <phoneticPr fontId="0" type="noConversion"/>
  </si>
  <si>
    <t>ENSLACP00000004791_1</t>
  </si>
  <si>
    <t>ENSDARP00000054734_1</t>
  </si>
  <si>
    <t>L1CAM</t>
    <phoneticPr fontId="3" type="noConversion"/>
  </si>
  <si>
    <t>ENSDARP00000109567_1</t>
  </si>
  <si>
    <t>ENSGACP00000024962_1</t>
  </si>
  <si>
    <t>LRRN</t>
    <phoneticPr fontId="2" type="noConversion"/>
  </si>
  <si>
    <t>ENSDARP00000084665_1</t>
  </si>
  <si>
    <t>ENSGACP00000015760_1</t>
  </si>
  <si>
    <t>ENSDARP00000107141_1</t>
  </si>
  <si>
    <t>ENSGACP00000013628_1</t>
  </si>
  <si>
    <t>ENSDARP00000094748_1</t>
  </si>
  <si>
    <t>ENSGACP00000000941_1</t>
    <phoneticPr fontId="3" type="noConversion"/>
  </si>
  <si>
    <t>FLN</t>
    <phoneticPr fontId="3" type="noConversion"/>
  </si>
  <si>
    <t>ENSDARP00000024947_1</t>
  </si>
  <si>
    <t>COPG</t>
    <phoneticPr fontId="3" type="noConversion"/>
  </si>
  <si>
    <t>ENSDARP00000043659_1</t>
  </si>
  <si>
    <t>PLXNA</t>
    <phoneticPr fontId="3" type="noConversion"/>
  </si>
  <si>
    <t>ENSLACP00000021348_1</t>
  </si>
  <si>
    <t>ENSGACP00000010859_1</t>
  </si>
  <si>
    <t>ENSDARP00000021195_1</t>
  </si>
  <si>
    <t>ENSGACP00000015019_1</t>
  </si>
  <si>
    <t>ENSGACP00000001777_1</t>
  </si>
  <si>
    <t>ENSDARP00000095447_1</t>
  </si>
  <si>
    <t>ENSLACP00000010765_1</t>
  </si>
  <si>
    <t>ENSDARP00000080951_1</t>
  </si>
  <si>
    <t>ENSLACP00000010616_1</t>
  </si>
  <si>
    <t>RBM</t>
    <phoneticPr fontId="0" type="noConversion"/>
  </si>
  <si>
    <t>ENSGACP00000016035_1</t>
  </si>
  <si>
    <t>ENSGACP00000008224_1</t>
  </si>
  <si>
    <t>ENSDARP00000054690_1</t>
  </si>
  <si>
    <t>ENSDARP00000100758_1</t>
  </si>
  <si>
    <t>ENSLACP00000018873_1</t>
  </si>
  <si>
    <t>Spotted gar LG1</t>
  </si>
  <si>
    <t>Spotted gar LG3</t>
  </si>
  <si>
    <t>Spotted gar  LG5</t>
  </si>
  <si>
    <t>Spotted gar LG8</t>
  </si>
  <si>
    <t>ENSGACP00000013584_1</t>
  </si>
  <si>
    <t>ENSGACP00000001853_1</t>
  </si>
  <si>
    <t>V1A</t>
  </si>
  <si>
    <t>V2C</t>
  </si>
  <si>
    <t>V2B</t>
  </si>
  <si>
    <t>V2A1</t>
  </si>
  <si>
    <t>V2A2</t>
  </si>
  <si>
    <t>Human other</t>
  </si>
  <si>
    <t>Human chr. 1</t>
  </si>
  <si>
    <t>Human chr. 3</t>
  </si>
  <si>
    <t>Human chr. 7</t>
  </si>
  <si>
    <t>Human chr. 12</t>
  </si>
  <si>
    <t>Human X</t>
  </si>
  <si>
    <t>V1Ab</t>
  </si>
  <si>
    <t>V1Aa</t>
  </si>
  <si>
    <t>Chicken chr. 26</t>
  </si>
  <si>
    <t>Chicken chr. 12</t>
  </si>
  <si>
    <t>Chcken chr. 1</t>
  </si>
  <si>
    <t>Footnote 1</t>
  </si>
  <si>
    <t>(FLNC)</t>
  </si>
  <si>
    <t>Footnote 2</t>
  </si>
  <si>
    <t>SWS2</t>
  </si>
  <si>
    <t>AVPR2 (V2C)</t>
  </si>
  <si>
    <t>RMB15</t>
  </si>
  <si>
    <t>SEMA3B</t>
  </si>
  <si>
    <t>SEMA3DL*</t>
  </si>
  <si>
    <t>SYPL</t>
  </si>
  <si>
    <t>TWF</t>
  </si>
  <si>
    <t>chr. 3: 47.3</t>
  </si>
  <si>
    <t>Un_random: 29.8</t>
  </si>
  <si>
    <t>Un_random: 37.3</t>
  </si>
  <si>
    <t>chr. 17: 47.21</t>
  </si>
  <si>
    <t>chr. 10: 12.39</t>
  </si>
  <si>
    <t>chr. 22: 46.76</t>
  </si>
  <si>
    <t>chr. 11: 98.89</t>
  </si>
  <si>
    <t>Y: 21.87</t>
  </si>
  <si>
    <t>chr. 6: 161.12</t>
  </si>
  <si>
    <t>chr. 6: 41.75</t>
  </si>
  <si>
    <t>chr. 2:131.11</t>
  </si>
  <si>
    <t>chr. 9: 95.95</t>
  </si>
  <si>
    <t>chr. 17: 40.9</t>
  </si>
  <si>
    <t>chr. 27: 4.7</t>
  </si>
  <si>
    <t>ATP2B</t>
  </si>
  <si>
    <t>Spotted gar other</t>
  </si>
  <si>
    <t>Zebrafish chr. 8</t>
  </si>
  <si>
    <t>Zebrafish chr. 23</t>
  </si>
  <si>
    <t>Zebrafish chr. 11</t>
  </si>
  <si>
    <t>Zebrafish chr. 4</t>
  </si>
  <si>
    <t>Zebrafish chr. 6</t>
  </si>
  <si>
    <t>Zebrafish chr. 25</t>
  </si>
  <si>
    <t>Zebrafish chr. 18</t>
  </si>
  <si>
    <t>Dre 6b</t>
  </si>
  <si>
    <t>Dre 4a</t>
  </si>
  <si>
    <t>Dre 18b</t>
  </si>
  <si>
    <t>rho</t>
  </si>
  <si>
    <t>rhol</t>
  </si>
  <si>
    <t>opn1mw1</t>
  </si>
  <si>
    <t>opn1mw2</t>
  </si>
  <si>
    <t>opn1mw3</t>
  </si>
  <si>
    <t>opn1mw4</t>
  </si>
  <si>
    <t>opn1lw1</t>
  </si>
  <si>
    <t>opn1sw2</t>
  </si>
  <si>
    <t>opn1lw2</t>
  </si>
  <si>
    <t>opn1sw1</t>
  </si>
  <si>
    <t>exorh</t>
  </si>
  <si>
    <t>CHL</t>
  </si>
  <si>
    <t>Dre 8</t>
  </si>
  <si>
    <t>Dre 11</t>
  </si>
  <si>
    <t>Dre 8a</t>
  </si>
  <si>
    <t>Dre 8b</t>
  </si>
  <si>
    <t>Dre 8c</t>
  </si>
  <si>
    <t>ARHGAP</t>
  </si>
  <si>
    <t>Dre 11b</t>
  </si>
  <si>
    <t>chr. 3: 23.3</t>
  </si>
  <si>
    <t>chr. 3: 23.4</t>
  </si>
  <si>
    <t>chr. 22: 0.9</t>
  </si>
  <si>
    <t>chr. 22: 9.4</t>
  </si>
  <si>
    <t>chr. 22: 1.0</t>
  </si>
  <si>
    <t>chr. 9: 0.3</t>
  </si>
  <si>
    <t>chr. 22: 117.9 Kb</t>
  </si>
  <si>
    <t>chr. 19: 46.9</t>
  </si>
  <si>
    <t>Zv9_NA683</t>
  </si>
  <si>
    <t>Zv9_scaffold3518: 0.4</t>
  </si>
  <si>
    <t>chr. 19: 47.0</t>
  </si>
  <si>
    <t>chr. 20: 42.7</t>
  </si>
  <si>
    <t>chr. 22: 35.0</t>
  </si>
  <si>
    <t>Zv9_NA661: 2.26</t>
  </si>
  <si>
    <t>chr. 22: 33.4</t>
  </si>
  <si>
    <t>chr. 12: 4.2</t>
  </si>
  <si>
    <t>chr. 12: 4.3</t>
  </si>
  <si>
    <t>Zv9_NA593: 1.43 Kb</t>
  </si>
  <si>
    <t>Stickleback scaffold_27</t>
  </si>
  <si>
    <t>Stickleback LG XIX</t>
  </si>
  <si>
    <t>Stickleback LG IV</t>
  </si>
  <si>
    <t>Stickleback LG XII</t>
  </si>
  <si>
    <t>Stickleback LG XVII</t>
  </si>
  <si>
    <t xml:space="preserve"> </t>
  </si>
  <si>
    <t>XI: 0.8</t>
  </si>
  <si>
    <t>scaffold_141: 0.1</t>
  </si>
  <si>
    <t>CACNA1L</t>
  </si>
  <si>
    <t>Gac IVb</t>
  </si>
  <si>
    <t>FLANG</t>
  </si>
  <si>
    <t>Gac s27b</t>
  </si>
  <si>
    <t>Gac s141</t>
  </si>
  <si>
    <t>Gac XIIc</t>
  </si>
  <si>
    <t>LWS</t>
  </si>
  <si>
    <t>SWS1</t>
  </si>
  <si>
    <t>PHTF</t>
  </si>
  <si>
    <t>Gac XVII</t>
  </si>
  <si>
    <t>Gac XIId</t>
  </si>
  <si>
    <t>Gac XIIa</t>
  </si>
  <si>
    <t>SRGAP</t>
  </si>
  <si>
    <t>Gac XVIIb</t>
  </si>
  <si>
    <t>scaffold_114: 0.3</t>
  </si>
  <si>
    <t>LG I: 14.9</t>
  </si>
  <si>
    <t>scaffold_90: 0.3</t>
  </si>
  <si>
    <t>scaffold_90: 0.1</t>
  </si>
  <si>
    <t>Un_random: 30.7</t>
  </si>
  <si>
    <t>scaffold_99: 0.1</t>
  </si>
  <si>
    <t>scaffold_141: 175.47 Kb</t>
  </si>
  <si>
    <t>scaffold_90: 0.5</t>
  </si>
  <si>
    <t>scaffold_152: 248.9 Kb</t>
  </si>
  <si>
    <t>LG XVIII: 3.1</t>
  </si>
  <si>
    <t>scaffold_114: 0.2</t>
  </si>
  <si>
    <t>scaffold_279: 6.016 Kb</t>
  </si>
  <si>
    <t>scaffold_89: 0.1</t>
  </si>
  <si>
    <t>scaffold_152: 227.31 Kb</t>
  </si>
  <si>
    <t>scaffold_237: 1.299 Kb</t>
  </si>
  <si>
    <t>scaffold_139: 0.1</t>
  </si>
  <si>
    <t>scaffold_99: 302.8 Kb</t>
  </si>
  <si>
    <t>LG V: 3.6</t>
  </si>
  <si>
    <t>LG XI: 15.9</t>
  </si>
  <si>
    <t>RH2</t>
  </si>
  <si>
    <t>LG 4: 18.4</t>
  </si>
  <si>
    <t>JH591411.1: 0.7</t>
  </si>
  <si>
    <t>JH591411.1: 1.1</t>
  </si>
  <si>
    <t>JH591411.1: 0.6</t>
  </si>
  <si>
    <t>AHAT01043508.1: 0.25 Kb</t>
  </si>
  <si>
    <t>JH591411.1: 1.3</t>
  </si>
  <si>
    <t>JH591411.1: 1.9</t>
  </si>
  <si>
    <t>V2A</t>
  </si>
  <si>
    <t>JH591411.1: 467.78 Kb</t>
  </si>
  <si>
    <t>u</t>
  </si>
  <si>
    <t>un</t>
  </si>
  <si>
    <t>Dre 9</t>
  </si>
  <si>
    <t>cacna1f</t>
  </si>
  <si>
    <t>cacna1sb</t>
  </si>
  <si>
    <t>cacna1db</t>
  </si>
  <si>
    <t>cacna1da</t>
  </si>
  <si>
    <t>cacna1c</t>
  </si>
  <si>
    <t>cacna1sa</t>
  </si>
  <si>
    <t>CACNA1Fb</t>
  </si>
  <si>
    <t>CACNA1Da</t>
  </si>
  <si>
    <t>CACNA1Db</t>
  </si>
  <si>
    <t>CACNA1Sb</t>
  </si>
  <si>
    <t>CACNA1Sa</t>
  </si>
  <si>
    <t>CACNA1Fa</t>
  </si>
  <si>
    <t>RH2 (OPNG)</t>
  </si>
  <si>
    <t>RH1 (RHO)</t>
  </si>
  <si>
    <t>LWS (OPN1LW)</t>
  </si>
  <si>
    <t>SWS1 (OPN1SW)</t>
  </si>
  <si>
    <t>RH1 2</t>
  </si>
  <si>
    <t>RH1 1</t>
  </si>
  <si>
    <t>SWS1 1</t>
  </si>
  <si>
    <t>SWS1 2</t>
  </si>
  <si>
    <t>RH2 2</t>
  </si>
  <si>
    <t>RH2 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</si>
</sst>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2" x14ac:knownFonts="1">
    <font>
      <sz val="10"/>
      <name val="Verdana"/>
    </font>
    <font>
      <sz val="10"/>
      <name val="Verdana"/>
      <family val="2"/>
    </font>
    <font>
      <sz val="8"/>
      <name val="Verdana"/>
      <family val="2"/>
    </font>
    <font>
      <b/>
      <sz val="9"/>
      <name val="Arial"/>
      <family val="2"/>
    </font>
    <font>
      <sz val="9"/>
      <name val="Arial"/>
      <family val="2"/>
    </font>
    <font>
      <i/>
      <sz val="9"/>
      <name val="Arial"/>
      <family val="2"/>
    </font>
    <font>
      <sz val="9"/>
      <color theme="0" tint="-0.34998626667073579"/>
      <name val="Arial"/>
      <family val="2"/>
    </font>
    <font>
      <sz val="9"/>
      <color rgb="FFFF0000"/>
      <name val="Arial"/>
      <family val="2"/>
    </font>
    <font>
      <sz val="12"/>
      <color indexed="8"/>
      <name val="Calibri"/>
      <family val="2"/>
    </font>
    <font>
      <sz val="12"/>
      <color rgb="FF006100"/>
      <name val="Calibri"/>
      <family val="2"/>
      <scheme val="minor"/>
    </font>
    <font>
      <sz val="12"/>
      <color rgb="FF9C0006"/>
      <name val="Calibri"/>
      <family val="2"/>
      <scheme val="minor"/>
    </font>
    <font>
      <sz val="12"/>
      <color theme="1"/>
      <name val="Calibri"/>
      <family val="2"/>
      <scheme val="minor"/>
    </font>
    <font>
      <sz val="12"/>
      <color indexed="17"/>
      <name val="Calibri"/>
      <family val="2"/>
    </font>
    <font>
      <u/>
      <sz val="10"/>
      <color theme="11"/>
      <name val="Verdana"/>
    </font>
    <font>
      <b/>
      <i/>
      <sz val="9"/>
      <name val="Arial"/>
    </font>
    <font>
      <sz val="9"/>
      <color indexed="22"/>
      <name val="Arial"/>
    </font>
    <font>
      <sz val="9"/>
      <color rgb="FF000000"/>
      <name val="Arial"/>
    </font>
    <font>
      <i/>
      <sz val="9"/>
      <color indexed="22"/>
      <name val="Arial"/>
    </font>
    <font>
      <i/>
      <sz val="9"/>
      <color rgb="FF000000"/>
      <name val="Arial"/>
    </font>
    <font>
      <i/>
      <sz val="9"/>
      <color theme="0" tint="-0.34998626667073579"/>
      <name val="Arial"/>
      <family val="2"/>
    </font>
    <font>
      <i/>
      <sz val="9"/>
      <color indexed="8"/>
      <name val="Arial"/>
    </font>
    <font>
      <sz val="9"/>
      <color indexed="10"/>
      <name val="Arial"/>
    </font>
  </fonts>
  <fills count="19">
    <fill>
      <patternFill patternType="none"/>
    </fill>
    <fill>
      <patternFill patternType="gray125"/>
    </fill>
    <fill>
      <patternFill patternType="solid">
        <fgColor indexed="9"/>
        <bgColor indexed="64"/>
      </patternFill>
    </fill>
    <fill>
      <patternFill patternType="solid">
        <fgColor rgb="FFC79977"/>
        <bgColor indexed="64"/>
      </patternFill>
    </fill>
    <fill>
      <patternFill patternType="solid">
        <fgColor rgb="FFFFCC99"/>
        <bgColor indexed="64"/>
      </patternFill>
    </fill>
    <fill>
      <patternFill patternType="solid">
        <fgColor rgb="FFFFFFAF"/>
        <bgColor indexed="64"/>
      </patternFill>
    </fill>
    <fill>
      <patternFill patternType="darkDown">
        <fgColor rgb="FF8D684D"/>
        <bgColor rgb="FFC79977"/>
      </patternFill>
    </fill>
    <fill>
      <patternFill patternType="solid">
        <fgColor rgb="FFFEA8A8"/>
        <bgColor indexed="64"/>
      </patternFill>
    </fill>
    <fill>
      <patternFill patternType="solid">
        <fgColor rgb="FFC6EFCE"/>
      </patternFill>
    </fill>
    <fill>
      <patternFill patternType="solid">
        <fgColor rgb="FFFFC7CE"/>
      </patternFill>
    </fill>
    <fill>
      <patternFill patternType="solid">
        <fgColor rgb="FFFFFFCC"/>
      </patternFill>
    </fill>
    <fill>
      <patternFill patternType="darkUp">
        <fgColor rgb="FFFFDAA3"/>
        <bgColor rgb="FFFFFFAF"/>
      </patternFill>
    </fill>
    <fill>
      <patternFill patternType="darkUp">
        <fgColor rgb="FFFEE68C"/>
        <bgColor rgb="FFFFFFAF"/>
      </patternFill>
    </fill>
    <fill>
      <patternFill patternType="darkUp">
        <fgColor rgb="FFFFB03B"/>
        <bgColor rgb="FFFFCC99"/>
      </patternFill>
    </fill>
    <fill>
      <patternFill patternType="solid">
        <fgColor rgb="FFFFCC99"/>
        <bgColor theme="0"/>
      </patternFill>
    </fill>
    <fill>
      <patternFill patternType="darkUp">
        <fgColor rgb="FF8D684D"/>
        <bgColor rgb="FFC79977"/>
      </patternFill>
    </fill>
    <fill>
      <patternFill patternType="solid">
        <fgColor rgb="FFC8F88B"/>
        <bgColor indexed="64"/>
      </patternFill>
    </fill>
    <fill>
      <patternFill patternType="solid">
        <fgColor rgb="FFC7D8DC"/>
        <bgColor indexed="64"/>
      </patternFill>
    </fill>
    <fill>
      <patternFill patternType="solid">
        <fgColor rgb="FFF7D377"/>
        <bgColor indexed="64"/>
      </patternFill>
    </fill>
  </fills>
  <borders count="14">
    <border>
      <left/>
      <right/>
      <top/>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indexed="22"/>
      </bottom>
      <diagonal/>
    </border>
    <border>
      <left style="thin">
        <color auto="1"/>
      </left>
      <right/>
      <top style="thin">
        <color indexed="22"/>
      </top>
      <bottom style="thin">
        <color indexed="22"/>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indexed="22"/>
      </top>
      <bottom/>
      <diagonal/>
    </border>
    <border>
      <left style="thin">
        <color auto="1"/>
      </left>
      <right style="thin">
        <color auto="1"/>
      </right>
      <top/>
      <bottom style="thin">
        <color indexed="22"/>
      </bottom>
      <diagonal/>
    </border>
    <border>
      <left style="thin">
        <color auto="1"/>
      </left>
      <right style="thin">
        <color auto="1"/>
      </right>
      <top/>
      <bottom/>
      <diagonal/>
    </border>
    <border>
      <left/>
      <right style="thin">
        <color auto="1"/>
      </right>
      <top/>
      <bottom style="thin">
        <color indexed="22"/>
      </bottom>
      <diagonal/>
    </border>
    <border>
      <left/>
      <right style="thin">
        <color auto="1"/>
      </right>
      <top style="thin">
        <color indexed="22"/>
      </top>
      <bottom/>
      <diagonal/>
    </border>
    <border>
      <left/>
      <right/>
      <top style="thin">
        <color auto="1"/>
      </top>
      <bottom style="thin">
        <color auto="1"/>
      </bottom>
      <diagonal/>
    </border>
  </borders>
  <cellStyleXfs count="27">
    <xf numFmtId="0" fontId="0" fillId="0" borderId="0"/>
    <xf numFmtId="0" fontId="1" fillId="0" borderId="0"/>
    <xf numFmtId="0" fontId="8" fillId="0" borderId="0" applyNumberFormat="0" applyBorder="0" applyAlignment="0" applyProtection="0"/>
    <xf numFmtId="0" fontId="8" fillId="0" borderId="0" applyNumberFormat="0" applyBorder="0" applyAlignment="0" applyProtection="0"/>
    <xf numFmtId="0" fontId="9" fillId="8" borderId="0" applyNumberFormat="0" applyBorder="0" applyAlignment="0" applyProtection="0"/>
    <xf numFmtId="0" fontId="10" fillId="9" borderId="0" applyNumberFormat="0" applyBorder="0" applyAlignment="0" applyProtection="0"/>
    <xf numFmtId="0" fontId="1" fillId="10" borderId="7" applyNumberFormat="0" applyFont="0" applyAlignment="0" applyProtection="0"/>
    <xf numFmtId="0" fontId="11" fillId="0" borderId="0"/>
    <xf numFmtId="0" fontId="12" fillId="0" borderId="0" applyNumberFormat="0" applyBorder="0" applyAlignment="0" applyProtection="0"/>
    <xf numFmtId="0" fontId="8" fillId="0" borderId="0" applyNumberFormat="0" applyBorder="0" applyAlignment="0" applyProtection="0"/>
    <xf numFmtId="0" fontId="8" fillId="0" borderId="0" applyNumberFormat="0" applyBorder="0" applyAlignment="0" applyProtection="0"/>
    <xf numFmtId="0" fontId="8" fillId="0" borderId="0" applyNumberFormat="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cellStyleXfs>
  <cellXfs count="407">
    <xf numFmtId="0" fontId="0" fillId="0" borderId="0" xfId="0"/>
    <xf numFmtId="164" fontId="4" fillId="5" borderId="1" xfId="0" applyNumberFormat="1" applyFont="1" applyFill="1" applyBorder="1" applyAlignment="1">
      <alignment horizontal="left"/>
    </xf>
    <xf numFmtId="2" fontId="4" fillId="0" borderId="0" xfId="0" applyNumberFormat="1" applyFont="1" applyFill="1" applyBorder="1" applyAlignment="1">
      <alignment horizontal="right"/>
    </xf>
    <xf numFmtId="164" fontId="4" fillId="4" borderId="1" xfId="0" applyNumberFormat="1" applyFont="1" applyFill="1" applyBorder="1" applyAlignment="1">
      <alignment horizontal="left"/>
    </xf>
    <xf numFmtId="164" fontId="4" fillId="4" borderId="2" xfId="0" applyNumberFormat="1" applyFont="1" applyFill="1" applyBorder="1" applyAlignment="1">
      <alignment horizontal="right"/>
    </xf>
    <xf numFmtId="164" fontId="4" fillId="3" borderId="1" xfId="0" applyNumberFormat="1" applyFont="1" applyFill="1" applyBorder="1" applyAlignment="1">
      <alignment horizontal="left"/>
    </xf>
    <xf numFmtId="2" fontId="4" fillId="0" borderId="0" xfId="0" applyNumberFormat="1" applyFont="1" applyBorder="1"/>
    <xf numFmtId="164" fontId="4" fillId="3" borderId="0" xfId="0" applyNumberFormat="1" applyFont="1" applyFill="1" applyBorder="1" applyAlignment="1">
      <alignment horizontal="right"/>
    </xf>
    <xf numFmtId="164" fontId="4" fillId="4" borderId="0" xfId="0" applyNumberFormat="1" applyFont="1" applyFill="1" applyBorder="1" applyAlignment="1">
      <alignment horizontal="right"/>
    </xf>
    <xf numFmtId="164" fontId="4" fillId="5" borderId="0" xfId="0" applyNumberFormat="1" applyFont="1" applyFill="1" applyBorder="1" applyAlignment="1">
      <alignment horizontal="right" wrapText="1"/>
    </xf>
    <xf numFmtId="2" fontId="5" fillId="0" borderId="1" xfId="0" applyNumberFormat="1" applyFont="1" applyFill="1" applyBorder="1" applyAlignment="1">
      <alignment horizontal="left"/>
    </xf>
    <xf numFmtId="2" fontId="4" fillId="0" borderId="0" xfId="0" applyNumberFormat="1" applyFont="1" applyFill="1" applyAlignment="1">
      <alignment vertical="center"/>
    </xf>
    <xf numFmtId="164" fontId="4" fillId="0" borderId="1" xfId="0" applyNumberFormat="1" applyFont="1" applyFill="1" applyBorder="1" applyAlignment="1">
      <alignment horizontal="left"/>
    </xf>
    <xf numFmtId="164" fontId="4" fillId="0" borderId="2" xfId="0" applyNumberFormat="1" applyFont="1" applyFill="1" applyBorder="1" applyAlignment="1">
      <alignment horizontal="right"/>
    </xf>
    <xf numFmtId="164" fontId="4" fillId="0" borderId="0" xfId="0" applyNumberFormat="1" applyFont="1" applyFill="1" applyBorder="1" applyAlignment="1">
      <alignment horizontal="right" wrapText="1"/>
    </xf>
    <xf numFmtId="164" fontId="4" fillId="0" borderId="2" xfId="0" applyNumberFormat="1" applyFont="1" applyFill="1" applyBorder="1" applyAlignment="1">
      <alignment horizontal="right" wrapText="1"/>
    </xf>
    <xf numFmtId="164" fontId="4" fillId="7" borderId="1" xfId="0" applyNumberFormat="1" applyFont="1" applyFill="1" applyBorder="1" applyAlignment="1">
      <alignment horizontal="left"/>
    </xf>
    <xf numFmtId="164" fontId="4" fillId="7" borderId="2" xfId="0" applyNumberFormat="1" applyFont="1" applyFill="1" applyBorder="1" applyAlignment="1">
      <alignment horizontal="right"/>
    </xf>
    <xf numFmtId="1" fontId="4" fillId="0" borderId="0" xfId="0" applyNumberFormat="1" applyFont="1" applyFill="1" applyBorder="1" applyAlignment="1">
      <alignment horizontal="right"/>
    </xf>
    <xf numFmtId="164" fontId="4" fillId="0" borderId="0" xfId="0" applyNumberFormat="1" applyFont="1" applyFill="1" applyBorder="1" applyAlignment="1">
      <alignment horizontal="right"/>
    </xf>
    <xf numFmtId="164" fontId="7" fillId="0" borderId="0" xfId="0" applyNumberFormat="1" applyFont="1" applyFill="1" applyBorder="1" applyAlignment="1">
      <alignment horizontal="right" wrapText="1"/>
    </xf>
    <xf numFmtId="2" fontId="4" fillId="0" borderId="2" xfId="0" applyNumberFormat="1" applyFont="1" applyFill="1" applyBorder="1" applyAlignment="1">
      <alignment horizontal="right" wrapText="1"/>
    </xf>
    <xf numFmtId="1" fontId="4" fillId="0" borderId="0" xfId="0" applyNumberFormat="1" applyFont="1" applyBorder="1" applyAlignment="1">
      <alignment horizontal="right"/>
    </xf>
    <xf numFmtId="164" fontId="4" fillId="0" borderId="0" xfId="0" applyNumberFormat="1" applyFont="1" applyFill="1" applyBorder="1"/>
    <xf numFmtId="1" fontId="4" fillId="5" borderId="0" xfId="0" applyNumberFormat="1" applyFont="1" applyFill="1" applyBorder="1" applyAlignment="1">
      <alignment horizontal="right"/>
    </xf>
    <xf numFmtId="1" fontId="4" fillId="4" borderId="0" xfId="0" applyNumberFormat="1" applyFont="1" applyFill="1" applyBorder="1" applyAlignment="1">
      <alignment horizontal="right"/>
    </xf>
    <xf numFmtId="1" fontId="4" fillId="3" borderId="0" xfId="0" applyNumberFormat="1" applyFont="1" applyFill="1" applyBorder="1" applyAlignment="1">
      <alignment horizontal="right"/>
    </xf>
    <xf numFmtId="164" fontId="4" fillId="0" borderId="0" xfId="0" applyNumberFormat="1" applyFont="1" applyBorder="1"/>
    <xf numFmtId="164" fontId="4" fillId="0" borderId="0" xfId="0" applyNumberFormat="1" applyFont="1" applyFill="1" applyBorder="1" applyAlignment="1"/>
    <xf numFmtId="2" fontId="4" fillId="0" borderId="1" xfId="0" applyNumberFormat="1" applyFont="1" applyFill="1" applyBorder="1" applyAlignment="1">
      <alignment vertical="center"/>
    </xf>
    <xf numFmtId="164" fontId="4" fillId="7" borderId="0" xfId="0" applyNumberFormat="1" applyFont="1" applyFill="1" applyBorder="1" applyAlignment="1">
      <alignment horizontal="right"/>
    </xf>
    <xf numFmtId="164" fontId="4" fillId="0" borderId="1" xfId="0" applyNumberFormat="1" applyFont="1" applyFill="1" applyBorder="1" applyAlignment="1"/>
    <xf numFmtId="164" fontId="4" fillId="0" borderId="0" xfId="0" applyNumberFormat="1" applyFont="1" applyFill="1" applyBorder="1" applyAlignment="1">
      <alignment horizontal="right" vertical="top" wrapText="1"/>
    </xf>
    <xf numFmtId="164" fontId="5" fillId="0" borderId="1" xfId="0" applyNumberFormat="1" applyFont="1" applyFill="1" applyBorder="1" applyAlignment="1">
      <alignment horizontal="left"/>
    </xf>
    <xf numFmtId="2" fontId="4" fillId="0" borderId="0" xfId="0" applyNumberFormat="1" applyFont="1" applyBorder="1" applyAlignment="1">
      <alignment horizontal="right"/>
    </xf>
    <xf numFmtId="164" fontId="4" fillId="6" borderId="0" xfId="0" applyNumberFormat="1" applyFont="1" applyFill="1" applyBorder="1" applyAlignment="1">
      <alignment horizontal="right"/>
    </xf>
    <xf numFmtId="164" fontId="4" fillId="0" borderId="0" xfId="0" applyNumberFormat="1" applyFont="1" applyBorder="1" applyAlignment="1">
      <alignment horizontal="right"/>
    </xf>
    <xf numFmtId="164" fontId="4" fillId="5" borderId="0" xfId="0" applyNumberFormat="1" applyFont="1" applyFill="1" applyBorder="1" applyAlignment="1">
      <alignment wrapText="1"/>
    </xf>
    <xf numFmtId="164" fontId="4" fillId="3" borderId="0" xfId="0" applyNumberFormat="1" applyFont="1" applyFill="1" applyBorder="1" applyAlignment="1"/>
    <xf numFmtId="164" fontId="4" fillId="4" borderId="0" xfId="0" applyNumberFormat="1" applyFont="1" applyFill="1" applyBorder="1" applyAlignment="1"/>
    <xf numFmtId="164" fontId="4" fillId="0" borderId="0" xfId="0" applyNumberFormat="1" applyFont="1" applyFill="1" applyBorder="1" applyAlignment="1">
      <alignment wrapText="1"/>
    </xf>
    <xf numFmtId="164" fontId="4" fillId="0" borderId="0" xfId="0" applyNumberFormat="1" applyFont="1" applyFill="1" applyBorder="1" applyAlignment="1">
      <alignment vertical="top" wrapText="1"/>
    </xf>
    <xf numFmtId="164" fontId="4" fillId="0" borderId="0" xfId="0" applyNumberFormat="1" applyFont="1" applyBorder="1" applyAlignment="1"/>
    <xf numFmtId="164" fontId="4" fillId="7" borderId="0" xfId="0" applyNumberFormat="1" applyFont="1" applyFill="1" applyBorder="1" applyAlignment="1"/>
    <xf numFmtId="164" fontId="6" fillId="0" borderId="0" xfId="0" applyNumberFormat="1" applyFont="1" applyFill="1" applyBorder="1" applyAlignment="1">
      <alignment wrapText="1"/>
    </xf>
    <xf numFmtId="164" fontId="4" fillId="0" borderId="2" xfId="0" applyNumberFormat="1" applyFont="1" applyFill="1" applyBorder="1" applyAlignment="1">
      <alignment wrapText="1"/>
    </xf>
    <xf numFmtId="164" fontId="4" fillId="12" borderId="0" xfId="0" applyNumberFormat="1" applyFont="1" applyFill="1" applyBorder="1" applyAlignment="1">
      <alignment horizontal="right" wrapText="1"/>
    </xf>
    <xf numFmtId="1" fontId="4" fillId="12" borderId="0" xfId="0" applyNumberFormat="1" applyFont="1" applyFill="1" applyBorder="1" applyAlignment="1">
      <alignment horizontal="right" wrapText="1"/>
    </xf>
    <xf numFmtId="164" fontId="4" fillId="13" borderId="2" xfId="0" applyNumberFormat="1" applyFont="1" applyFill="1" applyBorder="1" applyAlignment="1">
      <alignment horizontal="right"/>
    </xf>
    <xf numFmtId="164" fontId="4" fillId="0" borderId="1" xfId="1" applyNumberFormat="1" applyFont="1" applyFill="1" applyBorder="1" applyAlignment="1">
      <alignment horizontal="left"/>
    </xf>
    <xf numFmtId="164" fontId="4" fillId="0" borderId="0" xfId="1" applyNumberFormat="1" applyFont="1" applyFill="1" applyBorder="1" applyAlignment="1">
      <alignment horizontal="right" wrapText="1"/>
    </xf>
    <xf numFmtId="164" fontId="4" fillId="0" borderId="1" xfId="1" applyNumberFormat="1" applyFont="1" applyFill="1" applyBorder="1" applyAlignment="1">
      <alignment horizontal="left" vertical="top" wrapText="1"/>
    </xf>
    <xf numFmtId="164" fontId="4" fillId="0" borderId="0" xfId="1" applyNumberFormat="1" applyFont="1" applyFill="1" applyBorder="1" applyAlignment="1">
      <alignment horizontal="right"/>
    </xf>
    <xf numFmtId="164" fontId="4" fillId="0" borderId="1" xfId="1" applyNumberFormat="1" applyFont="1" applyFill="1" applyBorder="1"/>
    <xf numFmtId="164" fontId="4" fillId="0" borderId="0" xfId="1" applyNumberFormat="1" applyFont="1" applyFill="1"/>
    <xf numFmtId="164" fontId="4" fillId="0" borderId="1" xfId="1" applyNumberFormat="1" applyFont="1" applyFill="1" applyBorder="1" applyAlignment="1">
      <alignment horizontal="left" wrapText="1"/>
    </xf>
    <xf numFmtId="164" fontId="4" fillId="0" borderId="1" xfId="1" applyNumberFormat="1" applyFont="1" applyFill="1" applyBorder="1" applyAlignment="1"/>
    <xf numFmtId="164" fontId="4" fillId="5" borderId="1" xfId="0" applyNumberFormat="1" applyFont="1" applyFill="1" applyBorder="1" applyAlignment="1"/>
    <xf numFmtId="164" fontId="4" fillId="4" borderId="1" xfId="0" applyNumberFormat="1" applyFont="1" applyFill="1" applyBorder="1" applyAlignment="1"/>
    <xf numFmtId="164" fontId="4" fillId="5" borderId="0" xfId="0" applyNumberFormat="1" applyFont="1" applyFill="1" applyBorder="1" applyAlignment="1">
      <alignment horizontal="right"/>
    </xf>
    <xf numFmtId="1" fontId="4" fillId="0" borderId="0" xfId="0" applyNumberFormat="1" applyFont="1" applyFill="1" applyBorder="1" applyAlignment="1">
      <alignment horizontal="right" wrapText="1"/>
    </xf>
    <xf numFmtId="164" fontId="4" fillId="13" borderId="0" xfId="0" applyNumberFormat="1" applyFont="1" applyFill="1" applyBorder="1" applyAlignment="1">
      <alignment horizontal="right"/>
    </xf>
    <xf numFmtId="164" fontId="5" fillId="0" borderId="1" xfId="0" applyNumberFormat="1" applyFont="1" applyFill="1" applyBorder="1" applyAlignment="1">
      <alignment horizontal="left" vertical="top" wrapText="1"/>
    </xf>
    <xf numFmtId="164" fontId="5" fillId="3" borderId="1" xfId="0" applyNumberFormat="1" applyFont="1" applyFill="1" applyBorder="1" applyAlignment="1">
      <alignment horizontal="left"/>
    </xf>
    <xf numFmtId="164" fontId="5" fillId="4" borderId="1" xfId="0" applyNumberFormat="1" applyFont="1" applyFill="1" applyBorder="1" applyAlignment="1">
      <alignment horizontal="left"/>
    </xf>
    <xf numFmtId="164" fontId="5" fillId="0" borderId="1" xfId="0" applyNumberFormat="1" applyFont="1" applyFill="1" applyBorder="1" applyAlignment="1">
      <alignment horizontal="left" wrapText="1"/>
    </xf>
    <xf numFmtId="164" fontId="5" fillId="5" borderId="1" xfId="0" applyNumberFormat="1" applyFont="1" applyFill="1" applyBorder="1" applyAlignment="1">
      <alignment horizontal="left"/>
    </xf>
    <xf numFmtId="164" fontId="5" fillId="7" borderId="1" xfId="0" applyNumberFormat="1" applyFont="1" applyFill="1" applyBorder="1" applyAlignment="1">
      <alignment horizontal="left"/>
    </xf>
    <xf numFmtId="164" fontId="5" fillId="0" borderId="1" xfId="0" applyNumberFormat="1" applyFont="1" applyBorder="1"/>
    <xf numFmtId="164" fontId="14" fillId="3" borderId="1" xfId="0" applyNumberFormat="1" applyFont="1" applyFill="1" applyBorder="1" applyAlignment="1">
      <alignment horizontal="left"/>
    </xf>
    <xf numFmtId="164" fontId="3" fillId="3" borderId="0" xfId="0" applyNumberFormat="1" applyFont="1" applyFill="1" applyBorder="1" applyAlignment="1">
      <alignment horizontal="right"/>
    </xf>
    <xf numFmtId="164" fontId="14" fillId="4" borderId="1" xfId="0" applyNumberFormat="1" applyFont="1" applyFill="1" applyBorder="1" applyAlignment="1">
      <alignment horizontal="left"/>
    </xf>
    <xf numFmtId="164" fontId="3" fillId="4" borderId="0" xfId="0" applyNumberFormat="1" applyFont="1" applyFill="1" applyBorder="1" applyAlignment="1">
      <alignment horizontal="right"/>
    </xf>
    <xf numFmtId="164" fontId="14" fillId="5" borderId="1" xfId="0" applyNumberFormat="1" applyFont="1" applyFill="1" applyBorder="1" applyAlignment="1">
      <alignment horizontal="left"/>
    </xf>
    <xf numFmtId="164" fontId="3" fillId="5" borderId="0" xfId="0" applyNumberFormat="1" applyFont="1" applyFill="1" applyBorder="1" applyAlignment="1">
      <alignment horizontal="right" wrapText="1"/>
    </xf>
    <xf numFmtId="164" fontId="14" fillId="7" borderId="1" xfId="0" applyNumberFormat="1" applyFont="1" applyFill="1" applyBorder="1" applyAlignment="1">
      <alignment horizontal="left"/>
    </xf>
    <xf numFmtId="164" fontId="3" fillId="7" borderId="0" xfId="0" applyNumberFormat="1" applyFont="1" applyFill="1" applyBorder="1" applyAlignment="1">
      <alignment horizontal="right"/>
    </xf>
    <xf numFmtId="164" fontId="3" fillId="7" borderId="0" xfId="0" applyNumberFormat="1" applyFont="1" applyFill="1" applyBorder="1" applyAlignment="1"/>
    <xf numFmtId="164" fontId="3" fillId="4" borderId="0" xfId="0" applyNumberFormat="1" applyFont="1" applyFill="1" applyBorder="1" applyAlignment="1"/>
    <xf numFmtId="164" fontId="3" fillId="5" borderId="0" xfId="0" applyNumberFormat="1" applyFont="1" applyFill="1" applyBorder="1" applyAlignment="1">
      <alignment wrapText="1"/>
    </xf>
    <xf numFmtId="2" fontId="3" fillId="0" borderId="3" xfId="0" applyNumberFormat="1" applyFont="1" applyFill="1" applyBorder="1" applyAlignment="1">
      <alignment horizontal="center" vertical="center" wrapText="1"/>
    </xf>
    <xf numFmtId="0" fontId="4" fillId="0" borderId="0" xfId="0" applyNumberFormat="1" applyFont="1"/>
    <xf numFmtId="164" fontId="5" fillId="6" borderId="1" xfId="0" applyNumberFormat="1" applyFont="1" applyFill="1" applyBorder="1" applyAlignment="1">
      <alignment horizontal="left"/>
    </xf>
    <xf numFmtId="2" fontId="5" fillId="0" borderId="1" xfId="0" applyNumberFormat="1" applyFont="1" applyBorder="1" applyAlignment="1">
      <alignment horizontal="left"/>
    </xf>
    <xf numFmtId="2" fontId="5" fillId="0" borderId="1" xfId="0" applyNumberFormat="1" applyFont="1" applyBorder="1" applyAlignment="1">
      <alignment horizontal="left" vertical="top" wrapText="1"/>
    </xf>
    <xf numFmtId="2" fontId="5" fillId="0" borderId="1" xfId="0" applyNumberFormat="1" applyFont="1" applyFill="1" applyBorder="1" applyAlignment="1">
      <alignment horizontal="left" wrapText="1"/>
    </xf>
    <xf numFmtId="1" fontId="5" fillId="0" borderId="1" xfId="0" applyNumberFormat="1" applyFont="1" applyFill="1" applyBorder="1" applyAlignment="1">
      <alignment horizontal="left"/>
    </xf>
    <xf numFmtId="164" fontId="5" fillId="3" borderId="0" xfId="0" applyNumberFormat="1" applyFont="1" applyFill="1" applyBorder="1" applyAlignment="1">
      <alignment horizontal="left"/>
    </xf>
    <xf numFmtId="164" fontId="5" fillId="4" borderId="0" xfId="0" applyNumberFormat="1" applyFont="1" applyFill="1" applyBorder="1" applyAlignment="1">
      <alignment horizontal="left"/>
    </xf>
    <xf numFmtId="1" fontId="5" fillId="3" borderId="1" xfId="0" applyNumberFormat="1" applyFont="1" applyFill="1" applyBorder="1" applyAlignment="1">
      <alignment horizontal="left"/>
    </xf>
    <xf numFmtId="164" fontId="5" fillId="5" borderId="0" xfId="0" applyNumberFormat="1" applyFont="1" applyFill="1" applyBorder="1" applyAlignment="1">
      <alignment horizontal="right" wrapText="1"/>
    </xf>
    <xf numFmtId="164" fontId="14" fillId="3" borderId="0" xfId="0" applyNumberFormat="1" applyFont="1" applyFill="1" applyBorder="1" applyAlignment="1">
      <alignment horizontal="left"/>
    </xf>
    <xf numFmtId="164" fontId="14" fillId="4" borderId="0" xfId="0" applyNumberFormat="1" applyFont="1" applyFill="1" applyBorder="1" applyAlignment="1">
      <alignment horizontal="left"/>
    </xf>
    <xf numFmtId="164" fontId="14" fillId="5" borderId="0" xfId="0" applyNumberFormat="1" applyFont="1" applyFill="1" applyBorder="1" applyAlignment="1">
      <alignment horizontal="right" wrapText="1"/>
    </xf>
    <xf numFmtId="0" fontId="14" fillId="0" borderId="1" xfId="0" applyFont="1" applyBorder="1"/>
    <xf numFmtId="164" fontId="3" fillId="0" borderId="0" xfId="0" applyNumberFormat="1" applyFont="1" applyBorder="1" applyAlignment="1"/>
    <xf numFmtId="164" fontId="3" fillId="0" borderId="0" xfId="0" applyNumberFormat="1" applyFont="1" applyBorder="1" applyAlignment="1">
      <alignment horizontal="right"/>
    </xf>
    <xf numFmtId="164" fontId="3" fillId="0" borderId="0" xfId="0" applyNumberFormat="1" applyFont="1" applyAlignment="1">
      <alignment horizontal="right"/>
    </xf>
    <xf numFmtId="164" fontId="14" fillId="7" borderId="0" xfId="0" applyNumberFormat="1" applyFont="1" applyFill="1" applyBorder="1" applyAlignment="1">
      <alignment horizontal="left"/>
    </xf>
    <xf numFmtId="0" fontId="4" fillId="0" borderId="2" xfId="0" applyNumberFormat="1" applyFont="1" applyFill="1" applyBorder="1" applyAlignment="1">
      <alignment horizontal="right" wrapText="1"/>
    </xf>
    <xf numFmtId="0" fontId="5" fillId="3" borderId="2" xfId="0" applyNumberFormat="1" applyFont="1" applyFill="1" applyBorder="1" applyAlignment="1">
      <alignment horizontal="right"/>
    </xf>
    <xf numFmtId="0" fontId="14" fillId="3" borderId="2" xfId="0" applyNumberFormat="1" applyFont="1" applyFill="1" applyBorder="1" applyAlignment="1">
      <alignment horizontal="right"/>
    </xf>
    <xf numFmtId="0" fontId="14" fillId="4" borderId="2" xfId="0" applyNumberFormat="1" applyFont="1" applyFill="1" applyBorder="1" applyAlignment="1">
      <alignment horizontal="right"/>
    </xf>
    <xf numFmtId="0" fontId="14" fillId="7" borderId="2" xfId="0" applyNumberFormat="1" applyFont="1" applyFill="1" applyBorder="1" applyAlignment="1">
      <alignment horizontal="right"/>
    </xf>
    <xf numFmtId="0" fontId="14" fillId="5" borderId="2" xfId="0" applyNumberFormat="1" applyFont="1" applyFill="1" applyBorder="1" applyAlignment="1">
      <alignment horizontal="right"/>
    </xf>
    <xf numFmtId="0" fontId="4" fillId="4" borderId="2" xfId="0" applyNumberFormat="1" applyFont="1" applyFill="1" applyBorder="1" applyAlignment="1">
      <alignment horizontal="right" shrinkToFit="1"/>
    </xf>
    <xf numFmtId="2" fontId="4" fillId="0" borderId="0" xfId="0" applyNumberFormat="1" applyFont="1" applyFill="1" applyBorder="1" applyAlignment="1">
      <alignment horizontal="right" wrapText="1"/>
    </xf>
    <xf numFmtId="2" fontId="4" fillId="0" borderId="0" xfId="0" applyNumberFormat="1" applyFont="1"/>
    <xf numFmtId="0" fontId="4" fillId="0" borderId="0" xfId="0" applyFont="1"/>
    <xf numFmtId="1" fontId="5" fillId="0" borderId="1" xfId="0" applyNumberFormat="1" applyFont="1" applyBorder="1"/>
    <xf numFmtId="0" fontId="4" fillId="0" borderId="2" xfId="0" applyNumberFormat="1" applyFont="1" applyBorder="1" applyAlignment="1">
      <alignment horizontal="right"/>
    </xf>
    <xf numFmtId="0" fontId="5" fillId="0" borderId="1" xfId="0" applyFont="1" applyBorder="1"/>
    <xf numFmtId="164" fontId="4" fillId="0" borderId="0" xfId="0" applyNumberFormat="1" applyFont="1" applyAlignment="1">
      <alignment horizontal="right"/>
    </xf>
    <xf numFmtId="0" fontId="4" fillId="0" borderId="1" xfId="0" applyFont="1" applyBorder="1"/>
    <xf numFmtId="0" fontId="5" fillId="0" borderId="1" xfId="0" applyFont="1" applyFill="1" applyBorder="1"/>
    <xf numFmtId="0" fontId="4" fillId="0" borderId="0" xfId="0" applyFont="1" applyBorder="1"/>
    <xf numFmtId="0" fontId="4" fillId="0" borderId="0" xfId="0" applyFont="1" applyFill="1" applyBorder="1"/>
    <xf numFmtId="164" fontId="4" fillId="0" borderId="2" xfId="0" applyNumberFormat="1" applyFont="1" applyFill="1" applyBorder="1"/>
    <xf numFmtId="0" fontId="4" fillId="0" borderId="0" xfId="0" applyFont="1" applyFill="1"/>
    <xf numFmtId="0" fontId="3" fillId="0" borderId="0" xfId="0" applyFont="1" applyBorder="1"/>
    <xf numFmtId="0" fontId="4" fillId="5" borderId="0" xfId="0" applyNumberFormat="1" applyFont="1" applyFill="1" applyBorder="1" applyAlignment="1">
      <alignment horizontal="right" shrinkToFit="1"/>
    </xf>
    <xf numFmtId="0" fontId="4" fillId="0" borderId="0" xfId="0" applyNumberFormat="1" applyFont="1" applyFill="1" applyBorder="1" applyAlignment="1">
      <alignment horizontal="right" shrinkToFit="1"/>
    </xf>
    <xf numFmtId="164" fontId="4" fillId="5" borderId="0" xfId="0" applyNumberFormat="1" applyFont="1" applyFill="1" applyBorder="1" applyAlignment="1">
      <alignment horizontal="right" shrinkToFit="1"/>
    </xf>
    <xf numFmtId="0" fontId="4" fillId="7" borderId="0" xfId="0" applyNumberFormat="1" applyFont="1" applyFill="1" applyBorder="1" applyAlignment="1">
      <alignment horizontal="right" shrinkToFit="1"/>
    </xf>
    <xf numFmtId="0" fontId="4" fillId="0" borderId="0" xfId="0" applyNumberFormat="1" applyFont="1" applyAlignment="1">
      <alignment shrinkToFit="1"/>
    </xf>
    <xf numFmtId="164" fontId="4" fillId="4" borderId="0" xfId="0" applyNumberFormat="1" applyFont="1" applyFill="1" applyBorder="1" applyAlignment="1">
      <alignment horizontal="right" shrinkToFit="1"/>
    </xf>
    <xf numFmtId="0" fontId="4" fillId="0" borderId="1" xfId="0" applyFont="1" applyFill="1" applyBorder="1"/>
    <xf numFmtId="0" fontId="4" fillId="0" borderId="0" xfId="0" applyNumberFormat="1" applyFont="1" applyFill="1" applyAlignment="1">
      <alignment shrinkToFit="1"/>
    </xf>
    <xf numFmtId="0" fontId="3" fillId="0" borderId="1" xfId="0" applyFont="1" applyBorder="1"/>
    <xf numFmtId="0" fontId="5" fillId="0" borderId="1" xfId="0" applyFont="1" applyBorder="1" applyAlignment="1">
      <alignment horizontal="left"/>
    </xf>
    <xf numFmtId="0" fontId="7" fillId="0" borderId="1" xfId="0" applyFont="1" applyFill="1" applyBorder="1"/>
    <xf numFmtId="0" fontId="5" fillId="0" borderId="1" xfId="4" applyFont="1" applyFill="1" applyBorder="1"/>
    <xf numFmtId="0" fontId="4" fillId="0" borderId="0" xfId="4" applyFont="1" applyFill="1"/>
    <xf numFmtId="0" fontId="4" fillId="0" borderId="0" xfId="4" applyFont="1" applyFill="1" applyBorder="1"/>
    <xf numFmtId="164" fontId="4" fillId="0" borderId="0" xfId="0" applyNumberFormat="1" applyFont="1" applyBorder="1" applyAlignment="1">
      <alignment horizontal="left"/>
    </xf>
    <xf numFmtId="164" fontId="4" fillId="0" borderId="5" xfId="1" applyNumberFormat="1" applyFont="1" applyFill="1" applyBorder="1" applyAlignment="1">
      <alignment horizontal="left" vertical="center" wrapText="1"/>
    </xf>
    <xf numFmtId="164" fontId="3" fillId="0" borderId="5" xfId="1" applyNumberFormat="1" applyFont="1" applyFill="1" applyBorder="1" applyAlignment="1">
      <alignment horizontal="left" vertical="center" wrapText="1"/>
    </xf>
    <xf numFmtId="164" fontId="4" fillId="0" borderId="5" xfId="0" applyNumberFormat="1" applyFont="1" applyFill="1" applyBorder="1" applyAlignment="1">
      <alignment horizontal="left" vertical="center" wrapText="1"/>
    </xf>
    <xf numFmtId="164" fontId="3" fillId="0" borderId="5" xfId="0" applyNumberFormat="1" applyFont="1" applyFill="1" applyBorder="1" applyAlignment="1">
      <alignment horizontal="left" vertical="center"/>
    </xf>
    <xf numFmtId="164" fontId="4" fillId="0" borderId="5" xfId="0" applyNumberFormat="1" applyFont="1" applyFill="1" applyBorder="1" applyAlignment="1">
      <alignment horizontal="left" vertical="center"/>
    </xf>
    <xf numFmtId="164" fontId="3" fillId="0" borderId="0" xfId="0" applyNumberFormat="1" applyFont="1" applyFill="1" applyBorder="1" applyAlignment="1">
      <alignment horizontal="left" vertical="center" wrapText="1"/>
    </xf>
    <xf numFmtId="164" fontId="4" fillId="0" borderId="5" xfId="0" applyNumberFormat="1" applyFont="1" applyFill="1" applyBorder="1" applyAlignment="1">
      <alignment vertical="center"/>
    </xf>
    <xf numFmtId="164" fontId="4" fillId="0" borderId="6" xfId="0" applyNumberFormat="1" applyFont="1" applyFill="1" applyBorder="1" applyAlignment="1">
      <alignment horizontal="left" vertical="center" wrapText="1"/>
    </xf>
    <xf numFmtId="164" fontId="4" fillId="0" borderId="1" xfId="0" applyNumberFormat="1" applyFont="1" applyFill="1" applyBorder="1" applyAlignment="1">
      <alignment horizontal="left" vertical="center" wrapText="1"/>
    </xf>
    <xf numFmtId="164" fontId="4" fillId="0" borderId="1" xfId="0" applyNumberFormat="1" applyFont="1" applyFill="1" applyBorder="1" applyAlignment="1">
      <alignment vertical="center"/>
    </xf>
    <xf numFmtId="164" fontId="3" fillId="0" borderId="5" xfId="0" applyNumberFormat="1" applyFont="1" applyFill="1" applyBorder="1" applyAlignment="1">
      <alignment horizontal="left" vertical="center" wrapText="1"/>
    </xf>
    <xf numFmtId="0" fontId="4" fillId="0" borderId="0" xfId="0" applyFont="1" applyBorder="1" applyAlignment="1">
      <alignment horizontal="right"/>
    </xf>
    <xf numFmtId="0" fontId="4" fillId="0" borderId="2" xfId="0" applyFont="1" applyBorder="1" applyAlignment="1">
      <alignment horizontal="right"/>
    </xf>
    <xf numFmtId="1" fontId="4" fillId="0" borderId="0" xfId="4" applyNumberFormat="1" applyFont="1" applyFill="1" applyBorder="1" applyAlignment="1">
      <alignment horizontal="right"/>
    </xf>
    <xf numFmtId="164" fontId="4" fillId="0" borderId="2" xfId="0" applyNumberFormat="1" applyFont="1" applyBorder="1" applyAlignment="1">
      <alignment horizontal="right"/>
    </xf>
    <xf numFmtId="0" fontId="4" fillId="0" borderId="1" xfId="4" applyFont="1" applyFill="1" applyBorder="1"/>
    <xf numFmtId="164" fontId="16" fillId="0" borderId="0" xfId="0" applyNumberFormat="1" applyFont="1" applyFill="1" applyBorder="1" applyAlignment="1">
      <alignment horizontal="right"/>
    </xf>
    <xf numFmtId="164" fontId="16" fillId="0" borderId="0" xfId="0" applyNumberFormat="1" applyFont="1" applyFill="1" applyBorder="1" applyAlignment="1"/>
    <xf numFmtId="0" fontId="4" fillId="0" borderId="0" xfId="0" applyNumberFormat="1" applyFont="1" applyFill="1" applyAlignment="1">
      <alignment horizontal="right" vertical="center"/>
    </xf>
    <xf numFmtId="0" fontId="4" fillId="0" borderId="1" xfId="1" applyFont="1" applyBorder="1"/>
    <xf numFmtId="164" fontId="4" fillId="0" borderId="0" xfId="1" applyNumberFormat="1" applyFont="1"/>
    <xf numFmtId="1" fontId="5" fillId="13" borderId="1" xfId="0" applyNumberFormat="1" applyFont="1" applyFill="1" applyBorder="1" applyAlignment="1">
      <alignment horizontal="left"/>
    </xf>
    <xf numFmtId="164" fontId="5" fillId="0" borderId="1" xfId="0" applyNumberFormat="1" applyFont="1" applyFill="1" applyBorder="1"/>
    <xf numFmtId="2" fontId="5" fillId="0" borderId="1" xfId="0" applyNumberFormat="1" applyFont="1" applyBorder="1" applyAlignment="1"/>
    <xf numFmtId="0" fontId="5" fillId="0" borderId="1" xfId="1" applyFont="1" applyBorder="1"/>
    <xf numFmtId="164" fontId="5" fillId="0" borderId="1" xfId="0" applyNumberFormat="1" applyFont="1" applyFill="1" applyBorder="1" applyAlignment="1">
      <alignment horizontal="right" wrapText="1"/>
    </xf>
    <xf numFmtId="2" fontId="5" fillId="0" borderId="1" xfId="0" applyNumberFormat="1" applyFont="1" applyFill="1" applyBorder="1" applyAlignment="1">
      <alignment horizontal="right" wrapText="1"/>
    </xf>
    <xf numFmtId="2" fontId="5" fillId="0" borderId="1" xfId="0" applyNumberFormat="1" applyFont="1" applyFill="1" applyBorder="1" applyAlignment="1">
      <alignment horizontal="right"/>
    </xf>
    <xf numFmtId="0" fontId="17" fillId="0" borderId="1" xfId="4" applyFont="1" applyFill="1" applyBorder="1"/>
    <xf numFmtId="1" fontId="5" fillId="5" borderId="1" xfId="0" applyNumberFormat="1" applyFont="1" applyFill="1" applyBorder="1" applyAlignment="1">
      <alignment horizontal="left"/>
    </xf>
    <xf numFmtId="2" fontId="5" fillId="0" borderId="1" xfId="0" applyNumberFormat="1" applyFont="1" applyFill="1" applyBorder="1" applyAlignment="1"/>
    <xf numFmtId="1" fontId="5" fillId="12" borderId="1" xfId="0" applyNumberFormat="1" applyFont="1" applyFill="1" applyBorder="1" applyAlignment="1">
      <alignment horizontal="left" wrapText="1"/>
    </xf>
    <xf numFmtId="164" fontId="5" fillId="0" borderId="1" xfId="0" applyNumberFormat="1" applyFont="1" applyFill="1" applyBorder="1" applyAlignment="1"/>
    <xf numFmtId="2" fontId="5" fillId="0" borderId="1" xfId="0" applyNumberFormat="1" applyFont="1" applyFill="1" applyBorder="1" applyAlignment="1">
      <alignment vertical="top" wrapText="1"/>
    </xf>
    <xf numFmtId="164" fontId="5" fillId="0" borderId="1" xfId="0" applyNumberFormat="1" applyFont="1" applyFill="1" applyBorder="1" applyAlignment="1">
      <alignment wrapText="1"/>
    </xf>
    <xf numFmtId="164" fontId="5" fillId="0" borderId="1" xfId="0" applyNumberFormat="1" applyFont="1" applyFill="1" applyBorder="1" applyAlignment="1">
      <alignment vertical="top" wrapText="1"/>
    </xf>
    <xf numFmtId="164" fontId="5" fillId="0" borderId="1" xfId="0" applyNumberFormat="1" applyFont="1" applyFill="1" applyBorder="1" applyAlignment="1">
      <alignment horizontal="right"/>
    </xf>
    <xf numFmtId="164" fontId="18" fillId="0" borderId="1" xfId="0" applyNumberFormat="1" applyFont="1" applyFill="1" applyBorder="1" applyAlignment="1"/>
    <xf numFmtId="1" fontId="5" fillId="0" borderId="1" xfId="0" applyNumberFormat="1" applyFont="1" applyFill="1" applyBorder="1" applyAlignment="1">
      <alignment horizontal="left" wrapText="1"/>
    </xf>
    <xf numFmtId="1" fontId="5" fillId="0" borderId="1" xfId="0" applyNumberFormat="1" applyFont="1" applyBorder="1" applyAlignment="1">
      <alignment horizontal="left"/>
    </xf>
    <xf numFmtId="2" fontId="5" fillId="0" borderId="1" xfId="0" applyNumberFormat="1" applyFont="1" applyFill="1" applyBorder="1" applyAlignment="1">
      <alignment horizontal="right" vertical="top" wrapText="1"/>
    </xf>
    <xf numFmtId="1" fontId="5" fillId="0" borderId="1" xfId="4" applyNumberFormat="1" applyFont="1" applyFill="1" applyBorder="1" applyAlignment="1">
      <alignment horizontal="left"/>
    </xf>
    <xf numFmtId="164" fontId="4" fillId="0" borderId="2" xfId="0" applyNumberFormat="1" applyFont="1" applyBorder="1"/>
    <xf numFmtId="164" fontId="4" fillId="3" borderId="2" xfId="0" applyNumberFormat="1" applyFont="1" applyFill="1" applyBorder="1" applyAlignment="1">
      <alignment horizontal="right"/>
    </xf>
    <xf numFmtId="164" fontId="4" fillId="5" borderId="2" xfId="0" applyNumberFormat="1" applyFont="1" applyFill="1" applyBorder="1" applyAlignment="1">
      <alignment horizontal="right" wrapText="1"/>
    </xf>
    <xf numFmtId="0" fontId="15" fillId="0" borderId="2" xfId="4" applyFont="1" applyFill="1" applyBorder="1"/>
    <xf numFmtId="164" fontId="4" fillId="0" borderId="2" xfId="0" applyNumberFormat="1" applyFont="1" applyBorder="1" applyAlignment="1"/>
    <xf numFmtId="1" fontId="4" fillId="12" borderId="0" xfId="0" applyNumberFormat="1" applyFont="1" applyFill="1" applyBorder="1" applyAlignment="1">
      <alignment wrapText="1"/>
    </xf>
    <xf numFmtId="164" fontId="4" fillId="0" borderId="2" xfId="0" applyNumberFormat="1" applyFont="1" applyFill="1" applyBorder="1" applyAlignment="1"/>
    <xf numFmtId="164" fontId="3" fillId="3" borderId="2" xfId="0" applyNumberFormat="1" applyFont="1" applyFill="1" applyBorder="1" applyAlignment="1">
      <alignment horizontal="right"/>
    </xf>
    <xf numFmtId="1" fontId="14" fillId="13" borderId="1" xfId="0" applyNumberFormat="1" applyFont="1" applyFill="1" applyBorder="1" applyAlignment="1">
      <alignment horizontal="left"/>
    </xf>
    <xf numFmtId="164" fontId="3" fillId="13" borderId="0" xfId="0" applyNumberFormat="1" applyFont="1" applyFill="1" applyBorder="1" applyAlignment="1">
      <alignment horizontal="right"/>
    </xf>
    <xf numFmtId="1" fontId="3" fillId="3" borderId="0" xfId="0" applyNumberFormat="1" applyFont="1" applyFill="1" applyBorder="1" applyAlignment="1">
      <alignment horizontal="right"/>
    </xf>
    <xf numFmtId="1" fontId="5" fillId="14" borderId="1" xfId="0" applyNumberFormat="1" applyFont="1" applyFill="1" applyBorder="1" applyAlignment="1">
      <alignment horizontal="left"/>
    </xf>
    <xf numFmtId="1" fontId="4" fillId="14" borderId="0" xfId="0" applyNumberFormat="1" applyFont="1" applyFill="1" applyBorder="1" applyAlignment="1">
      <alignment horizontal="right"/>
    </xf>
    <xf numFmtId="0" fontId="5" fillId="0" borderId="1" xfId="0" applyFont="1" applyFill="1" applyBorder="1" applyAlignment="1"/>
    <xf numFmtId="1" fontId="5" fillId="5" borderId="1" xfId="0" applyNumberFormat="1" applyFont="1" applyFill="1" applyBorder="1" applyAlignment="1"/>
    <xf numFmtId="1" fontId="5" fillId="12" borderId="1" xfId="0" applyNumberFormat="1" applyFont="1" applyFill="1" applyBorder="1" applyAlignment="1">
      <alignment wrapText="1"/>
    </xf>
    <xf numFmtId="1" fontId="5" fillId="0" borderId="1" xfId="0" applyNumberFormat="1" applyFont="1" applyFill="1" applyBorder="1" applyAlignment="1"/>
    <xf numFmtId="1" fontId="5" fillId="0" borderId="1" xfId="0" applyNumberFormat="1" applyFont="1" applyFill="1" applyBorder="1" applyAlignment="1">
      <alignment wrapText="1"/>
    </xf>
    <xf numFmtId="164" fontId="4" fillId="0" borderId="0" xfId="0" applyNumberFormat="1" applyFont="1" applyFill="1" applyBorder="1" applyAlignment="1">
      <alignment horizontal="left" vertical="center" wrapText="1"/>
    </xf>
    <xf numFmtId="164" fontId="4" fillId="0" borderId="0" xfId="0" applyNumberFormat="1" applyFont="1" applyFill="1" applyBorder="1" applyAlignment="1">
      <alignment horizontal="left" vertical="center"/>
    </xf>
    <xf numFmtId="0" fontId="4" fillId="0" borderId="5" xfId="0" applyFont="1" applyFill="1" applyBorder="1" applyAlignment="1">
      <alignment vertical="center"/>
    </xf>
    <xf numFmtId="164" fontId="3" fillId="4" borderId="2" xfId="0" applyNumberFormat="1" applyFont="1" applyFill="1" applyBorder="1" applyAlignment="1">
      <alignment horizontal="right"/>
    </xf>
    <xf numFmtId="1" fontId="14" fillId="12" borderId="1" xfId="0" applyNumberFormat="1" applyFont="1" applyFill="1" applyBorder="1" applyAlignment="1">
      <alignment horizontal="left" wrapText="1"/>
    </xf>
    <xf numFmtId="164" fontId="3" fillId="12" borderId="0" xfId="0" applyNumberFormat="1" applyFont="1" applyFill="1" applyBorder="1" applyAlignment="1">
      <alignment horizontal="right" wrapText="1"/>
    </xf>
    <xf numFmtId="1" fontId="14" fillId="7" borderId="1" xfId="0" applyNumberFormat="1" applyFont="1" applyFill="1" applyBorder="1" applyAlignment="1">
      <alignment horizontal="left"/>
    </xf>
    <xf numFmtId="1" fontId="14" fillId="4" borderId="1" xfId="0" applyNumberFormat="1" applyFont="1" applyFill="1" applyBorder="1" applyAlignment="1">
      <alignment horizontal="left"/>
    </xf>
    <xf numFmtId="1" fontId="4" fillId="5" borderId="0" xfId="0" applyNumberFormat="1" applyFont="1" applyFill="1" applyBorder="1" applyAlignment="1">
      <alignment horizontal="right" shrinkToFit="1"/>
    </xf>
    <xf numFmtId="164" fontId="3" fillId="0" borderId="0" xfId="0" applyNumberFormat="1" applyFont="1" applyFill="1" applyBorder="1" applyAlignment="1">
      <alignment horizontal="right" wrapText="1"/>
    </xf>
    <xf numFmtId="164" fontId="4" fillId="0" borderId="0" xfId="0" applyNumberFormat="1" applyFont="1" applyFill="1" applyBorder="1" applyAlignment="1">
      <alignment horizontal="right" shrinkToFit="1"/>
    </xf>
    <xf numFmtId="1" fontId="4" fillId="3" borderId="0" xfId="0" applyNumberFormat="1" applyFont="1" applyFill="1" applyBorder="1" applyAlignment="1">
      <alignment horizontal="right" shrinkToFit="1"/>
    </xf>
    <xf numFmtId="164" fontId="4" fillId="0" borderId="8" xfId="0" applyNumberFormat="1" applyFont="1" applyFill="1" applyBorder="1" applyAlignment="1">
      <alignment horizontal="left" vertical="center" wrapText="1"/>
    </xf>
    <xf numFmtId="2" fontId="5" fillId="0" borderId="1" xfId="0" applyNumberFormat="1" applyFont="1" applyFill="1" applyBorder="1" applyAlignment="1">
      <alignment horizontal="left" vertical="top" wrapText="1"/>
    </xf>
    <xf numFmtId="164" fontId="19" fillId="0" borderId="1" xfId="0" applyNumberFormat="1" applyFont="1" applyFill="1" applyBorder="1" applyAlignment="1"/>
    <xf numFmtId="2" fontId="5" fillId="0" borderId="1" xfId="0" applyNumberFormat="1" applyFont="1" applyBorder="1"/>
    <xf numFmtId="2" fontId="4" fillId="0" borderId="1" xfId="0" applyNumberFormat="1" applyFont="1" applyBorder="1"/>
    <xf numFmtId="2" fontId="4" fillId="0" borderId="1" xfId="0" applyNumberFormat="1" applyFont="1" applyFill="1" applyBorder="1"/>
    <xf numFmtId="2" fontId="4" fillId="0" borderId="0" xfId="0" applyNumberFormat="1" applyFont="1" applyFill="1"/>
    <xf numFmtId="2" fontId="5" fillId="0" borderId="1" xfId="0" applyNumberFormat="1" applyFont="1" applyFill="1" applyBorder="1"/>
    <xf numFmtId="2" fontId="4" fillId="0" borderId="0" xfId="0" applyNumberFormat="1" applyFont="1" applyFill="1" applyBorder="1" applyAlignment="1"/>
    <xf numFmtId="2" fontId="4" fillId="0" borderId="0" xfId="0" applyNumberFormat="1" applyFont="1" applyBorder="1" applyAlignment="1"/>
    <xf numFmtId="0" fontId="4" fillId="0" borderId="0" xfId="0" applyFont="1" applyBorder="1" applyAlignment="1"/>
    <xf numFmtId="0" fontId="4" fillId="0" borderId="0" xfId="0" applyFont="1" applyBorder="1" applyAlignment="1">
      <alignment horizontal="left"/>
    </xf>
    <xf numFmtId="0" fontId="20" fillId="0" borderId="1" xfId="4" applyFont="1" applyFill="1" applyBorder="1"/>
    <xf numFmtId="0" fontId="7" fillId="0" borderId="1" xfId="0" applyFont="1" applyBorder="1"/>
    <xf numFmtId="0" fontId="4" fillId="0" borderId="0" xfId="0" applyFont="1" applyFill="1" applyBorder="1" applyAlignment="1"/>
    <xf numFmtId="0" fontId="15" fillId="0" borderId="0" xfId="1" applyFont="1" applyFill="1"/>
    <xf numFmtId="0" fontId="15" fillId="0" borderId="0" xfId="5" applyFont="1" applyFill="1"/>
    <xf numFmtId="0" fontId="4" fillId="0" borderId="0" xfId="1" applyFont="1" applyFill="1"/>
    <xf numFmtId="164" fontId="4" fillId="4" borderId="2" xfId="0" applyNumberFormat="1" applyFont="1" applyFill="1" applyBorder="1" applyAlignment="1"/>
    <xf numFmtId="164" fontId="4" fillId="7" borderId="2" xfId="0" applyNumberFormat="1" applyFont="1" applyFill="1" applyBorder="1" applyAlignment="1"/>
    <xf numFmtId="164" fontId="4" fillId="3" borderId="2" xfId="0" applyNumberFormat="1" applyFont="1" applyFill="1" applyBorder="1" applyAlignment="1"/>
    <xf numFmtId="164" fontId="3" fillId="3" borderId="2" xfId="0" applyNumberFormat="1" applyFont="1" applyFill="1" applyBorder="1" applyAlignment="1"/>
    <xf numFmtId="0" fontId="4" fillId="0" borderId="2" xfId="0" applyFont="1" applyBorder="1" applyAlignment="1"/>
    <xf numFmtId="164" fontId="3" fillId="4" borderId="2" xfId="0" applyNumberFormat="1" applyFont="1" applyFill="1" applyBorder="1" applyAlignment="1"/>
    <xf numFmtId="1" fontId="3" fillId="7" borderId="0" xfId="0" applyNumberFormat="1" applyFont="1" applyFill="1" applyBorder="1" applyAlignment="1">
      <alignment horizontal="right" shrinkToFit="1"/>
    </xf>
    <xf numFmtId="164" fontId="14" fillId="4" borderId="0" xfId="0" applyNumberFormat="1" applyFont="1" applyFill="1" applyBorder="1" applyAlignment="1">
      <alignment horizontal="right"/>
    </xf>
    <xf numFmtId="0" fontId="5" fillId="5" borderId="1" xfId="0" applyFont="1" applyFill="1" applyBorder="1"/>
    <xf numFmtId="164" fontId="4" fillId="15" borderId="0" xfId="0" applyNumberFormat="1" applyFont="1" applyFill="1" applyBorder="1" applyAlignment="1">
      <alignment horizontal="right"/>
    </xf>
    <xf numFmtId="0" fontId="4" fillId="0" borderId="0" xfId="0" applyFont="1" applyAlignment="1">
      <alignment horizontal="right" shrinkToFit="1"/>
    </xf>
    <xf numFmtId="1" fontId="4" fillId="0" borderId="0" xfId="0" applyNumberFormat="1" applyFont="1" applyFill="1" applyBorder="1" applyAlignment="1">
      <alignment horizontal="right" shrinkToFit="1"/>
    </xf>
    <xf numFmtId="1" fontId="4" fillId="0" borderId="0" xfId="0" applyNumberFormat="1" applyFont="1" applyBorder="1" applyAlignment="1">
      <alignment horizontal="right" shrinkToFit="1"/>
    </xf>
    <xf numFmtId="2" fontId="4" fillId="0" borderId="0" xfId="0" applyNumberFormat="1" applyFont="1" applyAlignment="1">
      <alignment horizontal="right" shrinkToFit="1"/>
    </xf>
    <xf numFmtId="0" fontId="4" fillId="0" borderId="0" xfId="0" applyFont="1" applyFill="1" applyAlignment="1">
      <alignment horizontal="right" shrinkToFit="1"/>
    </xf>
    <xf numFmtId="0" fontId="4" fillId="0" borderId="0" xfId="0" applyFont="1" applyBorder="1" applyAlignment="1">
      <alignment horizontal="right" shrinkToFit="1"/>
    </xf>
    <xf numFmtId="1" fontId="4" fillId="7" borderId="0" xfId="0" applyNumberFormat="1" applyFont="1" applyFill="1" applyBorder="1" applyAlignment="1">
      <alignment horizontal="right" shrinkToFit="1"/>
    </xf>
    <xf numFmtId="1" fontId="4" fillId="13" borderId="0" xfId="0" applyNumberFormat="1" applyFont="1" applyFill="1" applyBorder="1" applyAlignment="1">
      <alignment horizontal="right" shrinkToFit="1"/>
    </xf>
    <xf numFmtId="0" fontId="16" fillId="0" borderId="0" xfId="0" applyFont="1" applyFill="1" applyBorder="1" applyAlignment="1">
      <alignment horizontal="right" shrinkToFit="1"/>
    </xf>
    <xf numFmtId="164" fontId="3" fillId="5" borderId="0" xfId="0" applyNumberFormat="1" applyFont="1" applyFill="1" applyBorder="1" applyAlignment="1">
      <alignment horizontal="right" shrinkToFit="1"/>
    </xf>
    <xf numFmtId="1" fontId="4" fillId="12" borderId="0" xfId="0" applyNumberFormat="1" applyFont="1" applyFill="1" applyBorder="1" applyAlignment="1">
      <alignment horizontal="right" shrinkToFit="1"/>
    </xf>
    <xf numFmtId="164" fontId="5" fillId="0" borderId="0" xfId="1" applyNumberFormat="1" applyFont="1" applyFill="1" applyBorder="1" applyAlignment="1">
      <alignment horizontal="left"/>
    </xf>
    <xf numFmtId="164" fontId="5" fillId="0" borderId="0" xfId="0" applyNumberFormat="1" applyFont="1" applyFill="1" applyBorder="1" applyAlignment="1">
      <alignment horizontal="left"/>
    </xf>
    <xf numFmtId="164" fontId="5" fillId="5" borderId="0" xfId="0" applyNumberFormat="1" applyFont="1" applyFill="1" applyBorder="1" applyAlignment="1">
      <alignment horizontal="left"/>
    </xf>
    <xf numFmtId="164" fontId="5" fillId="5" borderId="0" xfId="0" applyNumberFormat="1" applyFont="1" applyFill="1" applyBorder="1" applyAlignment="1"/>
    <xf numFmtId="164" fontId="5" fillId="0" borderId="0" xfId="1" applyNumberFormat="1" applyFont="1" applyFill="1" applyBorder="1" applyAlignment="1"/>
    <xf numFmtId="164" fontId="5" fillId="4" borderId="0" xfId="0" applyNumberFormat="1" applyFont="1" applyFill="1" applyBorder="1" applyAlignment="1"/>
    <xf numFmtId="164" fontId="14" fillId="5" borderId="0" xfId="0" applyNumberFormat="1" applyFont="1" applyFill="1" applyBorder="1" applyAlignment="1"/>
    <xf numFmtId="164" fontId="5" fillId="7" borderId="0" xfId="0" applyNumberFormat="1" applyFont="1" applyFill="1" applyBorder="1" applyAlignment="1">
      <alignment horizontal="left"/>
    </xf>
    <xf numFmtId="164" fontId="5" fillId="0" borderId="0" xfId="1" applyNumberFormat="1" applyFont="1" applyFill="1" applyBorder="1" applyAlignment="1">
      <alignment horizontal="left" vertical="top" wrapText="1"/>
    </xf>
    <xf numFmtId="164" fontId="5" fillId="0" borderId="0" xfId="1" applyNumberFormat="1" applyFont="1" applyFill="1" applyBorder="1" applyAlignment="1">
      <alignment horizontal="left" wrapText="1"/>
    </xf>
    <xf numFmtId="164" fontId="4" fillId="0" borderId="0" xfId="1" applyNumberFormat="1" applyFont="1" applyFill="1" applyBorder="1" applyAlignment="1">
      <alignment horizontal="right" shrinkToFit="1"/>
    </xf>
    <xf numFmtId="164" fontId="4" fillId="0" borderId="0" xfId="1" applyNumberFormat="1" applyFont="1" applyFill="1" applyBorder="1" applyAlignment="1">
      <alignment horizontal="right" wrapText="1" shrinkToFit="1"/>
    </xf>
    <xf numFmtId="0" fontId="3" fillId="0" borderId="0" xfId="1" applyFont="1" applyFill="1" applyBorder="1"/>
    <xf numFmtId="0" fontId="4" fillId="0" borderId="0" xfId="1" applyFont="1"/>
    <xf numFmtId="0" fontId="4" fillId="0" borderId="1" xfId="1" applyFont="1" applyFill="1" applyBorder="1" applyAlignment="1">
      <alignment horizontal="left"/>
    </xf>
    <xf numFmtId="0" fontId="5" fillId="0" borderId="0" xfId="1" applyFont="1" applyFill="1" applyBorder="1" applyAlignment="1">
      <alignment horizontal="left"/>
    </xf>
    <xf numFmtId="0" fontId="4" fillId="0" borderId="0" xfId="1" applyFont="1" applyFill="1" applyBorder="1"/>
    <xf numFmtId="0" fontId="4" fillId="0" borderId="0" xfId="1" applyFont="1" applyFill="1" applyBorder="1" applyAlignment="1">
      <alignment horizontal="right" shrinkToFit="1"/>
    </xf>
    <xf numFmtId="0" fontId="4" fillId="0" borderId="1" xfId="1" applyFont="1" applyFill="1" applyBorder="1" applyAlignment="1"/>
    <xf numFmtId="0" fontId="5" fillId="0" borderId="0" xfId="1" applyFont="1" applyFill="1" applyBorder="1" applyAlignment="1"/>
    <xf numFmtId="0" fontId="4" fillId="0" borderId="0" xfId="1" applyFont="1" applyFill="1" applyBorder="1" applyAlignment="1">
      <alignment horizontal="right"/>
    </xf>
    <xf numFmtId="0" fontId="5" fillId="0" borderId="0" xfId="1" applyFont="1" applyFill="1"/>
    <xf numFmtId="0" fontId="3" fillId="0" borderId="0" xfId="0" applyFont="1"/>
    <xf numFmtId="0" fontId="3" fillId="0" borderId="0" xfId="0" applyNumberFormat="1" applyFont="1"/>
    <xf numFmtId="0" fontId="3" fillId="0" borderId="0" xfId="0" applyFont="1" applyFill="1"/>
    <xf numFmtId="0" fontId="3" fillId="0" borderId="0" xfId="0" applyNumberFormat="1" applyFont="1" applyFill="1"/>
    <xf numFmtId="0" fontId="3" fillId="0" borderId="1" xfId="0" applyFont="1" applyFill="1" applyBorder="1" applyAlignment="1">
      <alignment horizontal="left"/>
    </xf>
    <xf numFmtId="0" fontId="14" fillId="0" borderId="0" xfId="0" applyFont="1" applyFill="1" applyBorder="1" applyAlignment="1">
      <alignment horizontal="left"/>
    </xf>
    <xf numFmtId="0" fontId="3" fillId="0" borderId="0" xfId="0" applyFont="1" applyFill="1" applyBorder="1" applyAlignment="1">
      <alignment horizontal="right" shrinkToFit="1"/>
    </xf>
    <xf numFmtId="0" fontId="4" fillId="0" borderId="1" xfId="1" applyFont="1" applyFill="1" applyBorder="1"/>
    <xf numFmtId="0" fontId="21" fillId="0" borderId="1" xfId="1" applyFont="1" applyFill="1" applyBorder="1"/>
    <xf numFmtId="0" fontId="4" fillId="0" borderId="1" xfId="1" applyFont="1" applyBorder="1" applyAlignment="1">
      <alignment horizontal="left"/>
    </xf>
    <xf numFmtId="0" fontId="5" fillId="0" borderId="0" xfId="1" applyFont="1" applyBorder="1" applyAlignment="1">
      <alignment horizontal="left"/>
    </xf>
    <xf numFmtId="164" fontId="4" fillId="0" borderId="0" xfId="1" applyNumberFormat="1" applyFont="1" applyBorder="1" applyAlignment="1">
      <alignment horizontal="right"/>
    </xf>
    <xf numFmtId="0" fontId="4" fillId="0" borderId="1" xfId="1" applyFont="1" applyBorder="1" applyAlignment="1"/>
    <xf numFmtId="0" fontId="5" fillId="0" borderId="0" xfId="1" applyFont="1" applyBorder="1" applyAlignment="1"/>
    <xf numFmtId="0" fontId="4" fillId="0" borderId="0" xfId="1" applyFont="1" applyBorder="1" applyAlignment="1">
      <alignment horizontal="right"/>
    </xf>
    <xf numFmtId="0" fontId="4" fillId="0" borderId="0" xfId="1" applyFont="1" applyBorder="1" applyAlignment="1">
      <alignment horizontal="right" shrinkToFit="1"/>
    </xf>
    <xf numFmtId="0" fontId="4" fillId="0" borderId="1" xfId="8" applyFont="1" applyFill="1" applyBorder="1" applyAlignment="1">
      <alignment horizontal="left"/>
    </xf>
    <xf numFmtId="0" fontId="5" fillId="0" borderId="0" xfId="8" applyFont="1" applyFill="1" applyBorder="1" applyAlignment="1">
      <alignment horizontal="left"/>
    </xf>
    <xf numFmtId="0" fontId="4" fillId="0" borderId="0" xfId="8" applyFont="1" applyFill="1" applyAlignment="1">
      <alignment horizontal="right"/>
    </xf>
    <xf numFmtId="0" fontId="4" fillId="0" borderId="0" xfId="8" applyFont="1" applyFill="1" applyBorder="1" applyAlignment="1">
      <alignment horizontal="right"/>
    </xf>
    <xf numFmtId="16" fontId="4" fillId="0" borderId="1" xfId="1" applyNumberFormat="1" applyFont="1" applyBorder="1" applyAlignment="1"/>
    <xf numFmtId="16" fontId="5" fillId="0" borderId="0" xfId="1" applyNumberFormat="1" applyFont="1" applyBorder="1" applyAlignment="1"/>
    <xf numFmtId="0" fontId="4" fillId="0" borderId="0" xfId="1" applyFont="1" applyAlignment="1">
      <alignment horizontal="right"/>
    </xf>
    <xf numFmtId="164" fontId="14" fillId="0" borderId="0" xfId="0" applyNumberFormat="1" applyFont="1" applyFill="1" applyBorder="1" applyAlignment="1"/>
    <xf numFmtId="164" fontId="3" fillId="7" borderId="0" xfId="0" applyNumberFormat="1" applyFont="1" applyFill="1" applyBorder="1" applyAlignment="1">
      <alignment horizontal="right" shrinkToFit="1"/>
    </xf>
    <xf numFmtId="164" fontId="14" fillId="5" borderId="1" xfId="0" applyNumberFormat="1" applyFont="1" applyFill="1" applyBorder="1" applyAlignment="1"/>
    <xf numFmtId="2" fontId="3" fillId="2" borderId="3" xfId="0" applyNumberFormat="1" applyFont="1" applyFill="1" applyBorder="1" applyAlignment="1">
      <alignment horizontal="center" vertical="center" wrapText="1"/>
    </xf>
    <xf numFmtId="164" fontId="3" fillId="0" borderId="3" xfId="0" applyNumberFormat="1" applyFont="1" applyFill="1" applyBorder="1" applyAlignment="1">
      <alignment horizontal="center" vertical="center" wrapText="1"/>
    </xf>
    <xf numFmtId="164" fontId="5" fillId="16" borderId="1" xfId="0" applyNumberFormat="1" applyFont="1" applyFill="1" applyBorder="1" applyAlignment="1">
      <alignment horizontal="left"/>
    </xf>
    <xf numFmtId="0" fontId="4" fillId="16" borderId="0" xfId="0" applyNumberFormat="1" applyFont="1" applyFill="1" applyBorder="1" applyAlignment="1">
      <alignment horizontal="right" shrinkToFit="1"/>
    </xf>
    <xf numFmtId="1" fontId="5" fillId="16" borderId="1" xfId="0" applyNumberFormat="1" applyFont="1" applyFill="1" applyBorder="1" applyAlignment="1">
      <alignment horizontal="left"/>
    </xf>
    <xf numFmtId="0" fontId="4" fillId="16" borderId="2" xfId="0" applyNumberFormat="1" applyFont="1" applyFill="1" applyBorder="1" applyAlignment="1">
      <alignment horizontal="right" wrapText="1"/>
    </xf>
    <xf numFmtId="1" fontId="4" fillId="16" borderId="0" xfId="0" applyNumberFormat="1" applyFont="1" applyFill="1" applyBorder="1" applyAlignment="1">
      <alignment horizontal="right"/>
    </xf>
    <xf numFmtId="0" fontId="5" fillId="16" borderId="1" xfId="0" applyFont="1" applyFill="1" applyBorder="1"/>
    <xf numFmtId="1" fontId="4" fillId="16" borderId="0" xfId="0" applyNumberFormat="1" applyFont="1" applyFill="1" applyBorder="1" applyAlignment="1">
      <alignment horizontal="right" shrinkToFit="1"/>
    </xf>
    <xf numFmtId="164" fontId="5" fillId="17" borderId="1" xfId="0" applyNumberFormat="1" applyFont="1" applyFill="1" applyBorder="1" applyAlignment="1">
      <alignment horizontal="left"/>
    </xf>
    <xf numFmtId="0" fontId="4" fillId="17" borderId="0" xfId="0" applyNumberFormat="1" applyFont="1" applyFill="1" applyBorder="1" applyAlignment="1">
      <alignment horizontal="right" shrinkToFit="1"/>
    </xf>
    <xf numFmtId="1" fontId="5" fillId="17" borderId="1" xfId="0" applyNumberFormat="1" applyFont="1" applyFill="1" applyBorder="1" applyAlignment="1">
      <alignment horizontal="left"/>
    </xf>
    <xf numFmtId="0" fontId="4" fillId="17" borderId="2" xfId="0" applyNumberFormat="1" applyFont="1" applyFill="1" applyBorder="1" applyAlignment="1">
      <alignment horizontal="right" wrapText="1"/>
    </xf>
    <xf numFmtId="164" fontId="4" fillId="17" borderId="1" xfId="0" applyNumberFormat="1" applyFont="1" applyFill="1" applyBorder="1" applyAlignment="1">
      <alignment horizontal="left"/>
    </xf>
    <xf numFmtId="164" fontId="5" fillId="17" borderId="0" xfId="0" applyNumberFormat="1" applyFont="1" applyFill="1" applyBorder="1" applyAlignment="1">
      <alignment horizontal="left"/>
    </xf>
    <xf numFmtId="164" fontId="4" fillId="17" borderId="0" xfId="0" applyNumberFormat="1" applyFont="1" applyFill="1" applyBorder="1" applyAlignment="1">
      <alignment horizontal="right" wrapText="1"/>
    </xf>
    <xf numFmtId="1" fontId="4" fillId="17" borderId="0" xfId="0" applyNumberFormat="1" applyFont="1" applyFill="1" applyBorder="1" applyAlignment="1">
      <alignment horizontal="right"/>
    </xf>
    <xf numFmtId="0" fontId="5" fillId="17" borderId="1" xfId="0" applyFont="1" applyFill="1" applyBorder="1"/>
    <xf numFmtId="1" fontId="4" fillId="17" borderId="0" xfId="0" applyNumberFormat="1" applyFont="1" applyFill="1" applyBorder="1" applyAlignment="1">
      <alignment horizontal="right" shrinkToFit="1"/>
    </xf>
    <xf numFmtId="164" fontId="5" fillId="18" borderId="1" xfId="0" applyNumberFormat="1" applyFont="1" applyFill="1" applyBorder="1" applyAlignment="1">
      <alignment horizontal="left"/>
    </xf>
    <xf numFmtId="0" fontId="4" fillId="18" borderId="0" xfId="0" applyNumberFormat="1" applyFont="1" applyFill="1" applyBorder="1" applyAlignment="1">
      <alignment horizontal="right" shrinkToFit="1"/>
    </xf>
    <xf numFmtId="164" fontId="4" fillId="18" borderId="0" xfId="0" applyNumberFormat="1" applyFont="1" applyFill="1" applyBorder="1" applyAlignment="1">
      <alignment wrapText="1"/>
    </xf>
    <xf numFmtId="0" fontId="4" fillId="0" borderId="2" xfId="0" applyFont="1" applyFill="1" applyBorder="1" applyAlignment="1">
      <alignment horizontal="right"/>
    </xf>
    <xf numFmtId="0" fontId="5" fillId="0" borderId="0" xfId="0" applyFont="1" applyBorder="1"/>
    <xf numFmtId="164" fontId="14" fillId="5" borderId="0" xfId="0" applyNumberFormat="1" applyFont="1" applyFill="1" applyBorder="1" applyAlignment="1">
      <alignment horizontal="left"/>
    </xf>
    <xf numFmtId="164" fontId="5" fillId="0" borderId="0" xfId="0" applyNumberFormat="1" applyFont="1" applyFill="1" applyBorder="1" applyAlignment="1">
      <alignment horizontal="left" wrapText="1"/>
    </xf>
    <xf numFmtId="1" fontId="5" fillId="5" borderId="0" xfId="0" applyNumberFormat="1" applyFont="1" applyFill="1" applyBorder="1" applyAlignment="1">
      <alignment horizontal="left"/>
    </xf>
    <xf numFmtId="1" fontId="5" fillId="12" borderId="0" xfId="0" applyNumberFormat="1" applyFont="1" applyFill="1" applyBorder="1" applyAlignment="1">
      <alignment horizontal="left" wrapText="1"/>
    </xf>
    <xf numFmtId="2" fontId="5" fillId="0" borderId="0" xfId="0" applyNumberFormat="1" applyFont="1" applyFill="1" applyBorder="1" applyAlignment="1"/>
    <xf numFmtId="164" fontId="5" fillId="0" borderId="0" xfId="0" applyNumberFormat="1" applyFont="1" applyFill="1" applyBorder="1" applyAlignment="1"/>
    <xf numFmtId="1" fontId="14" fillId="5" borderId="0" xfId="0" applyNumberFormat="1" applyFont="1" applyFill="1" applyBorder="1" applyAlignment="1">
      <alignment horizontal="left"/>
    </xf>
    <xf numFmtId="1" fontId="5" fillId="11" borderId="0" xfId="0" applyNumberFormat="1" applyFont="1" applyFill="1" applyBorder="1" applyAlignment="1">
      <alignment horizontal="left" wrapText="1"/>
    </xf>
    <xf numFmtId="2" fontId="5" fillId="0" borderId="0" xfId="0" applyNumberFormat="1" applyFont="1" applyFill="1" applyBorder="1" applyAlignment="1">
      <alignment vertical="top" wrapText="1"/>
    </xf>
    <xf numFmtId="2" fontId="5" fillId="0" borderId="0" xfId="0" applyNumberFormat="1" applyFont="1" applyBorder="1" applyAlignment="1"/>
    <xf numFmtId="164" fontId="3" fillId="13" borderId="2" xfId="0" applyNumberFormat="1" applyFont="1" applyFill="1" applyBorder="1" applyAlignment="1">
      <alignment horizontal="right"/>
    </xf>
    <xf numFmtId="164" fontId="4" fillId="0" borderId="2" xfId="0" applyNumberFormat="1" applyFont="1" applyFill="1" applyBorder="1" applyAlignment="1">
      <alignment vertical="top" wrapText="1"/>
    </xf>
    <xf numFmtId="0" fontId="5" fillId="0" borderId="0" xfId="0" applyFont="1" applyBorder="1" applyAlignment="1">
      <alignment horizontal="left"/>
    </xf>
    <xf numFmtId="164" fontId="5" fillId="0" borderId="0" xfId="0" applyNumberFormat="1" applyFont="1" applyFill="1" applyBorder="1" applyAlignment="1">
      <alignment wrapText="1"/>
    </xf>
    <xf numFmtId="164" fontId="18" fillId="0" borderId="0" xfId="0" applyNumberFormat="1" applyFont="1" applyFill="1" applyBorder="1" applyAlignment="1"/>
    <xf numFmtId="1" fontId="14" fillId="12" borderId="0" xfId="0" applyNumberFormat="1" applyFont="1" applyFill="1" applyBorder="1" applyAlignment="1">
      <alignment horizontal="left" wrapText="1"/>
    </xf>
    <xf numFmtId="164" fontId="5" fillId="0" borderId="0" xfId="0" applyNumberFormat="1" applyFont="1" applyFill="1" applyBorder="1" applyAlignment="1">
      <alignment horizontal="right"/>
    </xf>
    <xf numFmtId="164" fontId="5" fillId="0" borderId="0" xfId="0" applyNumberFormat="1" applyFont="1" applyFill="1" applyBorder="1" applyAlignment="1">
      <alignment vertical="top" wrapText="1"/>
    </xf>
    <xf numFmtId="164" fontId="3" fillId="5" borderId="2" xfId="0" applyNumberFormat="1" applyFont="1" applyFill="1" applyBorder="1" applyAlignment="1">
      <alignment horizontal="right" wrapText="1"/>
    </xf>
    <xf numFmtId="0" fontId="4" fillId="0" borderId="2" xfId="0" applyFont="1" applyBorder="1"/>
    <xf numFmtId="164" fontId="4" fillId="12" borderId="2" xfId="0" applyNumberFormat="1" applyFont="1" applyFill="1" applyBorder="1" applyAlignment="1">
      <alignment horizontal="right" wrapText="1"/>
    </xf>
    <xf numFmtId="164" fontId="4" fillId="11" borderId="2" xfId="0" applyNumberFormat="1" applyFont="1" applyFill="1" applyBorder="1" applyAlignment="1">
      <alignment horizontal="right" wrapText="1"/>
    </xf>
    <xf numFmtId="164" fontId="4" fillId="0" borderId="2" xfId="0" applyNumberFormat="1" applyFont="1" applyBorder="1" applyAlignment="1">
      <alignment horizontal="right" vertical="center"/>
    </xf>
    <xf numFmtId="164" fontId="4" fillId="0" borderId="2" xfId="0" applyNumberFormat="1" applyFont="1" applyFill="1" applyBorder="1" applyAlignment="1">
      <alignment horizontal="right" vertical="top" wrapText="1"/>
    </xf>
    <xf numFmtId="1" fontId="14" fillId="13" borderId="0" xfId="0" applyNumberFormat="1" applyFont="1" applyFill="1" applyBorder="1" applyAlignment="1">
      <alignment horizontal="right" shrinkToFit="1"/>
    </xf>
    <xf numFmtId="1" fontId="14" fillId="13" borderId="0" xfId="0" applyNumberFormat="1" applyFont="1" applyFill="1" applyBorder="1" applyAlignment="1">
      <alignment horizontal="left"/>
    </xf>
    <xf numFmtId="0" fontId="5" fillId="0" borderId="0" xfId="0" applyFont="1" applyFill="1" applyBorder="1"/>
    <xf numFmtId="2" fontId="5" fillId="0" borderId="0" xfId="0" applyNumberFormat="1" applyFont="1" applyFill="1" applyBorder="1" applyAlignment="1">
      <alignment horizontal="left" vertical="top" wrapText="1"/>
    </xf>
    <xf numFmtId="1" fontId="5" fillId="13" borderId="0" xfId="0" applyNumberFormat="1" applyFont="1" applyFill="1" applyBorder="1" applyAlignment="1">
      <alignment horizontal="left"/>
    </xf>
    <xf numFmtId="164" fontId="5" fillId="15" borderId="0" xfId="0" applyNumberFormat="1" applyFont="1" applyFill="1" applyBorder="1" applyAlignment="1">
      <alignment horizontal="left"/>
    </xf>
    <xf numFmtId="1" fontId="5" fillId="0" borderId="0" xfId="0" applyNumberFormat="1" applyFont="1" applyFill="1" applyBorder="1" applyAlignment="1">
      <alignment horizontal="left"/>
    </xf>
    <xf numFmtId="1" fontId="14" fillId="4" borderId="0" xfId="0" applyNumberFormat="1" applyFont="1" applyFill="1" applyBorder="1" applyAlignment="1">
      <alignment horizontal="left"/>
    </xf>
    <xf numFmtId="1" fontId="19" fillId="0" borderId="0" xfId="0" applyNumberFormat="1" applyFont="1" applyFill="1" applyBorder="1" applyAlignment="1">
      <alignment horizontal="left"/>
    </xf>
    <xf numFmtId="2" fontId="4" fillId="0" borderId="2" xfId="0" applyNumberFormat="1" applyFont="1" applyFill="1" applyBorder="1"/>
    <xf numFmtId="2" fontId="4" fillId="0" borderId="2" xfId="0" applyNumberFormat="1" applyFont="1" applyFill="1" applyBorder="1" applyAlignment="1">
      <alignment horizontal="right"/>
    </xf>
    <xf numFmtId="0" fontId="16" fillId="0" borderId="2" xfId="0" applyFont="1" applyFill="1" applyBorder="1" applyAlignment="1">
      <alignment horizontal="right"/>
    </xf>
    <xf numFmtId="164" fontId="3" fillId="7" borderId="2" xfId="0" applyNumberFormat="1" applyFont="1" applyFill="1" applyBorder="1" applyAlignment="1"/>
    <xf numFmtId="2" fontId="4" fillId="0" borderId="2" xfId="0" applyNumberFormat="1" applyFont="1" applyBorder="1" applyAlignment="1">
      <alignment horizontal="right"/>
    </xf>
    <xf numFmtId="1" fontId="5" fillId="0" borderId="0" xfId="0" applyNumberFormat="1" applyFont="1" applyFill="1" applyBorder="1" applyAlignment="1">
      <alignment horizontal="left" wrapText="1"/>
    </xf>
    <xf numFmtId="2" fontId="5" fillId="0" borderId="0" xfId="0" applyNumberFormat="1" applyFont="1" applyFill="1" applyBorder="1" applyAlignment="1">
      <alignment horizontal="left"/>
    </xf>
    <xf numFmtId="2" fontId="5" fillId="0" borderId="0" xfId="0" applyNumberFormat="1" applyFont="1" applyBorder="1" applyAlignment="1">
      <alignment horizontal="left"/>
    </xf>
    <xf numFmtId="164" fontId="5" fillId="0" borderId="0" xfId="0" applyNumberFormat="1" applyFont="1" applyFill="1" applyBorder="1" applyAlignment="1">
      <alignment horizontal="right" wrapText="1"/>
    </xf>
    <xf numFmtId="2" fontId="5" fillId="0" borderId="0" xfId="0" applyNumberFormat="1" applyFont="1" applyFill="1" applyBorder="1" applyAlignment="1">
      <alignment horizontal="right"/>
    </xf>
    <xf numFmtId="2" fontId="5" fillId="0" borderId="0" xfId="0" applyNumberFormat="1" applyFont="1" applyBorder="1"/>
    <xf numFmtId="164" fontId="4" fillId="5" borderId="2" xfId="0" applyNumberFormat="1" applyFont="1" applyFill="1" applyBorder="1" applyAlignment="1">
      <alignment wrapText="1"/>
    </xf>
    <xf numFmtId="2" fontId="4" fillId="0" borderId="2" xfId="0" applyNumberFormat="1" applyFont="1" applyFill="1" applyBorder="1" applyAlignment="1">
      <alignment wrapText="1"/>
    </xf>
    <xf numFmtId="2" fontId="4" fillId="0" borderId="2" xfId="0" applyNumberFormat="1" applyFont="1" applyFill="1" applyBorder="1" applyAlignment="1"/>
    <xf numFmtId="2" fontId="4" fillId="0" borderId="2" xfId="0" applyNumberFormat="1" applyFont="1" applyFill="1" applyBorder="1" applyAlignment="1">
      <alignment vertical="top" wrapText="1"/>
    </xf>
    <xf numFmtId="2" fontId="4" fillId="0" borderId="2" xfId="0" applyNumberFormat="1" applyFont="1" applyBorder="1" applyAlignment="1"/>
    <xf numFmtId="164" fontId="3" fillId="5" borderId="2" xfId="0" applyNumberFormat="1" applyFont="1" applyFill="1" applyBorder="1" applyAlignment="1">
      <alignment wrapText="1"/>
    </xf>
    <xf numFmtId="0" fontId="4" fillId="0" borderId="2" xfId="0" applyFont="1" applyFill="1" applyBorder="1" applyAlignment="1"/>
    <xf numFmtId="0" fontId="16" fillId="0" borderId="2" xfId="0" applyFont="1" applyFill="1" applyBorder="1" applyAlignment="1"/>
    <xf numFmtId="2" fontId="4" fillId="0" borderId="2" xfId="0" applyNumberFormat="1" applyFont="1" applyBorder="1"/>
    <xf numFmtId="164" fontId="3" fillId="3" borderId="0" xfId="0" applyNumberFormat="1" applyFont="1" applyFill="1" applyBorder="1" applyAlignment="1"/>
    <xf numFmtId="164" fontId="14" fillId="7" borderId="1" xfId="0" applyNumberFormat="1" applyFont="1" applyFill="1" applyBorder="1" applyAlignment="1">
      <alignment horizontal="left" shrinkToFit="1"/>
    </xf>
    <xf numFmtId="164" fontId="14" fillId="5" borderId="1" xfId="0" applyNumberFormat="1" applyFont="1" applyFill="1" applyBorder="1" applyAlignment="1">
      <alignment horizontal="left" shrinkToFit="1"/>
    </xf>
    <xf numFmtId="164" fontId="4" fillId="0" borderId="8" xfId="0" applyNumberFormat="1" applyFont="1" applyFill="1" applyBorder="1" applyAlignment="1">
      <alignment horizontal="left" vertical="center" wrapText="1"/>
    </xf>
    <xf numFmtId="164" fontId="4" fillId="0" borderId="9" xfId="0" applyNumberFormat="1" applyFont="1" applyFill="1" applyBorder="1" applyAlignment="1">
      <alignment horizontal="left" vertical="center" wrapText="1"/>
    </xf>
    <xf numFmtId="164" fontId="4" fillId="0" borderId="10" xfId="0" applyNumberFormat="1" applyFont="1" applyFill="1" applyBorder="1" applyAlignment="1">
      <alignment horizontal="left" vertical="center" wrapText="1"/>
    </xf>
    <xf numFmtId="164" fontId="3" fillId="0" borderId="8" xfId="0" applyNumberFormat="1" applyFont="1" applyFill="1" applyBorder="1" applyAlignment="1">
      <alignment horizontal="left" vertical="center" wrapText="1"/>
    </xf>
    <xf numFmtId="164" fontId="3" fillId="0" borderId="10" xfId="0" applyNumberFormat="1" applyFont="1" applyFill="1" applyBorder="1" applyAlignment="1">
      <alignment horizontal="left" vertical="center" wrapText="1"/>
    </xf>
    <xf numFmtId="164" fontId="3" fillId="0" borderId="9" xfId="0" applyNumberFormat="1" applyFont="1" applyFill="1" applyBorder="1" applyAlignment="1">
      <alignment horizontal="left" vertical="center" wrapText="1"/>
    </xf>
    <xf numFmtId="164" fontId="3" fillId="0" borderId="3" xfId="0" applyNumberFormat="1" applyFont="1" applyFill="1" applyBorder="1" applyAlignment="1">
      <alignment horizontal="center" vertical="center" wrapText="1"/>
    </xf>
    <xf numFmtId="164" fontId="4" fillId="0" borderId="4" xfId="0" applyNumberFormat="1" applyFont="1" applyFill="1" applyBorder="1" applyAlignment="1">
      <alignment horizontal="center" vertical="center" wrapText="1"/>
    </xf>
    <xf numFmtId="164" fontId="3" fillId="0" borderId="4" xfId="0" applyNumberFormat="1" applyFont="1" applyFill="1" applyBorder="1" applyAlignment="1">
      <alignment horizontal="center" vertical="center" wrapText="1"/>
    </xf>
    <xf numFmtId="164" fontId="3" fillId="0" borderId="3" xfId="0" applyNumberFormat="1" applyFont="1" applyBorder="1" applyAlignment="1">
      <alignment horizontal="center" vertical="center" wrapText="1"/>
    </xf>
    <xf numFmtId="164" fontId="3" fillId="0" borderId="4" xfId="0" applyNumberFormat="1" applyFont="1" applyBorder="1" applyAlignment="1">
      <alignment horizontal="center" vertical="center" wrapText="1"/>
    </xf>
    <xf numFmtId="2" fontId="3" fillId="0" borderId="3" xfId="0" applyNumberFormat="1" applyFont="1" applyFill="1" applyBorder="1" applyAlignment="1">
      <alignment horizontal="center" vertical="center" wrapText="1"/>
    </xf>
    <xf numFmtId="2" fontId="4" fillId="0" borderId="4" xfId="0" applyNumberFormat="1" applyFont="1" applyFill="1" applyBorder="1" applyAlignment="1">
      <alignment horizontal="center" vertical="center" wrapText="1"/>
    </xf>
    <xf numFmtId="164" fontId="3" fillId="0" borderId="2" xfId="0" applyNumberFormat="1" applyFont="1" applyFill="1" applyBorder="1" applyAlignment="1">
      <alignment horizontal="left" vertical="center" wrapText="1"/>
    </xf>
    <xf numFmtId="164" fontId="3" fillId="0" borderId="11" xfId="0" applyNumberFormat="1" applyFont="1" applyFill="1" applyBorder="1" applyAlignment="1">
      <alignment horizontal="left" vertical="center" wrapText="1"/>
    </xf>
    <xf numFmtId="164" fontId="3" fillId="0" borderId="13" xfId="0" applyNumberFormat="1" applyFont="1" applyFill="1" applyBorder="1" applyAlignment="1">
      <alignment horizontal="center" vertical="center" wrapText="1"/>
    </xf>
    <xf numFmtId="164" fontId="4" fillId="0" borderId="8" xfId="1" applyNumberFormat="1" applyFont="1" applyFill="1" applyBorder="1" applyAlignment="1">
      <alignment horizontal="left" vertical="center" wrapText="1"/>
    </xf>
    <xf numFmtId="164" fontId="4" fillId="0" borderId="9" xfId="1" applyNumberFormat="1" applyFont="1" applyFill="1" applyBorder="1" applyAlignment="1">
      <alignment horizontal="left" vertical="center" wrapText="1"/>
    </xf>
    <xf numFmtId="164" fontId="3" fillId="0" borderId="8" xfId="1" applyNumberFormat="1" applyFont="1" applyFill="1" applyBorder="1" applyAlignment="1">
      <alignment horizontal="left" vertical="center" wrapText="1"/>
    </xf>
    <xf numFmtId="164" fontId="3" fillId="0" borderId="9" xfId="1" applyNumberFormat="1" applyFont="1" applyFill="1" applyBorder="1" applyAlignment="1">
      <alignment horizontal="left" vertical="center" wrapText="1"/>
    </xf>
    <xf numFmtId="164" fontId="4" fillId="0" borderId="10" xfId="1" applyNumberFormat="1" applyFont="1" applyFill="1" applyBorder="1" applyAlignment="1">
      <alignment horizontal="left" vertical="center" wrapText="1"/>
    </xf>
    <xf numFmtId="164" fontId="3" fillId="0" borderId="13" xfId="0" applyNumberFormat="1" applyFont="1" applyBorder="1" applyAlignment="1">
      <alignment horizontal="center" vertical="center" wrapText="1"/>
    </xf>
    <xf numFmtId="164" fontId="4" fillId="0" borderId="12" xfId="0" applyNumberFormat="1" applyFont="1" applyFill="1" applyBorder="1" applyAlignment="1">
      <alignment horizontal="left" vertical="center" wrapText="1"/>
    </xf>
    <xf numFmtId="164" fontId="4" fillId="0" borderId="2" xfId="0" applyNumberFormat="1" applyFont="1" applyFill="1" applyBorder="1" applyAlignment="1">
      <alignment horizontal="left" vertical="center" wrapText="1"/>
    </xf>
    <xf numFmtId="164" fontId="3" fillId="0" borderId="2" xfId="0" applyNumberFormat="1" applyFont="1" applyFill="1" applyBorder="1" applyAlignment="1">
      <alignment horizontal="left" vertical="center"/>
    </xf>
    <xf numFmtId="2" fontId="3" fillId="0" borderId="0"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2" fontId="3" fillId="0" borderId="13" xfId="0" applyNumberFormat="1" applyFont="1" applyFill="1" applyBorder="1" applyAlignment="1">
      <alignment horizontal="center" vertical="center" wrapText="1"/>
    </xf>
    <xf numFmtId="2" fontId="3" fillId="0" borderId="4" xfId="0" applyNumberFormat="1" applyFont="1" applyFill="1" applyBorder="1" applyAlignment="1">
      <alignment horizontal="center" vertical="center" wrapText="1"/>
    </xf>
    <xf numFmtId="164" fontId="3" fillId="0" borderId="8" xfId="0" applyNumberFormat="1" applyFont="1" applyFill="1" applyBorder="1" applyAlignment="1">
      <alignment horizontal="left" vertical="center"/>
    </xf>
    <xf numFmtId="164" fontId="3" fillId="0" borderId="10" xfId="0" applyNumberFormat="1" applyFont="1" applyFill="1" applyBorder="1" applyAlignment="1">
      <alignment horizontal="left" vertical="center"/>
    </xf>
    <xf numFmtId="164" fontId="3" fillId="0" borderId="9" xfId="0" applyNumberFormat="1" applyFont="1" applyFill="1" applyBorder="1" applyAlignment="1">
      <alignment horizontal="left" vertical="center"/>
    </xf>
    <xf numFmtId="2" fontId="4" fillId="0" borderId="13" xfId="0" applyNumberFormat="1" applyFont="1" applyFill="1" applyBorder="1" applyAlignment="1">
      <alignment horizontal="center" vertical="center" wrapText="1"/>
    </xf>
  </cellXfs>
  <cellStyles count="27">
    <cellStyle name="Accent2 - 20%" xfId="2"/>
    <cellStyle name="Accent2 - 40%" xfId="3"/>
    <cellStyle name="Accent3 - 20%" xfId="9"/>
    <cellStyle name="Accent5 - 20%" xfId="10"/>
    <cellStyle name="Accent6 - 20%" xfId="11"/>
    <cellStyle name="Bad 2" xfId="5"/>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Good 2" xfId="4"/>
    <cellStyle name="Good 2 2" xfId="8"/>
    <cellStyle name="Normal" xfId="0" builtinId="0"/>
    <cellStyle name="Normal 2" xfId="1"/>
    <cellStyle name="Normal 4" xfId="7"/>
    <cellStyle name="Note 2" xfId="6"/>
  </cellStyles>
  <dxfs count="0"/>
  <tableStyles count="0" defaultTableStyle="TableStyleMedium9" defaultPivotStyle="PivotStyleMedium4"/>
  <colors>
    <mruColors>
      <color rgb="FFFFB03B"/>
      <color rgb="FFFFBD5D"/>
      <color rgb="FFFF9900"/>
      <color rgb="FFFEE68C"/>
      <color rgb="FFFEEDB0"/>
      <color rgb="FFFEF0BE"/>
      <color rgb="FFFFE0B3"/>
      <color rgb="FFFFDAA3"/>
      <color rgb="FFFFDFAF"/>
      <color rgb="FFFFD08B"/>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9"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oneCellAnchor>
    <xdr:from>
      <xdr:col>13</xdr:col>
      <xdr:colOff>88900</xdr:colOff>
      <xdr:row>1</xdr:row>
      <xdr:rowOff>88900</xdr:rowOff>
    </xdr:from>
    <xdr:ext cx="4483100" cy="4708980"/>
    <xdr:sp macro="" textlink="">
      <xdr:nvSpPr>
        <xdr:cNvPr id="2" name="TextBox 1"/>
        <xdr:cNvSpPr txBox="1"/>
      </xdr:nvSpPr>
      <xdr:spPr>
        <a:xfrm>
          <a:off x="10337800" y="609600"/>
          <a:ext cx="4483100" cy="47089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rtlCol="0" anchor="t">
          <a:spAutoFit/>
        </a:bodyPr>
        <a:lstStyle/>
        <a:p>
          <a:r>
            <a:rPr lang="en-US" sz="1200" b="1">
              <a:latin typeface="Times New Roman"/>
              <a:cs typeface="Times New Roman"/>
            </a:rPr>
            <a:t>Additional file 5</a:t>
          </a:r>
          <a:r>
            <a:rPr lang="en-US" sz="1200" b="1" baseline="0">
              <a:latin typeface="Times New Roman"/>
              <a:cs typeface="Times New Roman"/>
            </a:rPr>
            <a:t>. Tables of conserved synteny between the identified chromosome blocks in the </a:t>
          </a:r>
          <a:r>
            <a:rPr lang="en-US" sz="1200" b="1" i="0" baseline="0">
              <a:latin typeface="Times New Roman"/>
              <a:cs typeface="Times New Roman"/>
            </a:rPr>
            <a:t>human, chicken, spotted gar, zebrafish and three-spined stickleback genomes. </a:t>
          </a:r>
          <a:r>
            <a:rPr lang="en-US" sz="1200" b="0" i="0" baseline="0">
              <a:latin typeface="Times New Roman"/>
              <a:cs typeface="Times New Roman"/>
            </a:rPr>
            <a:t>Each table is included as a separate tab in the workbook. Tables are color coded to show conserved synteny as well as sequence homology between species. Colors are applied following the human and chicken chromosomes. Dashed cells indicate divergences between the NJ tree and PhyML tree topologies. The color of the dashes nonetheless indicate the likely homology relationships. White cells in the zebrafish and stickleback tables indicate genes with unclear homology relationships in the phylogenetic analyses. Gene names are applied following approvied HUGO Gene Nomenclature Committe (HGNC) gene symbols, or known aliases from the NCBI Entrez Gene database. To facilitate comparisons between species, the names of the human orthologs have been applied to the chicken, zebrafish and stickleback tables, except for the visual opsin and OT/VP-R families where the gene names used in Fig. 1 and Fig. 2 are applied. For teleost genes with unclear homology, the sequence names used in the phylogenetic trees are applied (species abbreviation followed by chromosome/linkage group/scaffold number). For the spotted gar table the gene names of the closest human match in the orthology search are applied (</a:t>
          </a:r>
          <a:r>
            <a:rPr lang="en-US" sz="1200" b="0" i="1" baseline="0">
              <a:latin typeface="Times New Roman"/>
              <a:cs typeface="Times New Roman"/>
            </a:rPr>
            <a:t>see Methods</a:t>
          </a:r>
          <a:r>
            <a:rPr lang="en-US" sz="1200" b="0" i="0" baseline="0">
              <a:latin typeface="Times New Roman"/>
              <a:cs typeface="Times New Roman"/>
            </a:rPr>
            <a:t>) and the colors indicate the chromosomal location of the closest human match. This table also includes the Ensembl IDs of the orthology matches in the spotted gar Pre!Ensembl database. </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88900</xdr:colOff>
      <xdr:row>51</xdr:row>
      <xdr:rowOff>76200</xdr:rowOff>
    </xdr:from>
    <xdr:ext cx="6019799" cy="1446550"/>
    <xdr:sp macro="" textlink="">
      <xdr:nvSpPr>
        <xdr:cNvPr id="2" name="TextBox 1"/>
        <xdr:cNvSpPr txBox="1"/>
      </xdr:nvSpPr>
      <xdr:spPr>
        <a:xfrm>
          <a:off x="1041400" y="8851900"/>
          <a:ext cx="6019799" cy="1446550"/>
        </a:xfrm>
        <a:prstGeom prst="rect">
          <a:avLst/>
        </a:prstGeom>
        <a:solidFill>
          <a:schemeClr val="lt1"/>
        </a:solidFill>
        <a:ln w="9525" cmpd="sng">
          <a:solidFill>
            <a:srgbClr val="FFFFFF"/>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rtlCol="0" anchor="t">
          <a:spAutoFit/>
        </a:bodyPr>
        <a:lstStyle/>
        <a:p>
          <a:r>
            <a:rPr lang="en-US" sz="1100">
              <a:latin typeface="Calibri"/>
              <a:cs typeface="Calibri"/>
            </a:rPr>
            <a:t>Footnotes:</a:t>
          </a:r>
        </a:p>
        <a:p>
          <a:endParaRPr lang="en-US" sz="1100">
            <a:latin typeface="Calibri"/>
            <a:cs typeface="Calibri"/>
          </a:endParaRPr>
        </a:p>
        <a:p>
          <a:r>
            <a:rPr lang="en-US" sz="1100">
              <a:latin typeface="Calibri"/>
              <a:cs typeface="Calibri"/>
            </a:rPr>
            <a:t>1) NCBI GenBank sequences used</a:t>
          </a:r>
          <a:r>
            <a:rPr lang="en-US" sz="1100" baseline="0">
              <a:latin typeface="Calibri"/>
              <a:cs typeface="Calibri"/>
            </a:rPr>
            <a:t> - n</a:t>
          </a:r>
          <a:r>
            <a:rPr lang="en-US" sz="1100">
              <a:latin typeface="Calibri"/>
              <a:cs typeface="Calibri"/>
            </a:rPr>
            <a:t>o location data available.</a:t>
          </a:r>
          <a:r>
            <a:rPr lang="en-US" sz="1100" baseline="0">
              <a:latin typeface="Calibri"/>
              <a:cs typeface="Calibri"/>
            </a:rPr>
            <a:t> Chromosome assignment known for some: </a:t>
          </a:r>
          <a:r>
            <a:rPr lang="en-US" sz="1100" i="1">
              <a:latin typeface="Calibri"/>
              <a:cs typeface="Calibri"/>
            </a:rPr>
            <a:t>CELSR2</a:t>
          </a:r>
          <a:r>
            <a:rPr lang="en-US" sz="1100" baseline="0">
              <a:latin typeface="Calibri"/>
              <a:cs typeface="Calibri"/>
            </a:rPr>
            <a:t> </a:t>
          </a:r>
          <a:r>
            <a:rPr lang="en-US" sz="1100">
              <a:latin typeface="Calibri"/>
              <a:cs typeface="Calibri"/>
            </a:rPr>
            <a:t>assigned to chr.</a:t>
          </a:r>
          <a:r>
            <a:rPr lang="en-US" sz="1100" baseline="0">
              <a:latin typeface="Calibri"/>
              <a:cs typeface="Calibri"/>
            </a:rPr>
            <a:t> 1, </a:t>
          </a:r>
          <a:r>
            <a:rPr lang="en-US" sz="1100" i="1" baseline="0">
              <a:latin typeface="Calibri"/>
              <a:cs typeface="Calibri"/>
            </a:rPr>
            <a:t>GNAI2 </a:t>
          </a:r>
          <a:r>
            <a:rPr lang="en-US" sz="1100" baseline="0">
              <a:latin typeface="Calibri"/>
              <a:cs typeface="Calibri"/>
            </a:rPr>
            <a:t>to chr. 12.</a:t>
          </a:r>
        </a:p>
        <a:p>
          <a:endParaRPr lang="en-US" sz="1100">
            <a:latin typeface="Calibri"/>
            <a:cs typeface="Calibri"/>
          </a:endParaRPr>
        </a:p>
        <a:p>
          <a:r>
            <a:rPr lang="en-US" sz="1100">
              <a:latin typeface="Calibri"/>
              <a:cs typeface="Calibri"/>
            </a:rPr>
            <a:t>2) A zebra</a:t>
          </a:r>
          <a:r>
            <a:rPr lang="en-US" sz="1100" baseline="0">
              <a:latin typeface="Calibri"/>
              <a:cs typeface="Calibri"/>
            </a:rPr>
            <a:t> finch ortholog of </a:t>
          </a:r>
          <a:r>
            <a:rPr lang="en-US" sz="1100" i="1" baseline="0">
              <a:latin typeface="Calibri"/>
              <a:cs typeface="Calibri"/>
            </a:rPr>
            <a:t>FLNC</a:t>
          </a:r>
          <a:r>
            <a:rPr lang="en-US" sz="1100" baseline="0">
              <a:latin typeface="Calibri"/>
              <a:cs typeface="Calibri"/>
            </a:rPr>
            <a:t> is located at 0.19 Mb on the homologous chromosome 1A.</a:t>
          </a:r>
        </a:p>
        <a:p>
          <a:r>
            <a:rPr lang="en-US" sz="1100" baseline="0">
              <a:latin typeface="Calibri"/>
              <a:cs typeface="Calibri"/>
            </a:rPr>
            <a:t>*) Semaphorin-3-like gene name from the Chicken Gene Nomenclature Consortium </a:t>
          </a:r>
          <a:r>
            <a:rPr lang="en-US" sz="1100" i="1" baseline="0">
              <a:latin typeface="Calibri"/>
              <a:cs typeface="Calibri"/>
            </a:rPr>
            <a:t>http://www.agnc.msstate.edu/</a:t>
          </a:r>
          <a:endParaRPr lang="en-US" sz="1100" i="1">
            <a:latin typeface="Calibri"/>
            <a:cs typeface="Calibri"/>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xdr:col>
      <xdr:colOff>76200</xdr:colOff>
      <xdr:row>46</xdr:row>
      <xdr:rowOff>101600</xdr:rowOff>
    </xdr:from>
    <xdr:to>
      <xdr:col>7</xdr:col>
      <xdr:colOff>990600</xdr:colOff>
      <xdr:row>52</xdr:row>
      <xdr:rowOff>49719</xdr:rowOff>
    </xdr:to>
    <xdr:sp macro="" textlink="">
      <xdr:nvSpPr>
        <xdr:cNvPr id="2" name="TextBox 1"/>
        <xdr:cNvSpPr txBox="1"/>
      </xdr:nvSpPr>
      <xdr:spPr>
        <a:xfrm>
          <a:off x="889000" y="8051800"/>
          <a:ext cx="6502400" cy="938719"/>
        </a:xfrm>
        <a:prstGeom prst="rect">
          <a:avLst/>
        </a:prstGeom>
        <a:solidFill>
          <a:schemeClr val="lt1"/>
        </a:solidFill>
        <a:ln w="9525" cmpd="sng">
          <a:solidFill>
            <a:srgbClr val="FFFFFF"/>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rtlCol="0" anchor="t">
          <a:spAutoFit/>
        </a:bodyPr>
        <a:lstStyle/>
        <a:p>
          <a:pPr marL="0" indent="0"/>
          <a:r>
            <a:rPr lang="en-US" sz="1100">
              <a:solidFill>
                <a:schemeClr val="dk1"/>
              </a:solidFill>
              <a:latin typeface="Calibri"/>
              <a:ea typeface="+mn-ea"/>
              <a:cs typeface="Calibri"/>
            </a:rPr>
            <a:t>Footnotes:</a:t>
          </a:r>
        </a:p>
        <a:p>
          <a:pPr marL="0" indent="0"/>
          <a:endParaRPr lang="en-US" sz="1100">
            <a:solidFill>
              <a:schemeClr val="dk1"/>
            </a:solidFill>
            <a:latin typeface="Calibri"/>
            <a:ea typeface="+mn-ea"/>
            <a:cs typeface="Calibri"/>
          </a:endParaRPr>
        </a:p>
        <a:p>
          <a:pPr marL="0" indent="0"/>
          <a:r>
            <a:rPr lang="en-US" sz="1100">
              <a:solidFill>
                <a:schemeClr val="dk1"/>
              </a:solidFill>
              <a:latin typeface="Calibri"/>
              <a:ea typeface="+mn-ea"/>
              <a:cs typeface="Calibri"/>
            </a:rPr>
            <a:t>1) The spotted gar RH1_1, SWS1_2, V2B and V2C sequences were not identified in the InParanoid homology search (see Methods). Their location data is included here to show the complete identified pattern of conserved synteny.</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xdr:col>
      <xdr:colOff>76200</xdr:colOff>
      <xdr:row>70</xdr:row>
      <xdr:rowOff>114300</xdr:rowOff>
    </xdr:from>
    <xdr:ext cx="8496299" cy="1107996"/>
    <xdr:sp macro="" textlink="">
      <xdr:nvSpPr>
        <xdr:cNvPr id="2" name="TextBox 1"/>
        <xdr:cNvSpPr txBox="1"/>
      </xdr:nvSpPr>
      <xdr:spPr>
        <a:xfrm>
          <a:off x="1028700" y="12026900"/>
          <a:ext cx="8496299" cy="1107996"/>
        </a:xfrm>
        <a:prstGeom prst="rect">
          <a:avLst/>
        </a:prstGeom>
        <a:solidFill>
          <a:schemeClr val="lt1"/>
        </a:solidFill>
        <a:ln w="9525" cmpd="sng">
          <a:solidFill>
            <a:srgbClr val="FFFFFF"/>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rtlCol="0" anchor="t">
          <a:spAutoFit/>
        </a:bodyPr>
        <a:lstStyle/>
        <a:p>
          <a:pPr marL="0" indent="0"/>
          <a:r>
            <a:rPr lang="en-US" sz="1100">
              <a:solidFill>
                <a:schemeClr val="dk1"/>
              </a:solidFill>
              <a:latin typeface="Calibri"/>
              <a:ea typeface="+mn-ea"/>
              <a:cs typeface="Calibri"/>
            </a:rPr>
            <a:t>Footnotes:</a:t>
          </a:r>
        </a:p>
        <a:p>
          <a:pPr marL="0" indent="0"/>
          <a:endParaRPr lang="en-US" sz="1100">
            <a:solidFill>
              <a:schemeClr val="dk1"/>
            </a:solidFill>
            <a:latin typeface="Calibri"/>
            <a:ea typeface="+mn-ea"/>
            <a:cs typeface="Calibri"/>
          </a:endParaRPr>
        </a:p>
        <a:p>
          <a:pPr marL="0" indent="0"/>
          <a:r>
            <a:rPr lang="en-US" sz="1100">
              <a:solidFill>
                <a:schemeClr val="dk1"/>
              </a:solidFill>
              <a:latin typeface="Calibri"/>
              <a:ea typeface="+mn-ea"/>
              <a:cs typeface="Calibri"/>
            </a:rPr>
            <a:t>1) The zebrafish exorh gene is mapped to scaffold Zv9_scaNA986: 0.13 Kb in the Zv9 genome assembly. The corresponding NCBI RefSeq sequence that was used in the phylogenetic analyses (NP_571287.1) is mapped to chromosome 8: 55.67 Mb.</a:t>
          </a:r>
        </a:p>
        <a:p>
          <a:pPr marL="0" indent="0"/>
          <a:endParaRPr lang="en-US" sz="1100">
            <a:solidFill>
              <a:schemeClr val="dk1"/>
            </a:solidFill>
            <a:latin typeface="Calibri"/>
            <a:ea typeface="+mn-ea"/>
            <a:cs typeface="Calibri"/>
          </a:endParaRPr>
        </a:p>
        <a:p>
          <a:pPr marL="0" indent="0"/>
          <a:r>
            <a:rPr lang="en-US" sz="1100">
              <a:solidFill>
                <a:schemeClr val="dk1"/>
              </a:solidFill>
              <a:latin typeface="Calibri"/>
              <a:ea typeface="+mn-ea"/>
              <a:cs typeface="Calibri"/>
            </a:rPr>
            <a:t>*) Semaphorin-3-like gene name from the Chicken Gene Nomenclature Consortium http://www.agnc.msstate.edu/</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63500</xdr:colOff>
      <xdr:row>68</xdr:row>
      <xdr:rowOff>101600</xdr:rowOff>
    </xdr:from>
    <xdr:ext cx="4826000" cy="769441"/>
    <xdr:sp macro="" textlink="">
      <xdr:nvSpPr>
        <xdr:cNvPr id="2" name="TextBox 1"/>
        <xdr:cNvSpPr txBox="1"/>
      </xdr:nvSpPr>
      <xdr:spPr>
        <a:xfrm>
          <a:off x="1016000" y="11684000"/>
          <a:ext cx="4826000" cy="769441"/>
        </a:xfrm>
        <a:prstGeom prst="rect">
          <a:avLst/>
        </a:prstGeom>
        <a:solidFill>
          <a:schemeClr val="lt1"/>
        </a:solidFill>
        <a:ln w="9525" cmpd="sng">
          <a:solidFill>
            <a:srgbClr val="FFFFFF"/>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rtlCol="0" anchor="t">
          <a:spAutoFit/>
        </a:bodyPr>
        <a:lstStyle/>
        <a:p>
          <a:pPr marL="0" indent="0"/>
          <a:r>
            <a:rPr lang="en-US" sz="1100">
              <a:solidFill>
                <a:schemeClr val="dk1"/>
              </a:solidFill>
              <a:latin typeface="Calibri"/>
              <a:ea typeface="+mn-ea"/>
              <a:cs typeface="Calibri"/>
            </a:rPr>
            <a:t>Footnotes:</a:t>
          </a:r>
        </a:p>
        <a:p>
          <a:pPr marL="0" indent="0"/>
          <a:endParaRPr lang="en-US" sz="1100">
            <a:solidFill>
              <a:schemeClr val="dk1"/>
            </a:solidFill>
            <a:latin typeface="Calibri"/>
            <a:ea typeface="+mn-ea"/>
            <a:cs typeface="Calibri"/>
          </a:endParaRPr>
        </a:p>
        <a:p>
          <a:pPr marL="0" indent="0"/>
          <a:r>
            <a:rPr lang="en-US" sz="1100">
              <a:solidFill>
                <a:schemeClr val="dk1"/>
              </a:solidFill>
              <a:latin typeface="Calibri"/>
              <a:ea typeface="+mn-ea"/>
              <a:cs typeface="Calibri"/>
            </a:rPr>
            <a:t>*) Semaphorin-3-like gene name from the Chicken Gene Nomenclature Consortium http://www.agnc.msstate.edu/</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9" Type="http://schemas.openxmlformats.org/officeDocument/2006/relationships/hyperlink" Target="http://www.ensembl.org/Gallus_gallus/Transcript/Summary?db=core;t=ENSGALT00000012332" TargetMode="External"/><Relationship Id="rId20" Type="http://schemas.openxmlformats.org/officeDocument/2006/relationships/hyperlink" Target="http://www.ensembl.org/Gallus_gallus/Gene/Summary?db=core;g=ENSGALG00000013022;r=1:63342810-63728661;t=ENSGALT00000021249" TargetMode="External"/><Relationship Id="rId21" Type="http://schemas.openxmlformats.org/officeDocument/2006/relationships/drawing" Target="../drawings/drawing2.xml"/><Relationship Id="rId10" Type="http://schemas.openxmlformats.org/officeDocument/2006/relationships/hyperlink" Target="http://www.ensembl.org/Gallus_gallus/geneview?gene=CACNA1G" TargetMode="External"/><Relationship Id="rId11" Type="http://schemas.openxmlformats.org/officeDocument/2006/relationships/hyperlink" Target="http://www.ensembl.org/Gallus_gallus/mapview?chr=1" TargetMode="External"/><Relationship Id="rId12" Type="http://schemas.openxmlformats.org/officeDocument/2006/relationships/hyperlink" Target="http://www.ensembl.org/Gallus_gallus/contigview?chr=1&amp;vc_start=52304376&amp;vc_end=52390537" TargetMode="External"/><Relationship Id="rId13" Type="http://schemas.openxmlformats.org/officeDocument/2006/relationships/hyperlink" Target="http://www.ensembl.org/Gallus_gallus/Gene/Summary?db=core;g=ENSGALG00000012122" TargetMode="External"/><Relationship Id="rId14" Type="http://schemas.openxmlformats.org/officeDocument/2006/relationships/hyperlink" Target="http://www.ensembl.org/Gallus_gallus/Transcript/Summary?db=core;t=ENSGALT00000019796" TargetMode="External"/><Relationship Id="rId15" Type="http://schemas.openxmlformats.org/officeDocument/2006/relationships/hyperlink" Target="http://www.ensembl.org/Gallus_gallus/geneview?gene=CACNA1I" TargetMode="External"/><Relationship Id="rId16" Type="http://schemas.openxmlformats.org/officeDocument/2006/relationships/hyperlink" Target="http://www.ensembl.org/Gallus_gallus/Location/View?db=core;g=ENSGALG00000013022;r=1:63342810-63728673;t=ENSGALT00000021249" TargetMode="External"/><Relationship Id="rId17" Type="http://schemas.openxmlformats.org/officeDocument/2006/relationships/hyperlink" Target="http://www.ensembl.org/Gallus_gallus/Location/View?db=core;g=ENSGALG00000013022;r=1:63342810-63728661;t=ENSGALT00000021249" TargetMode="External"/><Relationship Id="rId18" Type="http://schemas.openxmlformats.org/officeDocument/2006/relationships/hyperlink" Target="http://www.uniprot.org/uniprot/?query=O73707&amp;sort=score" TargetMode="External"/><Relationship Id="rId19" Type="http://schemas.openxmlformats.org/officeDocument/2006/relationships/hyperlink" Target="http://www.ensembl.org/Gallus_gallus/Transcript/Summary?db=core;g=ENSGALG00000013022;r=1:63342810-63728661;t=ENSGALT00000021249" TargetMode="External"/><Relationship Id="rId1" Type="http://schemas.openxmlformats.org/officeDocument/2006/relationships/hyperlink" Target="http://www.ensembl.org/Gallus_gallus/mapview?chr=12" TargetMode="External"/><Relationship Id="rId2" Type="http://schemas.openxmlformats.org/officeDocument/2006/relationships/hyperlink" Target="http://www.ensembl.org/Gallus_gallus/contigview?chr=12&amp;vc_start=7278350&amp;vc_end=7443142" TargetMode="External"/><Relationship Id="rId3" Type="http://schemas.openxmlformats.org/officeDocument/2006/relationships/hyperlink" Target="http://www.ensembl.org/Gallus_gallus/Gene/Summary?db=core;g=ENSGALG00000005332" TargetMode="External"/><Relationship Id="rId4" Type="http://schemas.openxmlformats.org/officeDocument/2006/relationships/hyperlink" Target="http://www.ensembl.org/Gallus_gallus/Transcript/Summary?db=core;t=ENSGALT00000008554" TargetMode="External"/><Relationship Id="rId5" Type="http://schemas.openxmlformats.org/officeDocument/2006/relationships/hyperlink" Target="http://www.ensembl.org/Gallus_gallus/geneview?gene=CAC1D_CHICK" TargetMode="External"/><Relationship Id="rId6" Type="http://schemas.openxmlformats.org/officeDocument/2006/relationships/hyperlink" Target="http://www.ensembl.org/Gallus_gallus/mapview?chr=18" TargetMode="External"/><Relationship Id="rId7" Type="http://schemas.openxmlformats.org/officeDocument/2006/relationships/hyperlink" Target="http://www.ensembl.org/Gallus_gallus/contigview?chr=18&amp;vc_start=10149700&amp;vc_end=10255707" TargetMode="External"/><Relationship Id="rId8" Type="http://schemas.openxmlformats.org/officeDocument/2006/relationships/hyperlink" Target="http://www.ensembl.org/Gallus_gallus/Gene/Summary?db=core;g=ENSGALG00000007623"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O61"/>
  <sheetViews>
    <sheetView tabSelected="1" workbookViewId="0">
      <pane xSplit="1" ySplit="1" topLeftCell="B2" activePane="bottomRight" state="frozen"/>
      <selection pane="topRight" activeCell="B1" sqref="B1"/>
      <selection pane="bottomLeft" activeCell="A2" sqref="A2"/>
      <selection pane="bottomRight" activeCell="F43" sqref="F43"/>
    </sheetView>
  </sheetViews>
  <sheetFormatPr baseColWidth="10" defaultColWidth="8.7109375" defaultRowHeight="13" customHeight="1" x14ac:dyDescent="0"/>
  <cols>
    <col min="1" max="1" width="10.7109375" style="126" customWidth="1"/>
    <col min="2" max="2" width="8.7109375" style="111" customWidth="1"/>
    <col min="3" max="3" width="8.7109375" style="27" customWidth="1"/>
    <col min="4" max="4" width="8.7109375" style="111" customWidth="1"/>
    <col min="5" max="5" width="8.7109375" style="27" customWidth="1"/>
    <col min="6" max="6" width="8.7109375" style="111"/>
    <col min="7" max="7" width="8.7109375" style="27" customWidth="1"/>
    <col min="8" max="8" width="8.7109375" style="111" customWidth="1"/>
    <col min="9" max="9" width="8.7109375" style="115" customWidth="1"/>
    <col min="10" max="10" width="8.7109375" style="111" customWidth="1"/>
    <col min="11" max="11" width="8.7109375" style="27" customWidth="1"/>
    <col min="12" max="12" width="8.7109375" style="111" customWidth="1"/>
    <col min="13" max="13" width="8.7109375" style="124" customWidth="1"/>
    <col min="14" max="14" width="8.7109375" style="113"/>
    <col min="15" max="16384" width="8.7109375" style="108"/>
  </cols>
  <sheetData>
    <row r="1" spans="1:15" ht="41" customHeight="1">
      <c r="A1" s="295" t="s">
        <v>83</v>
      </c>
      <c r="B1" s="380" t="s">
        <v>297</v>
      </c>
      <c r="C1" s="381"/>
      <c r="D1" s="380" t="s">
        <v>298</v>
      </c>
      <c r="E1" s="381"/>
      <c r="F1" s="383" t="s">
        <v>299</v>
      </c>
      <c r="G1" s="384"/>
      <c r="H1" s="380" t="s">
        <v>300</v>
      </c>
      <c r="I1" s="382"/>
      <c r="J1" s="380" t="s">
        <v>301</v>
      </c>
      <c r="K1" s="381"/>
      <c r="L1" s="380" t="s">
        <v>296</v>
      </c>
      <c r="M1" s="381"/>
    </row>
    <row r="2" spans="1:15" ht="13" customHeight="1">
      <c r="A2" s="137" t="s">
        <v>50</v>
      </c>
      <c r="B2" s="63" t="s">
        <v>68</v>
      </c>
      <c r="C2" s="7">
        <v>203.59568899999999</v>
      </c>
      <c r="D2" s="64" t="s">
        <v>11</v>
      </c>
      <c r="E2" s="8">
        <v>10.365707</v>
      </c>
      <c r="F2" s="114"/>
      <c r="G2" s="23"/>
      <c r="H2" s="66" t="s">
        <v>72</v>
      </c>
      <c r="I2" s="9">
        <v>89.981827999999993</v>
      </c>
      <c r="J2" s="67" t="s">
        <v>29</v>
      </c>
      <c r="K2" s="30">
        <v>152.78313399999999</v>
      </c>
      <c r="L2" s="33"/>
      <c r="M2" s="121"/>
    </row>
    <row r="3" spans="1:15" ht="13" customHeight="1">
      <c r="A3" s="137" t="s">
        <v>59</v>
      </c>
      <c r="B3" s="114"/>
      <c r="C3" s="23"/>
      <c r="D3" s="114"/>
      <c r="E3" s="23"/>
      <c r="F3" s="114"/>
      <c r="G3" s="23"/>
      <c r="H3" s="66" t="s">
        <v>73</v>
      </c>
      <c r="I3" s="9">
        <v>58.017192999999999</v>
      </c>
      <c r="J3" s="114"/>
      <c r="K3" s="23"/>
      <c r="L3" s="296" t="s">
        <v>66</v>
      </c>
      <c r="M3" s="297" t="s">
        <v>320</v>
      </c>
    </row>
    <row r="4" spans="1:15" ht="13" customHeight="1">
      <c r="A4" s="145" t="s">
        <v>388</v>
      </c>
      <c r="B4" s="69" t="s">
        <v>1</v>
      </c>
      <c r="C4" s="70">
        <v>201</v>
      </c>
      <c r="D4" s="71" t="s">
        <v>12</v>
      </c>
      <c r="E4" s="72">
        <v>53.5</v>
      </c>
      <c r="F4" s="33"/>
      <c r="G4" s="14"/>
      <c r="H4" s="73" t="s">
        <v>74</v>
      </c>
      <c r="I4" s="74">
        <v>2</v>
      </c>
      <c r="J4" s="75" t="s">
        <v>30</v>
      </c>
      <c r="K4" s="76">
        <v>49</v>
      </c>
    </row>
    <row r="5" spans="1:15" ht="13" customHeight="1">
      <c r="A5" s="374" t="s">
        <v>174</v>
      </c>
      <c r="D5" s="64" t="s">
        <v>155</v>
      </c>
      <c r="E5" s="8">
        <v>50.400233</v>
      </c>
      <c r="F5" s="66" t="s">
        <v>156</v>
      </c>
      <c r="G5" s="9">
        <v>81.575760000000002</v>
      </c>
    </row>
    <row r="6" spans="1:15" ht="13" customHeight="1">
      <c r="A6" s="375"/>
      <c r="D6" s="64" t="s">
        <v>173</v>
      </c>
      <c r="E6" s="8">
        <v>54.156573999999999</v>
      </c>
      <c r="F6" s="114"/>
      <c r="G6" s="23"/>
      <c r="H6" s="66" t="s">
        <v>172</v>
      </c>
      <c r="I6" s="9">
        <v>1.9011229999999999</v>
      </c>
      <c r="L6" s="33"/>
      <c r="M6" s="121"/>
    </row>
    <row r="7" spans="1:15" ht="13" customHeight="1">
      <c r="A7" s="137" t="s">
        <v>13</v>
      </c>
      <c r="B7" s="63" t="s">
        <v>2</v>
      </c>
      <c r="C7" s="7">
        <v>209.75706199999999</v>
      </c>
      <c r="D7" s="64" t="s">
        <v>13</v>
      </c>
      <c r="E7" s="8">
        <v>9.7990259999999996</v>
      </c>
      <c r="J7" s="67" t="s">
        <v>60</v>
      </c>
      <c r="K7" s="30">
        <v>152.93518499999999</v>
      </c>
      <c r="L7" s="66" t="s">
        <v>64</v>
      </c>
      <c r="M7" s="120" t="s">
        <v>321</v>
      </c>
    </row>
    <row r="8" spans="1:15" ht="13" customHeight="1">
      <c r="A8" s="137" t="s">
        <v>84</v>
      </c>
      <c r="B8" s="63" t="s">
        <v>3</v>
      </c>
      <c r="C8" s="7">
        <f>205473723/1000000</f>
        <v>205.47372300000001</v>
      </c>
      <c r="D8" s="65"/>
      <c r="E8" s="14"/>
      <c r="F8" s="33"/>
      <c r="G8" s="14"/>
      <c r="H8" s="66" t="s">
        <v>75</v>
      </c>
      <c r="I8" s="9">
        <f>96672040/1000000</f>
        <v>96.672039999999996</v>
      </c>
      <c r="J8" s="67" t="s">
        <v>31</v>
      </c>
      <c r="K8" s="30">
        <f>47077259/1000000</f>
        <v>47.077258999999998</v>
      </c>
      <c r="L8" s="33"/>
      <c r="M8" s="121"/>
    </row>
    <row r="9" spans="1:15" ht="13" customHeight="1">
      <c r="A9" s="137" t="s">
        <v>123</v>
      </c>
      <c r="B9" s="63" t="s">
        <v>124</v>
      </c>
      <c r="C9" s="7">
        <v>109.792641</v>
      </c>
      <c r="D9" s="64" t="s">
        <v>125</v>
      </c>
      <c r="E9" s="8">
        <v>48.673901999999998</v>
      </c>
      <c r="L9" s="66" t="s">
        <v>126</v>
      </c>
      <c r="M9" s="122" t="s">
        <v>322</v>
      </c>
    </row>
    <row r="10" spans="1:15" s="115" customFormat="1" ht="13" customHeight="1">
      <c r="A10" s="374" t="s">
        <v>52</v>
      </c>
      <c r="B10" s="63" t="s">
        <v>4</v>
      </c>
      <c r="C10" s="7">
        <v>205.012325</v>
      </c>
      <c r="D10" s="64" t="s">
        <v>17</v>
      </c>
      <c r="E10" s="8">
        <v>1.13426</v>
      </c>
      <c r="F10" s="111"/>
      <c r="G10" s="27"/>
      <c r="H10" s="66" t="s">
        <v>76</v>
      </c>
      <c r="I10" s="9">
        <v>41.086244000000001</v>
      </c>
      <c r="J10" s="111"/>
      <c r="K10" s="27"/>
      <c r="L10" s="66" t="s">
        <v>65</v>
      </c>
      <c r="M10" s="122" t="s">
        <v>323</v>
      </c>
      <c r="N10" s="113"/>
    </row>
    <row r="11" spans="1:15" s="115" customFormat="1" ht="13" customHeight="1">
      <c r="A11" s="376"/>
      <c r="B11" s="111"/>
      <c r="C11" s="27"/>
      <c r="D11" s="64" t="s">
        <v>16</v>
      </c>
      <c r="E11" s="8">
        <v>2.1404969999999999</v>
      </c>
      <c r="F11" s="111"/>
      <c r="G11" s="27"/>
      <c r="H11" s="111"/>
      <c r="J11" s="111"/>
      <c r="K11" s="27"/>
      <c r="L11" s="33"/>
      <c r="M11" s="121"/>
      <c r="N11" s="113"/>
    </row>
    <row r="12" spans="1:15" ht="13" customHeight="1">
      <c r="A12" s="375"/>
      <c r="D12" s="64" t="s">
        <v>15</v>
      </c>
      <c r="E12" s="8">
        <v>74.311718999999997</v>
      </c>
      <c r="N12" s="126"/>
      <c r="O12" s="116"/>
    </row>
    <row r="13" spans="1:15" ht="13" customHeight="1">
      <c r="A13" s="137" t="s">
        <v>56</v>
      </c>
      <c r="D13" s="64" t="s">
        <v>18</v>
      </c>
      <c r="E13" s="8">
        <v>128.96844899999999</v>
      </c>
      <c r="F13" s="66" t="s">
        <v>28</v>
      </c>
      <c r="G13" s="9">
        <v>130.14608899999999</v>
      </c>
      <c r="L13" s="33"/>
      <c r="M13" s="121"/>
      <c r="N13" s="126"/>
      <c r="O13" s="116"/>
    </row>
    <row r="14" spans="1:15" ht="13" customHeight="1">
      <c r="A14" s="137" t="s">
        <v>85</v>
      </c>
      <c r="B14" s="62"/>
      <c r="C14" s="14"/>
      <c r="D14" s="64" t="s">
        <v>19</v>
      </c>
      <c r="E14" s="8">
        <f>55542336/1000000</f>
        <v>55.542335999999999</v>
      </c>
      <c r="F14" s="33"/>
      <c r="G14" s="14"/>
      <c r="H14" s="66" t="s">
        <v>77</v>
      </c>
      <c r="I14" s="9">
        <f>1100404/1000000</f>
        <v>1.1004039999999999</v>
      </c>
      <c r="J14" s="65"/>
      <c r="K14" s="14"/>
      <c r="N14" s="126"/>
      <c r="O14" s="116"/>
    </row>
    <row r="15" spans="1:15" ht="13" customHeight="1">
      <c r="A15" s="137" t="s">
        <v>37</v>
      </c>
      <c r="D15" s="64" t="s">
        <v>20</v>
      </c>
      <c r="E15" s="8">
        <v>57.994126999999999</v>
      </c>
      <c r="F15" s="66" t="s">
        <v>69</v>
      </c>
      <c r="G15" s="9">
        <v>128.47043099999999</v>
      </c>
      <c r="J15" s="67" t="s">
        <v>32</v>
      </c>
      <c r="K15" s="30">
        <v>153.57689199999999</v>
      </c>
      <c r="L15" s="33"/>
      <c r="M15" s="121"/>
    </row>
    <row r="16" spans="1:15" s="118" customFormat="1" ht="13" customHeight="1">
      <c r="A16" s="145" t="s">
        <v>175</v>
      </c>
      <c r="B16" s="69" t="s">
        <v>128</v>
      </c>
      <c r="C16" s="70">
        <v>110.091233</v>
      </c>
      <c r="D16" s="71" t="s">
        <v>129</v>
      </c>
      <c r="E16" s="72">
        <v>50.263724000000003</v>
      </c>
      <c r="F16" s="73" t="s">
        <v>130</v>
      </c>
      <c r="G16" s="74">
        <v>79.763271000000003</v>
      </c>
      <c r="H16" s="114"/>
      <c r="I16" s="116"/>
      <c r="J16" s="114"/>
      <c r="K16" s="117"/>
      <c r="M16" s="127"/>
      <c r="N16" s="126"/>
    </row>
    <row r="17" spans="1:15" s="118" customFormat="1" ht="13" customHeight="1">
      <c r="A17" s="145" t="s">
        <v>176</v>
      </c>
      <c r="B17" s="69" t="s">
        <v>131</v>
      </c>
      <c r="C17" s="70">
        <v>110.145889</v>
      </c>
      <c r="D17" s="71" t="s">
        <v>132</v>
      </c>
      <c r="E17" s="72">
        <v>50.229042999999997</v>
      </c>
      <c r="F17" s="73" t="s">
        <v>133</v>
      </c>
      <c r="G17" s="74">
        <v>80.087986999999998</v>
      </c>
      <c r="H17" s="114"/>
      <c r="I17" s="116"/>
      <c r="J17" s="114"/>
      <c r="K17" s="23"/>
      <c r="L17" s="33"/>
      <c r="M17" s="121"/>
      <c r="N17" s="126"/>
      <c r="O17" s="116"/>
    </row>
    <row r="18" spans="1:15" s="118" customFormat="1" ht="13" customHeight="1">
      <c r="A18" s="137" t="s">
        <v>38</v>
      </c>
      <c r="B18" s="111"/>
      <c r="C18" s="27"/>
      <c r="D18" s="64" t="s">
        <v>21</v>
      </c>
      <c r="E18" s="8">
        <v>72.937224000000001</v>
      </c>
      <c r="F18" s="111"/>
      <c r="G18" s="27"/>
      <c r="H18" s="66" t="s">
        <v>78</v>
      </c>
      <c r="I18" s="9">
        <v>42.475647000000002</v>
      </c>
      <c r="J18" s="111"/>
      <c r="K18" s="27"/>
      <c r="L18" s="33"/>
      <c r="M18" s="121"/>
      <c r="N18" s="126"/>
      <c r="O18" s="116"/>
    </row>
    <row r="19" spans="1:15" s="116" customFormat="1" ht="13" customHeight="1">
      <c r="A19" s="137" t="s">
        <v>39</v>
      </c>
      <c r="B19" s="63" t="s">
        <v>5</v>
      </c>
      <c r="C19" s="7">
        <v>206.64379099999999</v>
      </c>
      <c r="D19" s="114"/>
      <c r="E19" s="23"/>
      <c r="F19" s="114"/>
      <c r="G19" s="23"/>
      <c r="H19" s="66" t="s">
        <v>81</v>
      </c>
      <c r="I19" s="9">
        <v>64.845659999999995</v>
      </c>
      <c r="J19" s="114"/>
      <c r="K19" s="23"/>
      <c r="L19" s="33"/>
      <c r="M19" s="121"/>
      <c r="N19" s="126"/>
    </row>
    <row r="20" spans="1:15" s="118" customFormat="1" ht="13" customHeight="1">
      <c r="A20" s="137" t="s">
        <v>86</v>
      </c>
      <c r="B20" s="62"/>
      <c r="C20" s="14"/>
      <c r="D20" s="64" t="s">
        <v>22</v>
      </c>
      <c r="E20" s="8">
        <f>12938719/1000000</f>
        <v>12.938719000000001</v>
      </c>
      <c r="F20" s="33"/>
      <c r="G20" s="14"/>
      <c r="H20" s="66" t="s">
        <v>79</v>
      </c>
      <c r="I20" s="9">
        <f>176049/1000000</f>
        <v>0.17604900000000001</v>
      </c>
      <c r="J20" s="67" t="s">
        <v>33</v>
      </c>
      <c r="K20" s="30">
        <f>53262058/1000000</f>
        <v>53.262058000000003</v>
      </c>
      <c r="L20" s="33"/>
      <c r="M20" s="121"/>
      <c r="N20" s="126"/>
      <c r="O20" s="116"/>
    </row>
    <row r="21" spans="1:15" s="118" customFormat="1" ht="13" customHeight="1">
      <c r="A21" s="137" t="s">
        <v>87</v>
      </c>
      <c r="B21" s="63" t="s">
        <v>6</v>
      </c>
      <c r="C21" s="7">
        <f>202696526/1000000</f>
        <v>202.69652600000001</v>
      </c>
      <c r="D21" s="33"/>
      <c r="E21" s="19"/>
      <c r="F21" s="33"/>
      <c r="G21" s="14"/>
      <c r="H21" s="66" t="s">
        <v>80</v>
      </c>
      <c r="I21" s="9">
        <f>389223/1000000</f>
        <v>0.38922299999999999</v>
      </c>
      <c r="J21" s="67" t="s">
        <v>34</v>
      </c>
      <c r="K21" s="30">
        <f>53221334/1000000</f>
        <v>53.221333999999999</v>
      </c>
      <c r="L21" s="67" t="s">
        <v>67</v>
      </c>
      <c r="M21" s="123" t="s">
        <v>324</v>
      </c>
      <c r="N21" s="126"/>
    </row>
    <row r="22" spans="1:15" s="118" customFormat="1" ht="13" customHeight="1">
      <c r="A22" s="137" t="s">
        <v>88</v>
      </c>
      <c r="B22" s="63" t="s">
        <v>7</v>
      </c>
      <c r="C22" s="7">
        <f>205305220/1000000</f>
        <v>205.30521999999999</v>
      </c>
      <c r="D22" s="64" t="s">
        <v>23</v>
      </c>
      <c r="E22" s="8">
        <f>49209044/1000000</f>
        <v>49.209043999999999</v>
      </c>
      <c r="F22" s="33"/>
      <c r="G22" s="19"/>
      <c r="H22" s="33"/>
      <c r="I22" s="19"/>
      <c r="J22" s="33"/>
      <c r="K22" s="19"/>
      <c r="L22" s="33"/>
      <c r="M22" s="121"/>
      <c r="N22" s="126"/>
    </row>
    <row r="23" spans="1:15" ht="13" customHeight="1">
      <c r="A23" s="137" t="s">
        <v>40</v>
      </c>
      <c r="B23" s="63" t="s">
        <v>8</v>
      </c>
      <c r="C23" s="7">
        <v>204.79777899999999</v>
      </c>
      <c r="D23" s="64" t="s">
        <v>14</v>
      </c>
      <c r="E23" s="8">
        <v>0.23827899999999999</v>
      </c>
      <c r="F23" s="66" t="s">
        <v>70</v>
      </c>
      <c r="G23" s="9">
        <v>107.788082</v>
      </c>
      <c r="J23" s="67" t="s">
        <v>35</v>
      </c>
      <c r="K23" s="30">
        <v>153.126969</v>
      </c>
      <c r="L23" s="33"/>
      <c r="M23" s="121"/>
    </row>
    <row r="24" spans="1:15" ht="13" customHeight="1">
      <c r="A24" s="137" t="s">
        <v>94</v>
      </c>
      <c r="B24" s="63" t="s">
        <v>95</v>
      </c>
      <c r="C24" s="7">
        <v>204.586298</v>
      </c>
      <c r="D24" s="64" t="s">
        <v>96</v>
      </c>
      <c r="E24" s="8">
        <v>3.8411209999999998</v>
      </c>
      <c r="F24" s="66" t="s">
        <v>97</v>
      </c>
      <c r="G24" s="9">
        <v>110.73106199999999</v>
      </c>
      <c r="L24" s="68"/>
    </row>
    <row r="25" spans="1:15" ht="13" customHeight="1">
      <c r="A25" s="137" t="s">
        <v>141</v>
      </c>
      <c r="B25" s="63" t="s">
        <v>142</v>
      </c>
      <c r="C25" s="7">
        <v>113.93337099999999</v>
      </c>
      <c r="D25" s="64" t="s">
        <v>143</v>
      </c>
      <c r="E25" s="8">
        <v>65.342053000000007</v>
      </c>
      <c r="F25" s="66" t="s">
        <v>144</v>
      </c>
      <c r="G25" s="9">
        <v>77.646393000000003</v>
      </c>
    </row>
    <row r="26" spans="1:15" ht="13" customHeight="1">
      <c r="A26" s="377" t="s">
        <v>177</v>
      </c>
      <c r="B26" s="33"/>
      <c r="C26" s="19"/>
      <c r="D26" s="71" t="s">
        <v>179</v>
      </c>
      <c r="E26" s="72">
        <v>129.24748299999999</v>
      </c>
      <c r="F26" s="73" t="s">
        <v>180</v>
      </c>
      <c r="G26" s="74">
        <v>128.41254499999999</v>
      </c>
      <c r="J26" s="75" t="s">
        <v>181</v>
      </c>
      <c r="K26" s="76">
        <v>153.40969799999999</v>
      </c>
      <c r="L26" s="33"/>
      <c r="M26" s="121"/>
    </row>
    <row r="27" spans="1:15" ht="13" customHeight="1">
      <c r="A27" s="378"/>
      <c r="C27" s="115"/>
      <c r="D27" s="94"/>
      <c r="E27" s="119"/>
      <c r="F27" s="94"/>
      <c r="G27" s="119"/>
      <c r="J27" s="75" t="s">
        <v>182</v>
      </c>
      <c r="K27" s="76">
        <v>153.44810699999999</v>
      </c>
      <c r="L27" s="33"/>
      <c r="M27" s="121"/>
      <c r="N27" s="128"/>
    </row>
    <row r="28" spans="1:15" s="118" customFormat="1" ht="13" customHeight="1">
      <c r="A28" s="379"/>
      <c r="B28" s="111"/>
      <c r="C28" s="115"/>
      <c r="D28" s="111"/>
      <c r="E28" s="115"/>
      <c r="F28" s="111"/>
      <c r="G28" s="115"/>
      <c r="H28" s="111"/>
      <c r="I28" s="115"/>
      <c r="J28" s="75" t="s">
        <v>183</v>
      </c>
      <c r="K28" s="76">
        <v>153.48522500000001</v>
      </c>
      <c r="L28" s="33"/>
      <c r="M28" s="121"/>
      <c r="N28" s="126"/>
    </row>
    <row r="29" spans="1:15" ht="13" customHeight="1">
      <c r="A29" s="145" t="s">
        <v>171</v>
      </c>
      <c r="B29" s="69" t="s">
        <v>167</v>
      </c>
      <c r="C29" s="70">
        <v>204.390567</v>
      </c>
      <c r="D29" s="71" t="s">
        <v>168</v>
      </c>
      <c r="E29" s="72">
        <v>8.7671139999999994</v>
      </c>
      <c r="F29" s="33"/>
      <c r="G29" s="14"/>
      <c r="H29" s="73" t="s">
        <v>169</v>
      </c>
      <c r="I29" s="74">
        <v>61.826483000000003</v>
      </c>
      <c r="J29" s="75" t="s">
        <v>170</v>
      </c>
      <c r="K29" s="76">
        <v>152.821179</v>
      </c>
      <c r="L29" s="33"/>
      <c r="M29" s="121"/>
    </row>
    <row r="30" spans="1:15" ht="13" customHeight="1">
      <c r="A30" s="137" t="s">
        <v>145</v>
      </c>
      <c r="B30" s="63" t="s">
        <v>146</v>
      </c>
      <c r="C30" s="7">
        <v>114.239453</v>
      </c>
      <c r="F30" s="66" t="s">
        <v>147</v>
      </c>
      <c r="G30" s="9">
        <v>77.428109000000006</v>
      </c>
      <c r="L30" s="33"/>
      <c r="M30" s="121"/>
      <c r="N30" s="128"/>
    </row>
    <row r="31" spans="1:15" ht="13" customHeight="1">
      <c r="A31" s="137" t="s">
        <v>121</v>
      </c>
      <c r="D31" s="64" t="s">
        <v>165</v>
      </c>
      <c r="E31" s="8">
        <v>49.721380000000003</v>
      </c>
      <c r="F31" s="66" t="s">
        <v>166</v>
      </c>
      <c r="G31" s="9">
        <v>81.328322</v>
      </c>
      <c r="L31" s="303" t="s">
        <v>121</v>
      </c>
      <c r="M31" s="304" t="s">
        <v>325</v>
      </c>
    </row>
    <row r="32" spans="1:15" ht="13" customHeight="1">
      <c r="A32" s="137" t="s">
        <v>54</v>
      </c>
      <c r="B32" s="63" t="s">
        <v>9</v>
      </c>
      <c r="C32" s="7">
        <v>208.19558699999999</v>
      </c>
      <c r="D32" s="64" t="s">
        <v>24</v>
      </c>
      <c r="E32" s="8">
        <v>126.707437</v>
      </c>
      <c r="F32" s="66" t="s">
        <v>71</v>
      </c>
      <c r="G32" s="9">
        <v>131.80809099999999</v>
      </c>
      <c r="J32" s="67" t="s">
        <v>36</v>
      </c>
      <c r="K32" s="30">
        <v>153.686621</v>
      </c>
      <c r="L32" s="33"/>
      <c r="M32" s="121"/>
    </row>
    <row r="33" spans="1:14" ht="13" customHeight="1">
      <c r="A33" s="137" t="s">
        <v>137</v>
      </c>
      <c r="B33" s="63" t="s">
        <v>138</v>
      </c>
      <c r="C33" s="7">
        <v>113.24523600000001</v>
      </c>
      <c r="D33" s="64" t="s">
        <v>139</v>
      </c>
      <c r="E33" s="8">
        <v>52.279840999999998</v>
      </c>
      <c r="F33" s="114"/>
      <c r="G33" s="23"/>
      <c r="H33" s="66" t="s">
        <v>140</v>
      </c>
      <c r="I33" s="9">
        <v>63.038367000000001</v>
      </c>
      <c r="J33" s="114"/>
      <c r="K33" s="23"/>
      <c r="L33" s="33"/>
      <c r="M33" s="121"/>
    </row>
    <row r="34" spans="1:14" ht="13" customHeight="1">
      <c r="A34" s="137" t="s">
        <v>98</v>
      </c>
      <c r="D34" s="64" t="s">
        <v>99</v>
      </c>
      <c r="E34" s="8">
        <v>64.079543000000001</v>
      </c>
      <c r="H34" s="66" t="s">
        <v>100</v>
      </c>
      <c r="I34" s="9">
        <v>42.852139999999999</v>
      </c>
      <c r="J34" s="67" t="s">
        <v>101</v>
      </c>
      <c r="K34" s="30">
        <v>49.031151000000001</v>
      </c>
      <c r="L34" s="303" t="s">
        <v>102</v>
      </c>
      <c r="M34" s="304" t="s">
        <v>326</v>
      </c>
    </row>
    <row r="35" spans="1:14" ht="13" customHeight="1">
      <c r="A35" s="137" t="s">
        <v>151</v>
      </c>
      <c r="B35" s="63" t="s">
        <v>152</v>
      </c>
      <c r="C35" s="7">
        <v>114.356433</v>
      </c>
      <c r="F35" s="66" t="s">
        <v>153</v>
      </c>
      <c r="G35" s="9">
        <v>77.166591999999994</v>
      </c>
      <c r="L35" s="313" t="s">
        <v>154</v>
      </c>
      <c r="M35" s="314" t="s">
        <v>327</v>
      </c>
    </row>
    <row r="36" spans="1:14" ht="13" customHeight="1">
      <c r="A36" s="137" t="s">
        <v>134</v>
      </c>
      <c r="B36" s="63" t="s">
        <v>135</v>
      </c>
      <c r="C36" s="7">
        <v>110.881128</v>
      </c>
      <c r="D36" s="64" t="s">
        <v>136</v>
      </c>
      <c r="E36" s="8">
        <v>51.428730999999999</v>
      </c>
      <c r="L36" s="33"/>
      <c r="M36" s="121"/>
    </row>
    <row r="37" spans="1:14" ht="13" customHeight="1">
      <c r="A37" s="137" t="s">
        <v>148</v>
      </c>
      <c r="B37" s="63" t="s">
        <v>149</v>
      </c>
      <c r="C37" s="7">
        <v>114.30445400000001</v>
      </c>
      <c r="F37" s="66" t="s">
        <v>150</v>
      </c>
      <c r="G37" s="9">
        <v>77.325760000000002</v>
      </c>
      <c r="L37" s="33"/>
      <c r="M37" s="121"/>
    </row>
    <row r="38" spans="1:14" ht="13" customHeight="1">
      <c r="A38" s="374" t="s">
        <v>157</v>
      </c>
      <c r="D38" s="64" t="s">
        <v>158</v>
      </c>
      <c r="E38" s="8">
        <v>50.192478000000001</v>
      </c>
      <c r="F38" s="66" t="s">
        <v>159</v>
      </c>
      <c r="G38" s="9">
        <v>80.371853999999999</v>
      </c>
      <c r="L38" s="33"/>
      <c r="M38" s="121"/>
    </row>
    <row r="39" spans="1:14" ht="13" customHeight="1">
      <c r="A39" s="376"/>
      <c r="D39" s="64" t="s">
        <v>162</v>
      </c>
      <c r="E39" s="8">
        <v>50.304989999999997</v>
      </c>
      <c r="F39" s="66" t="s">
        <v>163</v>
      </c>
      <c r="G39" s="9">
        <v>83.587659000000002</v>
      </c>
      <c r="L39" s="33"/>
      <c r="M39" s="121"/>
    </row>
    <row r="40" spans="1:14" ht="13" customHeight="1">
      <c r="A40" s="376"/>
      <c r="D40" s="64" t="s">
        <v>160</v>
      </c>
      <c r="E40" s="8">
        <v>52.467069000000002</v>
      </c>
      <c r="F40" s="66" t="s">
        <v>161</v>
      </c>
      <c r="G40" s="9">
        <v>82.993222000000003</v>
      </c>
      <c r="L40" s="33"/>
      <c r="M40" s="121"/>
    </row>
    <row r="41" spans="1:14" ht="13" customHeight="1">
      <c r="A41" s="375"/>
      <c r="F41" s="66" t="s">
        <v>164</v>
      </c>
      <c r="G41" s="9">
        <v>84.624869000000004</v>
      </c>
      <c r="L41" s="33"/>
      <c r="M41" s="121"/>
    </row>
    <row r="42" spans="1:14" ht="13" customHeight="1">
      <c r="A42" s="137" t="s">
        <v>103</v>
      </c>
      <c r="B42" s="63" t="s">
        <v>104</v>
      </c>
      <c r="C42" s="7">
        <v>206.516198</v>
      </c>
      <c r="D42" s="64" t="s">
        <v>105</v>
      </c>
      <c r="E42" s="8">
        <v>9.0222750000000005</v>
      </c>
      <c r="F42" s="114"/>
      <c r="G42" s="23"/>
      <c r="H42" s="66" t="s">
        <v>106</v>
      </c>
      <c r="I42" s="9">
        <v>64.238073</v>
      </c>
      <c r="J42" s="67" t="s">
        <v>107</v>
      </c>
      <c r="K42" s="30">
        <v>153.172821</v>
      </c>
      <c r="L42" s="33"/>
      <c r="M42" s="121"/>
      <c r="N42" s="128"/>
    </row>
    <row r="43" spans="1:14" ht="13" customHeight="1">
      <c r="A43" s="137" t="s">
        <v>127</v>
      </c>
      <c r="B43" s="63" t="s">
        <v>108</v>
      </c>
      <c r="C43" s="7">
        <v>110.00918</v>
      </c>
      <c r="D43" s="64" t="s">
        <v>109</v>
      </c>
      <c r="E43" s="8">
        <v>63.213991</v>
      </c>
      <c r="F43" s="66" t="s">
        <v>110</v>
      </c>
      <c r="G43" s="9">
        <v>105.730949</v>
      </c>
      <c r="J43" s="67" t="s">
        <v>111</v>
      </c>
      <c r="K43" s="30">
        <v>49.044269</v>
      </c>
      <c r="L43" s="33"/>
      <c r="M43" s="121"/>
      <c r="N43" s="128"/>
    </row>
    <row r="44" spans="1:14" ht="13" customHeight="1">
      <c r="A44" s="137" t="s">
        <v>89</v>
      </c>
      <c r="B44" s="63" t="s">
        <v>10</v>
      </c>
      <c r="C44" s="7">
        <f>201924619/1000000</f>
        <v>201.92461900000001</v>
      </c>
      <c r="D44" s="33"/>
      <c r="E44" s="19"/>
      <c r="F44" s="33"/>
      <c r="G44" s="19"/>
      <c r="H44" s="33"/>
      <c r="I44" s="19"/>
      <c r="J44" s="67" t="s">
        <v>61</v>
      </c>
      <c r="K44" s="30">
        <f>48750730/1000000</f>
        <v>48.750729999999997</v>
      </c>
      <c r="L44" s="33"/>
      <c r="M44" s="121"/>
      <c r="N44" s="128"/>
    </row>
    <row r="45" spans="1:14" ht="13" customHeight="1">
      <c r="A45" s="137" t="s">
        <v>112</v>
      </c>
      <c r="D45" s="64" t="s">
        <v>113</v>
      </c>
      <c r="E45" s="8">
        <v>52.262625999999997</v>
      </c>
      <c r="H45" s="66" t="s">
        <v>114</v>
      </c>
      <c r="I45" s="9">
        <v>44.187525999999998</v>
      </c>
    </row>
    <row r="46" spans="1:14" ht="13" customHeight="1">
      <c r="A46" s="137" t="s">
        <v>90</v>
      </c>
      <c r="B46" s="62"/>
      <c r="C46" s="19"/>
      <c r="D46" s="64" t="s">
        <v>25</v>
      </c>
      <c r="E46" s="8">
        <f>49842640/1000000</f>
        <v>49.842640000000003</v>
      </c>
      <c r="F46" s="33"/>
      <c r="G46" s="19"/>
      <c r="H46" s="33"/>
      <c r="I46" s="19"/>
      <c r="J46" s="67" t="s">
        <v>62</v>
      </c>
      <c r="K46" s="30">
        <f>47050260/1000000</f>
        <v>47.050260000000002</v>
      </c>
    </row>
    <row r="47" spans="1:14" ht="13" customHeight="1">
      <c r="A47" s="374" t="s">
        <v>91</v>
      </c>
      <c r="B47" s="62"/>
      <c r="C47" s="19"/>
      <c r="D47" s="64" t="s">
        <v>26</v>
      </c>
      <c r="E47" s="8">
        <f>49145479/1000000</f>
        <v>49.145479000000002</v>
      </c>
      <c r="F47" s="33"/>
      <c r="G47" s="14"/>
      <c r="L47" s="33"/>
      <c r="M47" s="121"/>
    </row>
    <row r="48" spans="1:14" ht="13" customHeight="1">
      <c r="A48" s="375"/>
      <c r="B48" s="62"/>
      <c r="C48" s="19"/>
      <c r="D48" s="64" t="s">
        <v>27</v>
      </c>
      <c r="E48" s="8">
        <f>49315264/1000000</f>
        <v>49.315263999999999</v>
      </c>
      <c r="F48" s="33"/>
      <c r="G48" s="19"/>
      <c r="H48" s="66" t="s">
        <v>82</v>
      </c>
      <c r="I48" s="9">
        <f>62654187/1000000</f>
        <v>62.654187</v>
      </c>
      <c r="J48" s="67" t="s">
        <v>63</v>
      </c>
      <c r="K48" s="30">
        <f>47092089/1000000</f>
        <v>47.092089000000001</v>
      </c>
      <c r="L48" s="33"/>
      <c r="M48" s="121"/>
    </row>
    <row r="49" spans="1:14" s="115" customFormat="1" ht="13" customHeight="1">
      <c r="A49" s="374" t="s">
        <v>115</v>
      </c>
      <c r="B49" s="111"/>
      <c r="C49" s="27"/>
      <c r="D49" s="111"/>
      <c r="E49" s="27"/>
      <c r="F49" s="111"/>
      <c r="G49" s="27"/>
      <c r="H49" s="66" t="s">
        <v>116</v>
      </c>
      <c r="I49" s="9">
        <v>0.86175900000000005</v>
      </c>
      <c r="J49" s="67" t="s">
        <v>117</v>
      </c>
      <c r="K49" s="30">
        <v>54.219256000000001</v>
      </c>
      <c r="L49" s="64" t="s">
        <v>118</v>
      </c>
      <c r="M49" s="8" t="s">
        <v>328</v>
      </c>
      <c r="N49" s="113"/>
    </row>
    <row r="50" spans="1:14" s="115" customFormat="1" ht="13" customHeight="1">
      <c r="A50" s="375"/>
      <c r="B50" s="111"/>
      <c r="C50" s="27"/>
      <c r="D50" s="111"/>
      <c r="E50" s="27"/>
      <c r="F50" s="111"/>
      <c r="G50" s="27"/>
      <c r="H50" s="111"/>
      <c r="J50" s="111"/>
      <c r="K50" s="27"/>
      <c r="L50" s="296" t="s">
        <v>119</v>
      </c>
      <c r="M50" s="297" t="s">
        <v>329</v>
      </c>
      <c r="N50" s="113"/>
    </row>
    <row r="51" spans="1:14" ht="13" customHeight="1">
      <c r="F51" s="129"/>
      <c r="L51" s="33"/>
      <c r="M51" s="121"/>
    </row>
    <row r="52" spans="1:14" ht="13" customHeight="1">
      <c r="L52" s="33"/>
      <c r="M52" s="121"/>
    </row>
    <row r="53" spans="1:14" ht="13" customHeight="1">
      <c r="A53" s="130"/>
      <c r="L53" s="33"/>
      <c r="M53" s="121"/>
    </row>
    <row r="54" spans="1:14" ht="13" customHeight="1">
      <c r="B54" s="131"/>
      <c r="C54" s="132"/>
      <c r="D54" s="131"/>
      <c r="L54" s="33"/>
      <c r="M54" s="121"/>
    </row>
    <row r="55" spans="1:14" ht="13" customHeight="1">
      <c r="B55" s="131"/>
      <c r="C55" s="132"/>
      <c r="D55" s="131"/>
      <c r="L55" s="33"/>
      <c r="M55" s="121"/>
    </row>
    <row r="56" spans="1:14" ht="13" customHeight="1">
      <c r="B56" s="131"/>
      <c r="C56" s="132"/>
      <c r="D56" s="131"/>
      <c r="L56" s="33"/>
      <c r="M56" s="121"/>
    </row>
    <row r="57" spans="1:14" ht="13" customHeight="1">
      <c r="B57" s="131"/>
      <c r="C57" s="133"/>
      <c r="L57" s="33"/>
      <c r="M57" s="121"/>
    </row>
    <row r="58" spans="1:14" ht="13" customHeight="1">
      <c r="C58" s="115"/>
      <c r="L58" s="33"/>
      <c r="M58" s="121"/>
    </row>
    <row r="59" spans="1:14" ht="13" customHeight="1">
      <c r="C59" s="115"/>
    </row>
    <row r="60" spans="1:14" ht="13" customHeight="1">
      <c r="C60" s="115"/>
    </row>
    <row r="61" spans="1:14" ht="13" customHeight="1">
      <c r="B61" s="129"/>
      <c r="C61" s="134"/>
    </row>
  </sheetData>
  <sortState ref="A2:K50">
    <sortCondition ref="A2:A50"/>
    <sortCondition ref="E2:E50"/>
  </sortState>
  <mergeCells count="12">
    <mergeCell ref="L1:M1"/>
    <mergeCell ref="B1:C1"/>
    <mergeCell ref="D1:E1"/>
    <mergeCell ref="H1:I1"/>
    <mergeCell ref="J1:K1"/>
    <mergeCell ref="F1:G1"/>
    <mergeCell ref="A49:A50"/>
    <mergeCell ref="A5:A6"/>
    <mergeCell ref="A10:A12"/>
    <mergeCell ref="A26:A28"/>
    <mergeCell ref="A38:A41"/>
    <mergeCell ref="A47:A48"/>
  </mergeCells>
  <phoneticPr fontId="2" type="noConversion"/>
  <pageMargins left="0.71" right="0.71" top="0.75000000000000011" bottom="0.75000000000000011" header="0.31" footer="0.31"/>
  <pageSetup paperSize="9" scale="59" orientation="landscape"/>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J50"/>
  <sheetViews>
    <sheetView workbookViewId="0">
      <pane xSplit="1" ySplit="1" topLeftCell="B2" activePane="bottomRight" state="frozen"/>
      <selection pane="topRight" activeCell="B1" sqref="B1"/>
      <selection pane="bottomLeft" activeCell="A2" sqref="A2"/>
      <selection pane="bottomRight" activeCell="L32" sqref="L32"/>
    </sheetView>
  </sheetViews>
  <sheetFormatPr baseColWidth="10" defaultColWidth="8.7109375" defaultRowHeight="13" customHeight="1" x14ac:dyDescent="0"/>
  <cols>
    <col min="1" max="1" width="10.7109375" style="108" customWidth="1"/>
    <col min="2" max="2" width="8.7109375" style="113" customWidth="1"/>
    <col min="3" max="3" width="8.7109375" style="108" customWidth="1"/>
    <col min="4" max="4" width="8.7109375" style="113" customWidth="1"/>
    <col min="5" max="5" width="8.7109375" style="108" customWidth="1"/>
    <col min="6" max="6" width="8.7109375" style="113" customWidth="1"/>
    <col min="7" max="7" width="8.7109375" style="108" customWidth="1"/>
    <col min="8" max="8" width="8.7109375" style="113" customWidth="1"/>
    <col min="9" max="9" width="8.7109375" style="110" customWidth="1"/>
    <col min="10" max="16384" width="8.7109375" style="108"/>
  </cols>
  <sheetData>
    <row r="1" spans="1:9" ht="41" customHeight="1">
      <c r="A1" s="80" t="s">
        <v>83</v>
      </c>
      <c r="B1" s="385" t="s">
        <v>304</v>
      </c>
      <c r="C1" s="386"/>
      <c r="D1" s="385" t="s">
        <v>305</v>
      </c>
      <c r="E1" s="386"/>
      <c r="F1" s="385" t="s">
        <v>306</v>
      </c>
      <c r="G1" s="386"/>
      <c r="H1" s="385" t="s">
        <v>120</v>
      </c>
      <c r="I1" s="386"/>
    </row>
    <row r="2" spans="1:9" ht="13" customHeight="1">
      <c r="A2" s="137" t="s">
        <v>331</v>
      </c>
      <c r="B2" s="63" t="s">
        <v>68</v>
      </c>
      <c r="C2" s="7">
        <v>5</v>
      </c>
      <c r="D2" s="64" t="s">
        <v>11</v>
      </c>
      <c r="E2" s="8">
        <v>4.0999999999999996</v>
      </c>
      <c r="F2" s="66" t="s">
        <v>72</v>
      </c>
      <c r="G2" s="9">
        <v>45.3</v>
      </c>
      <c r="H2" s="109"/>
    </row>
    <row r="3" spans="1:9" ht="13" customHeight="1">
      <c r="A3" s="138" t="s">
        <v>388</v>
      </c>
      <c r="B3" s="69" t="s">
        <v>1</v>
      </c>
      <c r="C3" s="70">
        <f>254791/1000000</f>
        <v>0.25479099999999999</v>
      </c>
      <c r="D3" s="71" t="s">
        <v>12</v>
      </c>
      <c r="E3" s="72">
        <f>7278350/1000000</f>
        <v>7.2783499999999997</v>
      </c>
      <c r="F3" s="73" t="s">
        <v>74</v>
      </c>
      <c r="G3" s="79">
        <f>63342810/1000000</f>
        <v>63.34281</v>
      </c>
      <c r="H3" s="109"/>
    </row>
    <row r="4" spans="1:9" ht="13" customHeight="1">
      <c r="A4" s="374" t="s">
        <v>55</v>
      </c>
      <c r="B4" s="111"/>
      <c r="C4" s="36"/>
      <c r="D4" s="64" t="s">
        <v>173</v>
      </c>
      <c r="E4" s="8">
        <v>7.7</v>
      </c>
      <c r="F4" s="66" t="s">
        <v>172</v>
      </c>
      <c r="G4" s="37">
        <v>63.1</v>
      </c>
      <c r="H4" s="111"/>
    </row>
    <row r="5" spans="1:9" ht="13" customHeight="1">
      <c r="A5" s="375"/>
      <c r="B5" s="111"/>
      <c r="C5" s="36"/>
      <c r="D5" s="111"/>
      <c r="E5" s="112"/>
      <c r="F5" s="66" t="s">
        <v>156</v>
      </c>
      <c r="G5" s="37">
        <v>11</v>
      </c>
    </row>
    <row r="6" spans="1:9" ht="13" customHeight="1">
      <c r="A6" s="137" t="s">
        <v>13</v>
      </c>
      <c r="B6" s="63" t="s">
        <v>2</v>
      </c>
      <c r="C6" s="7">
        <v>2.9</v>
      </c>
      <c r="D6" s="64" t="s">
        <v>13</v>
      </c>
      <c r="E6" s="8">
        <v>11.8</v>
      </c>
      <c r="F6" s="66" t="s">
        <v>64</v>
      </c>
      <c r="G6" s="37">
        <v>6.8</v>
      </c>
      <c r="H6" s="109"/>
    </row>
    <row r="7" spans="1:9" ht="13" customHeight="1">
      <c r="A7" s="139" t="s">
        <v>84</v>
      </c>
      <c r="B7" s="82" t="s">
        <v>3</v>
      </c>
      <c r="C7" s="35">
        <f>1966936/1000000</f>
        <v>1.966936</v>
      </c>
      <c r="D7" s="85"/>
      <c r="E7" s="14"/>
      <c r="F7" s="66" t="s">
        <v>75</v>
      </c>
      <c r="G7" s="37">
        <f>47703604/1000000</f>
        <v>47.703603999999999</v>
      </c>
      <c r="H7" s="109"/>
    </row>
    <row r="8" spans="1:9" ht="13" customHeight="1">
      <c r="A8" s="137" t="s">
        <v>44</v>
      </c>
      <c r="B8" s="111"/>
      <c r="C8" s="36"/>
      <c r="D8" s="64" t="s">
        <v>125</v>
      </c>
      <c r="E8" s="8">
        <v>9.3000000000000007</v>
      </c>
      <c r="F8" s="66" t="s">
        <v>126</v>
      </c>
      <c r="G8" s="90" t="s">
        <v>307</v>
      </c>
      <c r="H8" s="89" t="s">
        <v>124</v>
      </c>
      <c r="I8" s="100" t="s">
        <v>307</v>
      </c>
    </row>
    <row r="9" spans="1:9" ht="13" customHeight="1">
      <c r="A9" s="374" t="s">
        <v>52</v>
      </c>
      <c r="B9" s="63" t="s">
        <v>4</v>
      </c>
      <c r="C9" s="7">
        <v>1.8</v>
      </c>
      <c r="D9" s="64" t="s">
        <v>15</v>
      </c>
      <c r="E9" s="8">
        <v>17.5</v>
      </c>
      <c r="F9" s="66" t="s">
        <v>76</v>
      </c>
      <c r="G9" s="37">
        <v>30.6</v>
      </c>
      <c r="H9" s="109"/>
    </row>
    <row r="10" spans="1:9" ht="13" customHeight="1">
      <c r="A10" s="376"/>
      <c r="B10" s="111"/>
      <c r="C10" s="36"/>
      <c r="D10" s="64" t="s">
        <v>17</v>
      </c>
      <c r="E10" s="8">
        <v>18.2</v>
      </c>
      <c r="F10" s="66" t="s">
        <v>65</v>
      </c>
      <c r="G10" s="37">
        <v>187.8</v>
      </c>
      <c r="H10" s="109"/>
    </row>
    <row r="11" spans="1:9" ht="13" customHeight="1">
      <c r="A11" s="375"/>
      <c r="B11" s="111"/>
      <c r="C11" s="36"/>
      <c r="D11" s="64" t="s">
        <v>16</v>
      </c>
      <c r="E11" s="8">
        <v>18.5</v>
      </c>
      <c r="F11" s="111"/>
      <c r="G11" s="42"/>
      <c r="H11" s="109"/>
    </row>
    <row r="12" spans="1:9" ht="13" customHeight="1">
      <c r="A12" s="137" t="s">
        <v>56</v>
      </c>
      <c r="B12" s="111"/>
      <c r="C12" s="36"/>
      <c r="D12" s="64" t="s">
        <v>18</v>
      </c>
      <c r="E12" s="8">
        <v>93.5</v>
      </c>
      <c r="F12" s="66" t="s">
        <v>28</v>
      </c>
      <c r="G12" s="37">
        <v>0.8</v>
      </c>
      <c r="H12" s="86"/>
      <c r="I12" s="99"/>
    </row>
    <row r="13" spans="1:9" ht="13" customHeight="1">
      <c r="A13" s="137" t="s">
        <v>85</v>
      </c>
      <c r="B13" s="83"/>
      <c r="C13" s="19"/>
      <c r="D13" s="64" t="s">
        <v>19</v>
      </c>
      <c r="E13" s="8">
        <f>8281854/1000000</f>
        <v>8.2818539999999992</v>
      </c>
      <c r="F13" s="66" t="s">
        <v>77</v>
      </c>
      <c r="G13" s="37">
        <f>62686423/1000000</f>
        <v>62.686422999999998</v>
      </c>
      <c r="H13" s="86"/>
      <c r="I13" s="99"/>
    </row>
    <row r="14" spans="1:9" ht="13" customHeight="1">
      <c r="A14" s="137" t="s">
        <v>37</v>
      </c>
      <c r="B14" s="111"/>
      <c r="C14" s="36"/>
      <c r="D14" s="64" t="s">
        <v>20</v>
      </c>
      <c r="E14" s="8">
        <v>9.1</v>
      </c>
      <c r="F14" s="66" t="s">
        <v>308</v>
      </c>
      <c r="G14" s="90" t="s">
        <v>309</v>
      </c>
      <c r="H14" s="86"/>
      <c r="I14" s="99"/>
    </row>
    <row r="15" spans="1:9" ht="13" customHeight="1">
      <c r="A15" s="140" t="s">
        <v>175</v>
      </c>
      <c r="B15" s="111"/>
      <c r="C15" s="36"/>
      <c r="D15" s="71" t="s">
        <v>129</v>
      </c>
      <c r="E15" s="232" t="s">
        <v>307</v>
      </c>
      <c r="F15" s="73" t="s">
        <v>130</v>
      </c>
      <c r="G15" s="93">
        <v>12.3</v>
      </c>
      <c r="H15" s="91" t="s">
        <v>128</v>
      </c>
      <c r="I15" s="101" t="s">
        <v>307</v>
      </c>
    </row>
    <row r="16" spans="1:9" ht="13" customHeight="1">
      <c r="A16" s="387" t="s">
        <v>176</v>
      </c>
      <c r="B16" s="111"/>
      <c r="C16" s="36"/>
      <c r="D16" s="111"/>
      <c r="E16" s="112"/>
      <c r="F16" s="73" t="s">
        <v>184</v>
      </c>
      <c r="G16" s="93">
        <v>12.18</v>
      </c>
      <c r="H16" s="92" t="s">
        <v>178</v>
      </c>
      <c r="I16" s="102" t="s">
        <v>307</v>
      </c>
    </row>
    <row r="17" spans="1:9" ht="13" customHeight="1">
      <c r="A17" s="388"/>
      <c r="B17" s="111"/>
      <c r="C17" s="36"/>
      <c r="D17" s="111"/>
      <c r="E17" s="112"/>
      <c r="F17" s="111"/>
      <c r="G17" s="42"/>
      <c r="H17" s="91" t="s">
        <v>131</v>
      </c>
      <c r="I17" s="101" t="s">
        <v>307</v>
      </c>
    </row>
    <row r="18" spans="1:9" ht="13" customHeight="1">
      <c r="A18" s="137" t="s">
        <v>38</v>
      </c>
      <c r="B18" s="111"/>
      <c r="C18" s="36"/>
      <c r="D18" s="64" t="s">
        <v>21</v>
      </c>
      <c r="E18" s="8">
        <v>17.100000000000001</v>
      </c>
      <c r="F18" s="66" t="s">
        <v>78</v>
      </c>
      <c r="G18" s="37">
        <v>31.2</v>
      </c>
      <c r="H18" s="109"/>
    </row>
    <row r="19" spans="1:9" ht="13" customHeight="1">
      <c r="A19" s="137" t="s">
        <v>39</v>
      </c>
      <c r="B19" s="63" t="s">
        <v>5</v>
      </c>
      <c r="C19" s="7">
        <v>2.2999999999999998</v>
      </c>
      <c r="D19" s="111"/>
      <c r="E19" s="112"/>
      <c r="F19" s="66" t="s">
        <v>81</v>
      </c>
      <c r="G19" s="37">
        <v>35.5</v>
      </c>
      <c r="H19" s="109"/>
    </row>
    <row r="20" spans="1:9" ht="13" customHeight="1">
      <c r="A20" s="137" t="s">
        <v>86</v>
      </c>
      <c r="B20" s="10"/>
      <c r="C20" s="19"/>
      <c r="D20" s="64" t="s">
        <v>22</v>
      </c>
      <c r="E20" s="8">
        <f>5461710/1000000</f>
        <v>5.4617100000000001</v>
      </c>
      <c r="F20" s="66" t="s">
        <v>79</v>
      </c>
      <c r="G20" s="37">
        <f>62196950/1000000</f>
        <v>62.196950000000001</v>
      </c>
      <c r="H20" s="109"/>
    </row>
    <row r="21" spans="1:9" ht="13" customHeight="1">
      <c r="A21" s="141" t="s">
        <v>87</v>
      </c>
      <c r="B21" s="63" t="s">
        <v>6</v>
      </c>
      <c r="C21" s="7">
        <f>535229/1000000</f>
        <v>0.53522899999999995</v>
      </c>
      <c r="D21" s="10"/>
      <c r="E21" s="19"/>
      <c r="F21" s="66" t="s">
        <v>80</v>
      </c>
      <c r="G21" s="37">
        <f>62361514/1000000</f>
        <v>62.361514</v>
      </c>
      <c r="H21" s="109"/>
    </row>
    <row r="22" spans="1:9" ht="13" customHeight="1">
      <c r="A22" s="141" t="s">
        <v>88</v>
      </c>
      <c r="B22" s="63" t="s">
        <v>7</v>
      </c>
      <c r="C22" s="7">
        <f>1890650/1000000</f>
        <v>1.8906499999999999</v>
      </c>
      <c r="D22" s="64" t="s">
        <v>23</v>
      </c>
      <c r="E22" s="8">
        <f>11807649/1000000</f>
        <v>11.807649</v>
      </c>
      <c r="F22" s="10"/>
      <c r="G22" s="28"/>
      <c r="H22" s="109"/>
    </row>
    <row r="23" spans="1:9" ht="13" customHeight="1">
      <c r="A23" s="142" t="s">
        <v>40</v>
      </c>
      <c r="B23" s="63" t="s">
        <v>8</v>
      </c>
      <c r="C23" s="7">
        <v>1.7</v>
      </c>
      <c r="D23" s="64" t="s">
        <v>14</v>
      </c>
      <c r="E23" s="8">
        <v>17.8</v>
      </c>
      <c r="F23" s="66" t="s">
        <v>70</v>
      </c>
      <c r="G23" s="37">
        <v>30.4</v>
      </c>
      <c r="H23" s="109"/>
    </row>
    <row r="24" spans="1:9" ht="13" customHeight="1">
      <c r="A24" s="137" t="s">
        <v>51</v>
      </c>
      <c r="B24" s="63" t="s">
        <v>95</v>
      </c>
      <c r="C24" s="7">
        <v>1.6</v>
      </c>
      <c r="D24" s="64" t="s">
        <v>96</v>
      </c>
      <c r="E24" s="8">
        <v>18.899999999999999</v>
      </c>
      <c r="F24" s="66" t="s">
        <v>97</v>
      </c>
      <c r="G24" s="37">
        <v>29.3</v>
      </c>
      <c r="H24" s="109"/>
    </row>
    <row r="25" spans="1:9" ht="13" customHeight="1">
      <c r="A25" s="137" t="s">
        <v>42</v>
      </c>
      <c r="B25" s="63" t="s">
        <v>142</v>
      </c>
      <c r="C25" s="7">
        <v>3.5</v>
      </c>
      <c r="D25" s="64" t="s">
        <v>143</v>
      </c>
      <c r="E25" s="8">
        <v>14.3</v>
      </c>
      <c r="F25" s="66" t="s">
        <v>144</v>
      </c>
      <c r="G25" s="37">
        <v>13.1</v>
      </c>
      <c r="H25" s="109"/>
    </row>
    <row r="26" spans="1:9" ht="13" customHeight="1">
      <c r="A26" s="377" t="s">
        <v>177</v>
      </c>
      <c r="B26" s="69" t="s">
        <v>446</v>
      </c>
      <c r="C26" s="70">
        <v>4.3753719999999996</v>
      </c>
      <c r="D26" s="71" t="s">
        <v>447</v>
      </c>
      <c r="E26" s="72">
        <v>20.163795</v>
      </c>
      <c r="F26" s="94"/>
      <c r="G26" s="95"/>
      <c r="H26" s="372" t="s">
        <v>448</v>
      </c>
      <c r="I26" s="103" t="s">
        <v>307</v>
      </c>
    </row>
    <row r="27" spans="1:9" ht="13" customHeight="1">
      <c r="A27" s="378"/>
      <c r="B27" s="94"/>
      <c r="C27" s="96"/>
      <c r="D27" s="94"/>
      <c r="E27" s="97"/>
      <c r="F27" s="94"/>
      <c r="G27" s="95"/>
      <c r="H27" s="373" t="s">
        <v>449</v>
      </c>
      <c r="I27" s="104" t="s">
        <v>307</v>
      </c>
    </row>
    <row r="28" spans="1:9" ht="13" customHeight="1">
      <c r="A28" s="379"/>
      <c r="B28" s="94"/>
      <c r="C28" s="96"/>
      <c r="D28" s="94"/>
      <c r="E28" s="97"/>
      <c r="F28" s="94"/>
      <c r="G28" s="95"/>
      <c r="H28" s="372" t="s">
        <v>310</v>
      </c>
      <c r="I28" s="103" t="s">
        <v>307</v>
      </c>
    </row>
    <row r="29" spans="1:9" ht="13" customHeight="1">
      <c r="A29" s="377" t="s">
        <v>171</v>
      </c>
      <c r="B29" s="111"/>
      <c r="C29" s="36"/>
      <c r="D29" s="111"/>
      <c r="E29" s="112"/>
      <c r="F29" s="73" t="s">
        <v>311</v>
      </c>
      <c r="G29" s="79">
        <v>30.3</v>
      </c>
      <c r="H29" s="111"/>
    </row>
    <row r="30" spans="1:9" ht="13" customHeight="1">
      <c r="A30" s="379"/>
      <c r="B30" s="69" t="s">
        <v>167</v>
      </c>
      <c r="C30" s="70">
        <v>2.2000000000000002</v>
      </c>
      <c r="D30" s="71" t="s">
        <v>168</v>
      </c>
      <c r="E30" s="72">
        <v>19.899999999999999</v>
      </c>
      <c r="F30" s="73" t="s">
        <v>169</v>
      </c>
      <c r="G30" s="79">
        <v>35.1</v>
      </c>
      <c r="H30" s="111"/>
    </row>
    <row r="31" spans="1:9" ht="13" customHeight="1">
      <c r="A31" s="143" t="s">
        <v>47</v>
      </c>
      <c r="B31" s="63" t="s">
        <v>146</v>
      </c>
      <c r="C31" s="7">
        <v>3.5</v>
      </c>
      <c r="D31" s="111"/>
      <c r="E31" s="112"/>
      <c r="F31" s="66" t="s">
        <v>147</v>
      </c>
      <c r="G31" s="37">
        <v>13.4</v>
      </c>
      <c r="H31" s="111"/>
    </row>
    <row r="32" spans="1:9" ht="13" customHeight="1">
      <c r="A32" s="137" t="s">
        <v>121</v>
      </c>
      <c r="B32" s="111"/>
      <c r="C32" s="36"/>
      <c r="D32" s="64" t="s">
        <v>165</v>
      </c>
      <c r="E32" s="8">
        <v>2.2999999999999998</v>
      </c>
      <c r="F32" s="66" t="s">
        <v>166</v>
      </c>
      <c r="G32" s="37">
        <v>11.4</v>
      </c>
      <c r="H32" s="305" t="s">
        <v>121</v>
      </c>
      <c r="I32" s="306" t="s">
        <v>317</v>
      </c>
    </row>
    <row r="33" spans="1:10" ht="13" customHeight="1">
      <c r="A33" s="137" t="s">
        <v>54</v>
      </c>
      <c r="B33" s="63" t="s">
        <v>9</v>
      </c>
      <c r="C33" s="7">
        <v>2.6</v>
      </c>
      <c r="D33" s="64" t="s">
        <v>24</v>
      </c>
      <c r="E33" s="8">
        <v>10.199999999999999</v>
      </c>
      <c r="F33" s="66" t="s">
        <v>71</v>
      </c>
      <c r="G33" s="37">
        <v>2.1</v>
      </c>
      <c r="H33" s="111"/>
    </row>
    <row r="34" spans="1:10" ht="13" customHeight="1">
      <c r="A34" s="137" t="s">
        <v>46</v>
      </c>
      <c r="B34" s="63" t="s">
        <v>138</v>
      </c>
      <c r="C34" s="7">
        <v>3.4</v>
      </c>
      <c r="D34" s="64" t="s">
        <v>139</v>
      </c>
      <c r="E34" s="8">
        <v>2.8</v>
      </c>
      <c r="F34" s="66" t="s">
        <v>140</v>
      </c>
      <c r="G34" s="37">
        <v>34.9</v>
      </c>
      <c r="H34" s="86"/>
      <c r="I34" s="99"/>
    </row>
    <row r="35" spans="1:10" ht="13" customHeight="1">
      <c r="A35" s="137" t="s">
        <v>41</v>
      </c>
      <c r="B35" s="111"/>
      <c r="C35" s="36"/>
      <c r="D35" s="64" t="s">
        <v>99</v>
      </c>
      <c r="E35" s="8">
        <v>13.9</v>
      </c>
      <c r="F35" s="66" t="s">
        <v>100</v>
      </c>
      <c r="G35" s="37">
        <v>31.4</v>
      </c>
      <c r="H35" s="86"/>
      <c r="I35" s="99"/>
    </row>
    <row r="36" spans="1:10" ht="13" customHeight="1">
      <c r="A36" s="137" t="s">
        <v>49</v>
      </c>
      <c r="B36" s="63" t="s">
        <v>152</v>
      </c>
      <c r="C36" s="7">
        <v>3.6</v>
      </c>
      <c r="D36" s="111"/>
      <c r="E36" s="112"/>
      <c r="F36" s="66" t="s">
        <v>153</v>
      </c>
      <c r="G36" s="37">
        <v>13.5</v>
      </c>
      <c r="H36" s="109"/>
    </row>
    <row r="37" spans="1:10" ht="13" customHeight="1">
      <c r="A37" s="137" t="s">
        <v>45</v>
      </c>
      <c r="B37" s="63" t="s">
        <v>312</v>
      </c>
      <c r="C37" s="7">
        <v>1.2</v>
      </c>
      <c r="D37" s="64" t="s">
        <v>136</v>
      </c>
      <c r="E37" s="8">
        <v>2.1</v>
      </c>
      <c r="F37" s="111"/>
      <c r="G37" s="42"/>
      <c r="H37" s="109"/>
    </row>
    <row r="38" spans="1:10" ht="13" customHeight="1">
      <c r="A38" s="137" t="s">
        <v>48</v>
      </c>
      <c r="B38" s="63" t="s">
        <v>149</v>
      </c>
      <c r="C38" s="7">
        <v>3.6</v>
      </c>
      <c r="D38" s="111"/>
      <c r="E38" s="112"/>
      <c r="F38" s="66" t="s">
        <v>150</v>
      </c>
      <c r="G38" s="37">
        <v>13.5</v>
      </c>
      <c r="H38" s="109"/>
    </row>
    <row r="39" spans="1:10" ht="13" customHeight="1">
      <c r="A39" s="374" t="s">
        <v>43</v>
      </c>
      <c r="B39" s="111"/>
      <c r="C39" s="36"/>
      <c r="D39" s="64" t="s">
        <v>314</v>
      </c>
      <c r="E39" s="8">
        <v>2.5</v>
      </c>
      <c r="F39" s="66" t="s">
        <v>164</v>
      </c>
      <c r="G39" s="37">
        <v>8.9</v>
      </c>
      <c r="H39" s="64" t="s">
        <v>313</v>
      </c>
      <c r="I39" s="105" t="s">
        <v>318</v>
      </c>
      <c r="J39" s="19"/>
    </row>
    <row r="40" spans="1:10" ht="13" customHeight="1">
      <c r="A40" s="376"/>
      <c r="B40" s="111"/>
      <c r="C40" s="36"/>
      <c r="D40" s="64" t="s">
        <v>160</v>
      </c>
      <c r="E40" s="8">
        <v>2.9</v>
      </c>
      <c r="F40" s="66" t="s">
        <v>163</v>
      </c>
      <c r="G40" s="37">
        <v>9.4</v>
      </c>
      <c r="H40" s="64" t="s">
        <v>158</v>
      </c>
      <c r="I40" s="105" t="s">
        <v>319</v>
      </c>
    </row>
    <row r="41" spans="1:10" ht="13" customHeight="1">
      <c r="A41" s="376"/>
      <c r="B41" s="111"/>
      <c r="C41" s="36"/>
      <c r="D41" s="111"/>
      <c r="E41" s="112"/>
      <c r="F41" s="66" t="s">
        <v>161</v>
      </c>
      <c r="G41" s="37">
        <v>10.1</v>
      </c>
      <c r="H41" s="111"/>
    </row>
    <row r="42" spans="1:10" ht="13" customHeight="1">
      <c r="A42" s="375"/>
      <c r="B42" s="111"/>
      <c r="C42" s="36"/>
      <c r="D42" s="111"/>
      <c r="E42" s="112"/>
      <c r="F42" s="66" t="s">
        <v>159</v>
      </c>
      <c r="G42" s="37">
        <v>12</v>
      </c>
      <c r="H42" s="109"/>
    </row>
    <row r="43" spans="1:10" ht="13" customHeight="1">
      <c r="A43" s="137" t="s">
        <v>53</v>
      </c>
      <c r="B43" s="63" t="s">
        <v>104</v>
      </c>
      <c r="C43" s="7">
        <v>2.2000000000000002</v>
      </c>
      <c r="D43" s="64" t="s">
        <v>105</v>
      </c>
      <c r="E43" s="8">
        <v>20</v>
      </c>
      <c r="F43" s="66" t="s">
        <v>106</v>
      </c>
      <c r="G43" s="37">
        <v>35.299999999999997</v>
      </c>
      <c r="H43" s="109"/>
    </row>
    <row r="44" spans="1:10" ht="13" customHeight="1">
      <c r="A44" s="137" t="s">
        <v>0</v>
      </c>
      <c r="B44" s="111"/>
      <c r="C44" s="36"/>
      <c r="D44" s="64" t="s">
        <v>109</v>
      </c>
      <c r="E44" s="8">
        <v>13.7</v>
      </c>
      <c r="F44" s="66" t="s">
        <v>315</v>
      </c>
      <c r="G44" s="37">
        <v>15.2</v>
      </c>
      <c r="H44" s="109"/>
    </row>
    <row r="45" spans="1:10" ht="13" customHeight="1">
      <c r="A45" s="137" t="s">
        <v>89</v>
      </c>
      <c r="B45" s="63" t="s">
        <v>10</v>
      </c>
      <c r="C45" s="7">
        <f>1096567/1000000</f>
        <v>1.0965670000000001</v>
      </c>
      <c r="D45" s="10"/>
      <c r="E45" s="19"/>
      <c r="F45" s="10"/>
      <c r="G45" s="28"/>
      <c r="H45" s="109"/>
    </row>
    <row r="46" spans="1:10" ht="13" customHeight="1">
      <c r="A46" s="137" t="s">
        <v>316</v>
      </c>
      <c r="B46" s="111"/>
      <c r="C46" s="36"/>
      <c r="D46" s="64" t="s">
        <v>113</v>
      </c>
      <c r="E46" s="8">
        <v>2.8</v>
      </c>
      <c r="F46" s="66" t="s">
        <v>114</v>
      </c>
      <c r="G46" s="37">
        <v>31.9</v>
      </c>
      <c r="H46" s="111"/>
    </row>
    <row r="47" spans="1:10" ht="13" customHeight="1">
      <c r="A47" s="144" t="s">
        <v>90</v>
      </c>
      <c r="B47" s="83"/>
      <c r="C47" s="36"/>
      <c r="D47" s="64" t="s">
        <v>25</v>
      </c>
      <c r="E47" s="8">
        <f>2266641/1000000</f>
        <v>2.2666409999999999</v>
      </c>
      <c r="F47" s="10"/>
      <c r="G47" s="28"/>
      <c r="H47" s="109"/>
    </row>
    <row r="48" spans="1:10" ht="13" customHeight="1">
      <c r="A48" s="376" t="s">
        <v>91</v>
      </c>
      <c r="B48" s="84"/>
      <c r="C48" s="19"/>
      <c r="D48" s="64" t="s">
        <v>27</v>
      </c>
      <c r="E48" s="8">
        <f>2637926/1000000</f>
        <v>2.6379260000000002</v>
      </c>
      <c r="F48" s="66" t="s">
        <v>82</v>
      </c>
      <c r="G48" s="37">
        <f>34739763/1000000</f>
        <v>34.739763000000004</v>
      </c>
      <c r="H48" s="109"/>
    </row>
    <row r="49" spans="1:9" ht="13" customHeight="1">
      <c r="A49" s="376"/>
      <c r="B49" s="10"/>
      <c r="C49" s="32"/>
      <c r="D49" s="64" t="s">
        <v>26</v>
      </c>
      <c r="E49" s="8">
        <f>11854907/1000000</f>
        <v>11.854907000000001</v>
      </c>
      <c r="H49" s="109"/>
    </row>
    <row r="50" spans="1:9" ht="13" customHeight="1">
      <c r="A50" s="137" t="s">
        <v>58</v>
      </c>
      <c r="B50" s="111"/>
      <c r="C50" s="36"/>
      <c r="D50" s="64" t="s">
        <v>118</v>
      </c>
      <c r="E50" s="8">
        <v>6.7</v>
      </c>
      <c r="F50" s="66" t="s">
        <v>116</v>
      </c>
      <c r="G50" s="37">
        <v>62.6</v>
      </c>
      <c r="H50" s="298" t="s">
        <v>119</v>
      </c>
      <c r="I50" s="299" t="s">
        <v>330</v>
      </c>
    </row>
  </sheetData>
  <sortState ref="A2:G50">
    <sortCondition ref="A2:A50"/>
    <sortCondition ref="G2:G50"/>
  </sortState>
  <mergeCells count="11">
    <mergeCell ref="A48:A49"/>
    <mergeCell ref="D1:E1"/>
    <mergeCell ref="F1:G1"/>
    <mergeCell ref="H1:I1"/>
    <mergeCell ref="B1:C1"/>
    <mergeCell ref="A4:A5"/>
    <mergeCell ref="A9:A11"/>
    <mergeCell ref="A16:A17"/>
    <mergeCell ref="A29:A30"/>
    <mergeCell ref="A26:A28"/>
    <mergeCell ref="A39:A42"/>
  </mergeCells>
  <phoneticPr fontId="2" type="noConversion"/>
  <hyperlinks>
    <hyperlink ref="A3" r:id="rId1" display="http://www.ensembl.org/Gallus_gallus/mapview?chr=12"/>
    <hyperlink ref="B3" r:id="rId2" display="http://www.ensembl.org/Gallus_gallus/contigview?chr=12&amp;vc_start=7278350&amp;vc_end=7443142"/>
    <hyperlink ref="C3" r:id="rId3" display="http://www.ensembl.org/Gallus_gallus/Gene/Summary?db=core;g=ENSGALG00000005332"/>
    <hyperlink ref="D3" r:id="rId4" display="http://www.ensembl.org/Gallus_gallus/Transcript/Summary?db=core;t=ENSGALT00000008554"/>
    <hyperlink ref="E3" r:id="rId5" display="http://www.ensembl.org/Gallus_gallus/geneview?gene=CAC1D_CHICK"/>
    <hyperlink ref="A7" r:id="rId6" display="http://www.ensembl.org/Gallus_gallus/mapview?chr=18"/>
    <hyperlink ref="B7" r:id="rId7" display="http://www.ensembl.org/Gallus_gallus/contigview?chr=18&amp;vc_start=10149700&amp;vc_end=10255707"/>
    <hyperlink ref="C7" r:id="rId8" display="http://www.ensembl.org/Gallus_gallus/Gene/Summary?db=core;g=ENSGALG00000007623"/>
    <hyperlink ref="D7" r:id="rId9" display="http://www.ensembl.org/Gallus_gallus/Transcript/Summary?db=core;t=ENSGALT00000012332"/>
    <hyperlink ref="E7" r:id="rId10" display="http://www.ensembl.org/Gallus_gallus/geneview?gene=CACNA1G"/>
    <hyperlink ref="A22" r:id="rId11" display="http://www.ensembl.org/Gallus_gallus/mapview?chr=1"/>
    <hyperlink ref="B22" r:id="rId12" display="http://www.ensembl.org/Gallus_gallus/contigview?chr=1&amp;vc_start=52304376&amp;vc_end=52390537"/>
    <hyperlink ref="C22" r:id="rId13" display="http://www.ensembl.org/Gallus_gallus/Gene/Summary?db=core;g=ENSGALG00000012122"/>
    <hyperlink ref="D22" r:id="rId14" display="http://www.ensembl.org/Gallus_gallus/Transcript/Summary?db=core;t=ENSGALT00000019796"/>
    <hyperlink ref="E22" r:id="rId15" display="http://www.ensembl.org/Gallus_gallus/geneview?gene=CACNA1I"/>
    <hyperlink ref="B45" r:id="rId16" display="http://www.ensembl.org/Gallus_gallus/Location/View?db=core;g=ENSGALG00000013022;r=1:63342810-63728673;t=ENSGALT00000021249"/>
    <hyperlink ref="A45" r:id="rId17" display="http://www.ensembl.org/Gallus_gallus/Location/View?db=core;g=ENSGALG00000013022;r=1:63342810-63728661;t=ENSGALT00000021249"/>
    <hyperlink ref="E45" r:id="rId18" display="http://www.uniprot.org/uniprot/?query=O73707&amp;sort=score"/>
    <hyperlink ref="D45" r:id="rId19" display="http://www.ensembl.org/Gallus_gallus/Transcript/Summary?db=core;g=ENSGALG00000013022;r=1:63342810-63728661;t=ENSGALT00000021249"/>
    <hyperlink ref="C45" r:id="rId20" display="http://www.ensembl.org/Gallus_gallus/Gene/Summary?db=core;g=ENSGALG00000013022;r=1:63342810-63728661;t=ENSGALT00000021249"/>
  </hyperlinks>
  <pageMargins left="0.71" right="0.71" top="0.75000000000000011" bottom="0.75000000000000011" header="0.31" footer="0.31"/>
  <pageSetup paperSize="9" scale="60" orientation="landscape"/>
  <drawing r:id="rId2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U59"/>
  <sheetViews>
    <sheetView workbookViewId="0">
      <pane xSplit="1" ySplit="1" topLeftCell="B2" activePane="bottomRight" state="frozen"/>
      <selection pane="topRight" activeCell="B1" sqref="B1"/>
      <selection pane="bottomLeft" activeCell="A2" sqref="A2"/>
      <selection pane="bottomRight" activeCell="L35" sqref="L35"/>
    </sheetView>
  </sheetViews>
  <sheetFormatPr baseColWidth="10" defaultColWidth="11" defaultRowHeight="13" customHeight="1" x14ac:dyDescent="0"/>
  <cols>
    <col min="1" max="1" width="9.140625" style="259" bestFit="1" customWidth="1"/>
    <col min="2" max="2" width="16.85546875" style="277" customWidth="1"/>
    <col min="3" max="3" width="8.7109375" style="278" customWidth="1"/>
    <col min="4" max="4" width="5.85546875" style="290" customWidth="1"/>
    <col min="5" max="5" width="16.85546875" style="277" customWidth="1"/>
    <col min="6" max="6" width="8.7109375" style="278" customWidth="1"/>
    <col min="7" max="7" width="5.85546875" style="290" customWidth="1"/>
    <col min="8" max="8" width="16.85546875" style="280" customWidth="1"/>
    <col min="9" max="9" width="8.7109375" style="281" customWidth="1"/>
    <col min="10" max="10" width="5.85546875" style="290" customWidth="1"/>
    <col min="11" max="11" width="16.85546875" style="277" customWidth="1"/>
    <col min="12" max="12" width="8.7109375" style="278" customWidth="1"/>
    <col min="13" max="13" width="5.85546875" style="290" customWidth="1"/>
    <col min="14" max="14" width="16.85546875" style="277" customWidth="1"/>
    <col min="15" max="15" width="8.7109375" style="278" customWidth="1"/>
    <col min="16" max="16" width="10.7109375" style="283" customWidth="1"/>
    <col min="17" max="17" width="10.85546875" style="259" customWidth="1"/>
    <col min="18" max="18" width="11" style="259"/>
    <col min="19" max="19" width="6.85546875" style="259" customWidth="1"/>
    <col min="20" max="20" width="10.42578125" style="259" customWidth="1"/>
    <col min="21" max="16384" width="11" style="259"/>
  </cols>
  <sheetData>
    <row r="1" spans="1:21" ht="41" customHeight="1">
      <c r="A1" s="295" t="s">
        <v>83</v>
      </c>
      <c r="B1" s="380" t="s">
        <v>286</v>
      </c>
      <c r="C1" s="389"/>
      <c r="D1" s="382"/>
      <c r="E1" s="380" t="s">
        <v>287</v>
      </c>
      <c r="F1" s="389"/>
      <c r="G1" s="382"/>
      <c r="H1" s="383" t="s">
        <v>288</v>
      </c>
      <c r="I1" s="395"/>
      <c r="J1" s="384"/>
      <c r="K1" s="380" t="s">
        <v>285</v>
      </c>
      <c r="L1" s="389"/>
      <c r="M1" s="382"/>
      <c r="N1" s="380" t="s">
        <v>332</v>
      </c>
      <c r="O1" s="389"/>
      <c r="P1" s="382"/>
      <c r="Q1" s="49"/>
      <c r="R1" s="50"/>
      <c r="S1" s="258"/>
    </row>
    <row r="2" spans="1:21" ht="13" customHeight="1">
      <c r="A2" s="135" t="s">
        <v>225</v>
      </c>
      <c r="B2" s="49"/>
      <c r="C2" s="246"/>
      <c r="D2" s="52"/>
      <c r="E2" s="3" t="s">
        <v>227</v>
      </c>
      <c r="F2" s="88" t="s">
        <v>11</v>
      </c>
      <c r="G2" s="8">
        <v>46.391148999999999</v>
      </c>
      <c r="H2" s="57" t="s">
        <v>228</v>
      </c>
      <c r="I2" s="249" t="s">
        <v>72</v>
      </c>
      <c r="J2" s="9">
        <v>33.495350000000002</v>
      </c>
      <c r="K2" s="16" t="s">
        <v>226</v>
      </c>
      <c r="L2" s="253" t="s">
        <v>29</v>
      </c>
      <c r="M2" s="30">
        <v>11.648698</v>
      </c>
      <c r="N2" s="49"/>
      <c r="O2" s="246"/>
      <c r="P2" s="256"/>
      <c r="Q2" s="53"/>
      <c r="R2" s="54"/>
      <c r="S2" s="224"/>
    </row>
    <row r="3" spans="1:21" ht="13" customHeight="1">
      <c r="A3" s="135" t="s">
        <v>212</v>
      </c>
      <c r="B3" s="260"/>
      <c r="C3" s="261"/>
      <c r="D3" s="52"/>
      <c r="E3" s="260"/>
      <c r="F3" s="261"/>
      <c r="G3" s="52"/>
      <c r="H3" s="56"/>
      <c r="I3" s="250"/>
      <c r="J3" s="50"/>
      <c r="K3" s="260"/>
      <c r="L3" s="261"/>
      <c r="M3" s="52"/>
      <c r="N3" s="57" t="s">
        <v>213</v>
      </c>
      <c r="O3" s="249" t="s">
        <v>73</v>
      </c>
      <c r="P3" s="9" t="s">
        <v>422</v>
      </c>
      <c r="Q3" s="49"/>
      <c r="R3" s="50"/>
      <c r="S3" s="258"/>
    </row>
    <row r="4" spans="1:21" ht="13" customHeight="1">
      <c r="A4" s="136" t="s">
        <v>388</v>
      </c>
      <c r="B4" s="5" t="s">
        <v>196</v>
      </c>
      <c r="C4" s="91" t="s">
        <v>1</v>
      </c>
      <c r="D4" s="70">
        <v>33.216693999999997</v>
      </c>
      <c r="E4" s="49"/>
      <c r="F4" s="246"/>
      <c r="G4" s="50"/>
      <c r="H4" s="57" t="s">
        <v>197</v>
      </c>
      <c r="I4" s="252" t="s">
        <v>74</v>
      </c>
      <c r="J4" s="74">
        <v>39.659024000000002</v>
      </c>
      <c r="K4" s="49"/>
      <c r="L4" s="246"/>
      <c r="M4" s="52"/>
      <c r="N4" s="49"/>
      <c r="O4" s="246"/>
      <c r="P4" s="256"/>
      <c r="Q4" s="49"/>
      <c r="R4" s="50"/>
      <c r="S4" s="262"/>
    </row>
    <row r="5" spans="1:21" ht="13" customHeight="1">
      <c r="A5" s="390" t="s">
        <v>174</v>
      </c>
      <c r="B5" s="49"/>
      <c r="C5" s="246"/>
      <c r="D5" s="52"/>
      <c r="E5" s="3" t="s">
        <v>192</v>
      </c>
      <c r="F5" s="88" t="s">
        <v>155</v>
      </c>
      <c r="G5" s="8">
        <v>49.663189000000003</v>
      </c>
      <c r="H5" s="57" t="s">
        <v>193</v>
      </c>
      <c r="I5" s="249" t="s">
        <v>156</v>
      </c>
      <c r="J5" s="9">
        <v>9.1495350000000002</v>
      </c>
      <c r="K5" s="260"/>
      <c r="L5" s="261"/>
      <c r="M5" s="52"/>
      <c r="N5" s="260"/>
      <c r="O5" s="261"/>
      <c r="P5" s="263"/>
      <c r="Q5" s="49"/>
      <c r="R5" s="50"/>
      <c r="S5" s="258"/>
    </row>
    <row r="6" spans="1:21" ht="13" customHeight="1">
      <c r="A6" s="391"/>
      <c r="B6" s="49"/>
      <c r="C6" s="246"/>
      <c r="D6" s="52"/>
      <c r="E6" s="3" t="s">
        <v>194</v>
      </c>
      <c r="F6" s="88" t="s">
        <v>173</v>
      </c>
      <c r="G6" s="8">
        <v>48.401929000000003</v>
      </c>
      <c r="H6" s="57" t="s">
        <v>195</v>
      </c>
      <c r="I6" s="249" t="s">
        <v>172</v>
      </c>
      <c r="J6" s="9">
        <v>40.141725999999998</v>
      </c>
      <c r="K6" s="260"/>
      <c r="L6" s="261"/>
      <c r="M6" s="52"/>
      <c r="N6" s="260"/>
      <c r="O6" s="261"/>
      <c r="P6" s="263"/>
      <c r="Q6" s="49"/>
      <c r="R6" s="50"/>
      <c r="S6" s="258"/>
    </row>
    <row r="7" spans="1:21" ht="13" customHeight="1">
      <c r="A7" s="135" t="s">
        <v>13</v>
      </c>
      <c r="B7" s="5" t="s">
        <v>273</v>
      </c>
      <c r="C7" s="87" t="s">
        <v>2</v>
      </c>
      <c r="D7" s="7">
        <v>32.794407999999997</v>
      </c>
      <c r="E7" s="3" t="s">
        <v>274</v>
      </c>
      <c r="F7" s="88" t="s">
        <v>13</v>
      </c>
      <c r="G7" s="8">
        <v>25.764607000000002</v>
      </c>
      <c r="H7" s="57" t="s">
        <v>275</v>
      </c>
      <c r="I7" s="249" t="s">
        <v>64</v>
      </c>
      <c r="J7" s="9">
        <v>14.595451000000001</v>
      </c>
      <c r="K7" s="49"/>
      <c r="L7" s="246"/>
      <c r="M7" s="52"/>
      <c r="N7" s="49"/>
      <c r="O7" s="246"/>
      <c r="P7" s="256"/>
      <c r="Q7" s="49"/>
      <c r="R7" s="50"/>
      <c r="S7" s="258"/>
    </row>
    <row r="8" spans="1:21" ht="13" customHeight="1">
      <c r="A8" s="135" t="s">
        <v>84</v>
      </c>
      <c r="B8" s="5" t="s">
        <v>229</v>
      </c>
      <c r="C8" s="87" t="s">
        <v>3</v>
      </c>
      <c r="D8" s="7">
        <v>33.992469</v>
      </c>
      <c r="E8" s="49"/>
      <c r="F8" s="246"/>
      <c r="G8" s="50"/>
      <c r="H8" s="57" t="s">
        <v>230</v>
      </c>
      <c r="I8" s="249" t="s">
        <v>75</v>
      </c>
      <c r="J8" s="9">
        <v>14.895600999999999</v>
      </c>
      <c r="K8" s="49"/>
      <c r="L8" s="246"/>
      <c r="M8" s="52"/>
      <c r="N8" s="49"/>
      <c r="O8" s="246"/>
      <c r="P8" s="256"/>
      <c r="Q8" s="49"/>
      <c r="R8" s="50"/>
      <c r="S8" s="258"/>
    </row>
    <row r="9" spans="1:21" ht="13" customHeight="1">
      <c r="A9" s="135" t="s">
        <v>123</v>
      </c>
      <c r="B9" s="49"/>
      <c r="C9" s="246"/>
      <c r="D9" s="52"/>
      <c r="E9" s="260"/>
      <c r="F9" s="261"/>
      <c r="G9" s="52"/>
      <c r="H9" s="57" t="s">
        <v>276</v>
      </c>
      <c r="I9" s="249" t="s">
        <v>126</v>
      </c>
      <c r="J9" s="9">
        <v>23.589735000000001</v>
      </c>
      <c r="K9" s="49"/>
      <c r="L9" s="246"/>
      <c r="M9" s="52"/>
      <c r="N9" s="260"/>
      <c r="O9" s="261"/>
      <c r="P9" s="263"/>
      <c r="Q9" s="49"/>
      <c r="R9" s="50"/>
      <c r="S9" s="224"/>
    </row>
    <row r="10" spans="1:21" ht="13" customHeight="1">
      <c r="A10" s="390" t="s">
        <v>198</v>
      </c>
      <c r="B10" s="5" t="s">
        <v>199</v>
      </c>
      <c r="C10" s="87" t="s">
        <v>4</v>
      </c>
      <c r="D10" s="7">
        <v>34.379707000000003</v>
      </c>
      <c r="E10" s="3" t="s">
        <v>200</v>
      </c>
      <c r="F10" s="88" t="s">
        <v>16</v>
      </c>
      <c r="G10" s="8">
        <v>20.365134999999999</v>
      </c>
      <c r="H10" s="264"/>
      <c r="I10" s="265"/>
      <c r="J10" s="266"/>
      <c r="K10" s="260"/>
      <c r="L10" s="261"/>
      <c r="M10" s="52"/>
      <c r="N10" s="1" t="s">
        <v>201</v>
      </c>
      <c r="O10" s="248" t="s">
        <v>76</v>
      </c>
      <c r="P10" s="122" t="s">
        <v>423</v>
      </c>
      <c r="Q10" s="49"/>
      <c r="R10" s="50"/>
      <c r="S10" s="258"/>
    </row>
    <row r="11" spans="1:21" ht="13" customHeight="1">
      <c r="A11" s="391"/>
      <c r="B11" s="57" t="s">
        <v>202</v>
      </c>
      <c r="C11" s="249" t="s">
        <v>65</v>
      </c>
      <c r="D11" s="9">
        <v>8.0092309999999998</v>
      </c>
      <c r="E11" s="3" t="s">
        <v>203</v>
      </c>
      <c r="F11" s="88" t="s">
        <v>17</v>
      </c>
      <c r="G11" s="8">
        <v>21.292978999999999</v>
      </c>
      <c r="H11" s="264"/>
      <c r="I11" s="265"/>
      <c r="J11" s="266"/>
      <c r="K11" s="260"/>
      <c r="L11" s="261"/>
      <c r="M11" s="52"/>
      <c r="N11" s="260"/>
      <c r="O11" s="261"/>
      <c r="P11" s="263"/>
      <c r="Q11" s="49"/>
      <c r="R11" s="50"/>
      <c r="S11" s="258"/>
    </row>
    <row r="12" spans="1:21" ht="13" customHeight="1">
      <c r="A12" s="135" t="s">
        <v>267</v>
      </c>
      <c r="B12" s="49"/>
      <c r="C12" s="246"/>
      <c r="D12" s="52"/>
      <c r="E12" s="49"/>
      <c r="F12" s="246"/>
      <c r="G12" s="50"/>
      <c r="H12" s="58" t="s">
        <v>268</v>
      </c>
      <c r="I12" s="251" t="s">
        <v>18</v>
      </c>
      <c r="J12" s="8">
        <v>11.29931</v>
      </c>
      <c r="K12" s="260"/>
      <c r="L12" s="261"/>
      <c r="M12" s="52"/>
      <c r="N12" s="260"/>
      <c r="O12" s="261"/>
      <c r="P12" s="263"/>
      <c r="Q12" s="49"/>
      <c r="R12" s="50"/>
      <c r="S12" s="258"/>
    </row>
    <row r="13" spans="1:21" ht="13" customHeight="1">
      <c r="A13" s="135" t="s">
        <v>85</v>
      </c>
      <c r="B13" s="49"/>
      <c r="C13" s="246"/>
      <c r="D13" s="52"/>
      <c r="E13" s="49"/>
      <c r="F13" s="246"/>
      <c r="G13" s="50"/>
      <c r="H13" s="57" t="s">
        <v>191</v>
      </c>
      <c r="I13" s="249" t="s">
        <v>77</v>
      </c>
      <c r="J13" s="9">
        <v>40.510500999999998</v>
      </c>
      <c r="K13" s="51"/>
      <c r="L13" s="254"/>
      <c r="M13" s="50"/>
      <c r="N13" s="55"/>
      <c r="O13" s="255"/>
      <c r="P13" s="257"/>
      <c r="Q13" s="49"/>
      <c r="R13" s="50"/>
      <c r="S13" s="262"/>
    </row>
    <row r="14" spans="1:21" ht="13" customHeight="1">
      <c r="A14" s="135" t="s">
        <v>265</v>
      </c>
      <c r="B14" s="49"/>
      <c r="C14" s="246"/>
      <c r="D14" s="52"/>
      <c r="E14" s="49"/>
      <c r="F14" s="246"/>
      <c r="G14" s="50"/>
      <c r="H14" s="57" t="s">
        <v>266</v>
      </c>
      <c r="I14" s="249" t="s">
        <v>69</v>
      </c>
      <c r="J14" s="9">
        <v>15.659744999999999</v>
      </c>
      <c r="K14" s="260"/>
      <c r="L14" s="261"/>
      <c r="M14" s="52"/>
      <c r="N14" s="49"/>
      <c r="O14" s="246"/>
      <c r="P14" s="256"/>
      <c r="Q14" s="53"/>
      <c r="R14" s="54"/>
      <c r="S14" s="267"/>
    </row>
    <row r="15" spans="1:21" ht="13" customHeight="1">
      <c r="A15" s="136" t="s">
        <v>175</v>
      </c>
      <c r="B15" s="5" t="s">
        <v>238</v>
      </c>
      <c r="C15" s="91" t="s">
        <v>128</v>
      </c>
      <c r="D15" s="70">
        <v>36.259596999999999</v>
      </c>
      <c r="E15" s="3" t="s">
        <v>239</v>
      </c>
      <c r="F15" s="92" t="s">
        <v>129</v>
      </c>
      <c r="G15" s="72">
        <v>26.809497</v>
      </c>
      <c r="H15" s="57" t="s">
        <v>240</v>
      </c>
      <c r="I15" s="252" t="s">
        <v>130</v>
      </c>
      <c r="J15" s="74">
        <v>21.666899000000001</v>
      </c>
      <c r="K15" s="49"/>
      <c r="L15" s="246"/>
      <c r="M15" s="52"/>
      <c r="N15" s="260"/>
      <c r="O15" s="261"/>
      <c r="P15" s="263"/>
      <c r="Q15" s="49"/>
      <c r="R15" s="50"/>
      <c r="S15" s="258"/>
    </row>
    <row r="16" spans="1:21" ht="13" customHeight="1">
      <c r="A16" s="136" t="s">
        <v>176</v>
      </c>
      <c r="B16" s="49"/>
      <c r="C16" s="246"/>
      <c r="D16" s="52"/>
      <c r="E16" s="3" t="s">
        <v>241</v>
      </c>
      <c r="F16" s="92" t="s">
        <v>178</v>
      </c>
      <c r="G16" s="72">
        <v>27.607955</v>
      </c>
      <c r="H16" s="264"/>
      <c r="I16" s="265"/>
      <c r="J16" s="266"/>
      <c r="K16" s="49"/>
      <c r="L16" s="246"/>
      <c r="M16" s="52"/>
      <c r="N16" s="260"/>
      <c r="O16" s="261"/>
      <c r="P16" s="263"/>
      <c r="Q16" s="49"/>
      <c r="R16" s="108"/>
      <c r="S16" s="108"/>
      <c r="T16" s="108"/>
      <c r="U16" s="108"/>
    </row>
    <row r="17" spans="1:21" ht="13" customHeight="1">
      <c r="A17" s="135" t="s">
        <v>204</v>
      </c>
      <c r="B17" s="49"/>
      <c r="C17" s="246"/>
      <c r="D17" s="52"/>
      <c r="E17" s="3" t="s">
        <v>205</v>
      </c>
      <c r="F17" s="88" t="s">
        <v>21</v>
      </c>
      <c r="G17" s="8">
        <v>21.743887999999998</v>
      </c>
      <c r="H17" s="56"/>
      <c r="I17" s="250"/>
      <c r="J17" s="50"/>
      <c r="K17" s="260"/>
      <c r="L17" s="261"/>
      <c r="M17" s="52"/>
      <c r="N17" s="1" t="s">
        <v>206</v>
      </c>
      <c r="O17" s="248" t="s">
        <v>78</v>
      </c>
      <c r="P17" s="122" t="s">
        <v>424</v>
      </c>
      <c r="Q17" s="49"/>
      <c r="R17" s="108"/>
      <c r="S17" s="108"/>
      <c r="T17" s="108"/>
    </row>
    <row r="18" spans="1:21" ht="13" customHeight="1">
      <c r="A18" s="135" t="s">
        <v>223</v>
      </c>
      <c r="B18" s="260"/>
      <c r="C18" s="261"/>
      <c r="D18" s="52"/>
      <c r="E18" s="260"/>
      <c r="F18" s="261"/>
      <c r="G18" s="52"/>
      <c r="H18" s="57" t="s">
        <v>224</v>
      </c>
      <c r="I18" s="249" t="s">
        <v>81</v>
      </c>
      <c r="J18" s="9">
        <v>36.365197999999999</v>
      </c>
      <c r="K18" s="49"/>
      <c r="L18" s="246"/>
      <c r="M18" s="52"/>
      <c r="N18" s="260"/>
      <c r="O18" s="261"/>
      <c r="P18" s="263"/>
      <c r="Q18" s="49"/>
      <c r="R18" s="108"/>
      <c r="S18" s="108"/>
    </row>
    <row r="19" spans="1:21" ht="13" customHeight="1">
      <c r="A19" s="135" t="s">
        <v>86</v>
      </c>
      <c r="B19" s="49"/>
      <c r="C19" s="246"/>
      <c r="D19" s="52"/>
      <c r="E19" s="3" t="s">
        <v>188</v>
      </c>
      <c r="F19" s="88" t="s">
        <v>22</v>
      </c>
      <c r="G19" s="8">
        <v>47.175069000000001</v>
      </c>
      <c r="H19" s="56"/>
      <c r="I19" s="250"/>
      <c r="J19" s="50"/>
      <c r="K19" s="51"/>
      <c r="L19" s="254"/>
      <c r="M19" s="50"/>
      <c r="N19" s="49"/>
      <c r="O19" s="246"/>
      <c r="P19" s="256"/>
      <c r="Q19" s="49"/>
      <c r="R19" s="108"/>
      <c r="S19" s="108"/>
      <c r="T19" s="108"/>
      <c r="U19" s="108"/>
    </row>
    <row r="20" spans="1:21" ht="13" customHeight="1">
      <c r="A20" s="135" t="s">
        <v>87</v>
      </c>
      <c r="B20" s="5" t="s">
        <v>189</v>
      </c>
      <c r="C20" s="87" t="s">
        <v>6</v>
      </c>
      <c r="D20" s="7">
        <v>26.539026</v>
      </c>
      <c r="E20" s="49"/>
      <c r="F20" s="246"/>
      <c r="G20" s="50"/>
      <c r="H20" s="57" t="s">
        <v>190</v>
      </c>
      <c r="I20" s="249" t="s">
        <v>80</v>
      </c>
      <c r="J20" s="9">
        <v>47.796109000000001</v>
      </c>
      <c r="K20" s="49"/>
      <c r="L20" s="246"/>
      <c r="M20" s="52"/>
      <c r="N20" s="49"/>
      <c r="O20" s="246"/>
      <c r="P20" s="256"/>
      <c r="Q20" s="49"/>
      <c r="R20" s="108"/>
      <c r="S20" s="108"/>
      <c r="U20" s="108"/>
    </row>
    <row r="21" spans="1:21" ht="13" customHeight="1">
      <c r="A21" s="135" t="s">
        <v>88</v>
      </c>
      <c r="B21" s="5" t="s">
        <v>277</v>
      </c>
      <c r="C21" s="87" t="s">
        <v>7</v>
      </c>
      <c r="D21" s="7">
        <v>34.146644999999999</v>
      </c>
      <c r="E21" s="3" t="s">
        <v>278</v>
      </c>
      <c r="F21" s="88" t="s">
        <v>23</v>
      </c>
      <c r="G21" s="8">
        <v>40.664731000000003</v>
      </c>
      <c r="H21" s="56"/>
      <c r="I21" s="250"/>
      <c r="J21" s="52"/>
      <c r="K21" s="49"/>
      <c r="L21" s="246"/>
      <c r="M21" s="52"/>
      <c r="N21" s="49"/>
      <c r="O21" s="246"/>
      <c r="P21" s="256"/>
      <c r="Q21" s="49"/>
      <c r="R21" s="108"/>
      <c r="S21" s="108"/>
      <c r="T21" s="81"/>
      <c r="U21" s="108"/>
    </row>
    <row r="22" spans="1:21" ht="13" customHeight="1">
      <c r="A22" s="135" t="s">
        <v>255</v>
      </c>
      <c r="B22" s="5" t="s">
        <v>256</v>
      </c>
      <c r="C22" s="87" t="s">
        <v>8</v>
      </c>
      <c r="D22" s="7">
        <v>34.452483000000001</v>
      </c>
      <c r="E22" s="49"/>
      <c r="F22" s="246"/>
      <c r="G22" s="50"/>
      <c r="H22" s="264"/>
      <c r="I22" s="265"/>
      <c r="J22" s="266"/>
      <c r="K22" s="49"/>
      <c r="L22" s="246"/>
      <c r="M22" s="52"/>
      <c r="N22" s="1" t="s">
        <v>257</v>
      </c>
      <c r="O22" s="248" t="s">
        <v>70</v>
      </c>
      <c r="P22" s="122" t="s">
        <v>425</v>
      </c>
      <c r="Q22" s="49"/>
      <c r="R22" s="268"/>
      <c r="S22" s="268"/>
      <c r="T22" s="269"/>
      <c r="U22" s="268"/>
    </row>
    <row r="23" spans="1:21" ht="13" customHeight="1">
      <c r="A23" s="135" t="s">
        <v>258</v>
      </c>
      <c r="B23" s="5" t="s">
        <v>259</v>
      </c>
      <c r="C23" s="87" t="s">
        <v>95</v>
      </c>
      <c r="D23" s="7">
        <v>34.662908000000002</v>
      </c>
      <c r="E23" s="3" t="s">
        <v>260</v>
      </c>
      <c r="F23" s="88" t="s">
        <v>96</v>
      </c>
      <c r="G23" s="8">
        <v>27.923069999999999</v>
      </c>
      <c r="H23" s="57" t="s">
        <v>261</v>
      </c>
      <c r="I23" s="249" t="s">
        <v>97</v>
      </c>
      <c r="J23" s="9">
        <v>18.785252</v>
      </c>
      <c r="K23" s="49"/>
      <c r="L23" s="246"/>
      <c r="M23" s="52"/>
      <c r="N23" s="260"/>
      <c r="O23" s="261"/>
      <c r="P23" s="263"/>
      <c r="Q23" s="49"/>
      <c r="R23" s="270"/>
      <c r="S23" s="270"/>
      <c r="T23" s="271"/>
      <c r="U23" s="270"/>
    </row>
    <row r="24" spans="1:21" ht="13" customHeight="1">
      <c r="A24" s="135" t="s">
        <v>141</v>
      </c>
      <c r="B24" s="49"/>
      <c r="C24" s="246"/>
      <c r="D24" s="52"/>
      <c r="E24" s="3" t="s">
        <v>236</v>
      </c>
      <c r="F24" s="88" t="s">
        <v>143</v>
      </c>
      <c r="G24" s="8">
        <v>23.504874000000001</v>
      </c>
      <c r="H24" s="57" t="s">
        <v>237</v>
      </c>
      <c r="I24" s="249" t="s">
        <v>144</v>
      </c>
      <c r="J24" s="9">
        <v>21.200043999999998</v>
      </c>
      <c r="K24" s="49"/>
      <c r="L24" s="246"/>
      <c r="M24" s="52"/>
      <c r="N24" s="260"/>
      <c r="O24" s="261"/>
      <c r="P24" s="263"/>
      <c r="Q24" s="49"/>
      <c r="R24" s="50"/>
      <c r="S24" s="224"/>
    </row>
    <row r="25" spans="1:21" ht="13" customHeight="1">
      <c r="A25" s="392" t="s">
        <v>177</v>
      </c>
      <c r="B25" s="5" t="s">
        <v>290</v>
      </c>
      <c r="C25" s="91" t="s">
        <v>421</v>
      </c>
      <c r="D25" s="70">
        <v>36.6</v>
      </c>
      <c r="E25" s="3" t="s">
        <v>263</v>
      </c>
      <c r="F25" s="92" t="s">
        <v>450</v>
      </c>
      <c r="G25" s="72">
        <v>23.736048</v>
      </c>
      <c r="H25" s="57" t="s">
        <v>264</v>
      </c>
      <c r="I25" s="252" t="s">
        <v>452</v>
      </c>
      <c r="J25" s="74">
        <v>10.387217</v>
      </c>
      <c r="K25" s="16" t="s">
        <v>262</v>
      </c>
      <c r="L25" s="98" t="s">
        <v>394</v>
      </c>
      <c r="M25" s="76">
        <v>2.6060210000000001</v>
      </c>
      <c r="N25" s="272"/>
      <c r="O25" s="273"/>
      <c r="P25" s="274"/>
      <c r="Q25" s="49"/>
      <c r="R25" s="50"/>
      <c r="S25" s="258"/>
    </row>
    <row r="26" spans="1:21" ht="13" customHeight="1">
      <c r="A26" s="393"/>
      <c r="B26" s="49"/>
      <c r="C26" s="246"/>
      <c r="D26" s="52"/>
      <c r="E26" s="71" t="s">
        <v>307</v>
      </c>
      <c r="F26" s="92" t="s">
        <v>451</v>
      </c>
      <c r="G26" s="72">
        <v>40.5</v>
      </c>
      <c r="H26" s="293" t="s">
        <v>307</v>
      </c>
      <c r="I26" s="252" t="s">
        <v>453</v>
      </c>
      <c r="J26" s="74">
        <v>10.395996</v>
      </c>
      <c r="K26" s="16" t="s">
        <v>289</v>
      </c>
      <c r="L26" s="98" t="s">
        <v>310</v>
      </c>
      <c r="M26" s="76">
        <v>2.6</v>
      </c>
      <c r="N26" s="272"/>
      <c r="O26" s="273"/>
      <c r="P26" s="274"/>
      <c r="Q26" s="49"/>
      <c r="R26" s="50"/>
      <c r="S26" s="262"/>
    </row>
    <row r="27" spans="1:21" ht="13" customHeight="1">
      <c r="A27" s="136" t="s">
        <v>171</v>
      </c>
      <c r="B27" s="49"/>
      <c r="C27" s="246"/>
      <c r="D27" s="52"/>
      <c r="E27" s="3" t="s">
        <v>214</v>
      </c>
      <c r="F27" s="92" t="s">
        <v>185</v>
      </c>
      <c r="G27" s="72">
        <v>26.282966999999999</v>
      </c>
      <c r="H27" s="57" t="s">
        <v>215</v>
      </c>
      <c r="I27" s="252" t="s">
        <v>291</v>
      </c>
      <c r="J27" s="74">
        <v>47.459403999999999</v>
      </c>
      <c r="K27" s="49"/>
      <c r="L27" s="246"/>
      <c r="M27" s="52"/>
      <c r="N27" s="16" t="s">
        <v>216</v>
      </c>
      <c r="O27" s="98" t="s">
        <v>429</v>
      </c>
      <c r="P27" s="292" t="s">
        <v>426</v>
      </c>
      <c r="Q27" s="49"/>
      <c r="R27" s="50"/>
      <c r="S27" s="258"/>
    </row>
    <row r="28" spans="1:21" s="224" customFormat="1" ht="13" customHeight="1">
      <c r="A28" s="136"/>
      <c r="B28" s="49"/>
      <c r="C28" s="246"/>
      <c r="D28" s="52"/>
      <c r="E28" s="71" t="s">
        <v>307</v>
      </c>
      <c r="F28" s="92" t="s">
        <v>293</v>
      </c>
      <c r="G28" s="72">
        <v>28.12</v>
      </c>
      <c r="H28" s="31"/>
      <c r="I28" s="291"/>
      <c r="J28" s="204"/>
      <c r="K28" s="49"/>
      <c r="L28" s="246"/>
      <c r="M28" s="52"/>
      <c r="N28" s="293" t="s">
        <v>307</v>
      </c>
      <c r="O28" s="252" t="s">
        <v>292</v>
      </c>
      <c r="P28" s="244" t="s">
        <v>430</v>
      </c>
      <c r="Q28" s="49"/>
      <c r="R28" s="50"/>
      <c r="S28" s="258"/>
    </row>
    <row r="29" spans="1:21" ht="13" customHeight="1">
      <c r="A29" s="135" t="s">
        <v>234</v>
      </c>
      <c r="B29" s="260"/>
      <c r="C29" s="261"/>
      <c r="D29" s="52"/>
      <c r="E29" s="259"/>
      <c r="F29" s="259"/>
      <c r="G29" s="259"/>
      <c r="H29" s="57" t="s">
        <v>235</v>
      </c>
      <c r="I29" s="249" t="s">
        <v>147</v>
      </c>
      <c r="J29" s="9">
        <v>21.120089</v>
      </c>
      <c r="K29" s="49"/>
      <c r="L29" s="246"/>
      <c r="M29" s="52"/>
      <c r="N29" s="260"/>
      <c r="O29" s="261"/>
      <c r="P29" s="263"/>
      <c r="Q29" s="49"/>
      <c r="R29" s="50"/>
      <c r="S29" s="258"/>
    </row>
    <row r="30" spans="1:21" ht="13" customHeight="1">
      <c r="A30" s="135" t="s">
        <v>121</v>
      </c>
      <c r="B30" s="49"/>
      <c r="C30" s="246"/>
      <c r="D30" s="52"/>
      <c r="E30" s="3" t="s">
        <v>243</v>
      </c>
      <c r="F30" s="88" t="s">
        <v>165</v>
      </c>
      <c r="G30" s="8">
        <v>49.742167000000002</v>
      </c>
      <c r="H30" s="264"/>
      <c r="I30" s="265"/>
      <c r="J30" s="266"/>
      <c r="K30" s="307" t="s">
        <v>242</v>
      </c>
      <c r="L30" s="308" t="s">
        <v>121</v>
      </c>
      <c r="M30" s="309">
        <v>14.009612000000001</v>
      </c>
      <c r="N30" s="260"/>
      <c r="O30" s="261"/>
      <c r="P30" s="263"/>
      <c r="Q30" s="49"/>
      <c r="R30" s="50"/>
      <c r="S30" s="258"/>
    </row>
    <row r="31" spans="1:21" ht="13" customHeight="1">
      <c r="A31" s="135" t="s">
        <v>269</v>
      </c>
      <c r="B31" s="1" t="s">
        <v>270</v>
      </c>
      <c r="C31" s="248" t="s">
        <v>71</v>
      </c>
      <c r="D31" s="59">
        <v>30.662846999999999</v>
      </c>
      <c r="E31" s="3" t="s">
        <v>271</v>
      </c>
      <c r="F31" s="88" t="s">
        <v>24</v>
      </c>
      <c r="G31" s="8">
        <v>45.29495</v>
      </c>
      <c r="H31" s="57" t="s">
        <v>272</v>
      </c>
      <c r="I31" s="249" t="s">
        <v>71</v>
      </c>
      <c r="J31" s="9">
        <v>11.964257999999999</v>
      </c>
      <c r="K31" s="49"/>
      <c r="L31" s="246"/>
      <c r="M31" s="52"/>
      <c r="N31" s="49"/>
      <c r="O31" s="246"/>
      <c r="P31" s="256"/>
      <c r="Q31" s="49"/>
      <c r="R31" s="50"/>
      <c r="S31" s="258"/>
    </row>
    <row r="32" spans="1:21" ht="13" customHeight="1">
      <c r="A32" s="135" t="s">
        <v>218</v>
      </c>
      <c r="B32" s="49"/>
      <c r="C32" s="246"/>
      <c r="D32" s="52"/>
      <c r="E32" s="260"/>
      <c r="F32" s="261"/>
      <c r="G32" s="52"/>
      <c r="H32" s="57" t="s">
        <v>219</v>
      </c>
      <c r="I32" s="249" t="s">
        <v>140</v>
      </c>
      <c r="J32" s="9">
        <v>47.492542</v>
      </c>
      <c r="K32" s="49"/>
      <c r="L32" s="246"/>
      <c r="M32" s="52"/>
      <c r="N32" s="260"/>
      <c r="O32" s="261"/>
      <c r="P32" s="263"/>
      <c r="Q32" s="49"/>
      <c r="R32" s="50"/>
      <c r="S32" s="262"/>
    </row>
    <row r="33" spans="1:19" ht="13" customHeight="1">
      <c r="A33" s="135" t="s">
        <v>207</v>
      </c>
      <c r="B33" s="49"/>
      <c r="C33" s="246"/>
      <c r="D33" s="52"/>
      <c r="E33" s="3" t="s">
        <v>208</v>
      </c>
      <c r="F33" s="88" t="s">
        <v>99</v>
      </c>
      <c r="G33" s="8">
        <v>23.934317</v>
      </c>
      <c r="H33" s="56"/>
      <c r="I33" s="250"/>
      <c r="J33" s="50"/>
      <c r="K33" s="260"/>
      <c r="L33" s="261"/>
      <c r="M33" s="52"/>
      <c r="N33" s="1" t="s">
        <v>209</v>
      </c>
      <c r="O33" s="248" t="s">
        <v>100</v>
      </c>
      <c r="P33" s="122" t="s">
        <v>427</v>
      </c>
      <c r="Q33" s="49"/>
      <c r="R33" s="50"/>
      <c r="S33" s="262"/>
    </row>
    <row r="34" spans="1:19" ht="13" customHeight="1">
      <c r="A34" s="135" t="s">
        <v>231</v>
      </c>
      <c r="B34" s="260"/>
      <c r="C34" s="261"/>
      <c r="D34" s="52"/>
      <c r="E34" s="49"/>
      <c r="F34" s="246"/>
      <c r="G34" s="50"/>
      <c r="H34" s="57" t="s">
        <v>232</v>
      </c>
      <c r="I34" s="249" t="s">
        <v>153</v>
      </c>
      <c r="J34" s="9">
        <v>20.939005999999999</v>
      </c>
      <c r="K34" s="49"/>
      <c r="L34" s="246"/>
      <c r="M34" s="52"/>
      <c r="N34" s="260"/>
      <c r="O34" s="261"/>
      <c r="P34" s="263"/>
      <c r="Q34" s="49"/>
      <c r="R34" s="50"/>
      <c r="S34" s="258"/>
    </row>
    <row r="35" spans="1:19" ht="13" customHeight="1">
      <c r="A35" s="135" t="s">
        <v>279</v>
      </c>
      <c r="B35" s="5" t="s">
        <v>283</v>
      </c>
      <c r="C35" s="87" t="s">
        <v>135</v>
      </c>
      <c r="D35" s="7">
        <v>33.660812999999997</v>
      </c>
      <c r="E35" s="3" t="s">
        <v>284</v>
      </c>
      <c r="F35" s="88" t="s">
        <v>136</v>
      </c>
      <c r="G35" s="8">
        <v>43.157463999999997</v>
      </c>
      <c r="H35" s="264"/>
      <c r="I35" s="265"/>
      <c r="J35" s="266"/>
      <c r="K35" s="49"/>
      <c r="L35" s="246"/>
      <c r="M35" s="52"/>
      <c r="N35" s="260"/>
      <c r="O35" s="261"/>
      <c r="P35" s="263"/>
      <c r="Q35" s="49"/>
      <c r="R35" s="50"/>
      <c r="S35" s="258"/>
    </row>
    <row r="36" spans="1:19" ht="13" customHeight="1">
      <c r="A36" s="135" t="s">
        <v>148</v>
      </c>
      <c r="B36" s="5" t="s">
        <v>233</v>
      </c>
      <c r="C36" s="87" t="s">
        <v>149</v>
      </c>
      <c r="D36" s="7">
        <v>31.247539</v>
      </c>
      <c r="E36" s="49"/>
      <c r="F36" s="246"/>
      <c r="G36" s="50"/>
      <c r="H36" s="264"/>
      <c r="I36" s="265"/>
      <c r="J36" s="266"/>
      <c r="K36" s="49"/>
      <c r="L36" s="246"/>
      <c r="M36" s="52"/>
      <c r="N36" s="260"/>
      <c r="O36" s="261"/>
      <c r="P36" s="263"/>
      <c r="Q36" s="49"/>
      <c r="R36" s="50"/>
      <c r="S36" s="258"/>
    </row>
    <row r="37" spans="1:19" s="224" customFormat="1" ht="13" customHeight="1">
      <c r="A37" s="390" t="s">
        <v>244</v>
      </c>
      <c r="B37" s="49"/>
      <c r="C37" s="246"/>
      <c r="D37" s="52"/>
      <c r="E37" s="3" t="s">
        <v>247</v>
      </c>
      <c r="F37" s="88" t="s">
        <v>313</v>
      </c>
      <c r="G37" s="8">
        <v>27.502889</v>
      </c>
      <c r="H37" s="57" t="s">
        <v>248</v>
      </c>
      <c r="I37" s="249" t="s">
        <v>163</v>
      </c>
      <c r="J37" s="9">
        <v>21.760141999999998</v>
      </c>
      <c r="K37" s="260"/>
      <c r="L37" s="261"/>
      <c r="M37" s="52"/>
      <c r="N37" s="260"/>
      <c r="O37" s="261"/>
      <c r="P37" s="263"/>
      <c r="Q37" s="49"/>
      <c r="R37" s="50"/>
      <c r="S37" s="258"/>
    </row>
    <row r="38" spans="1:19" ht="13" customHeight="1">
      <c r="A38" s="394"/>
      <c r="B38" s="260"/>
      <c r="C38" s="261"/>
      <c r="D38" s="52"/>
      <c r="E38" s="49"/>
      <c r="F38" s="246" t="s">
        <v>158</v>
      </c>
      <c r="G38" s="50"/>
      <c r="H38" s="57" t="s">
        <v>251</v>
      </c>
      <c r="I38" s="249" t="s">
        <v>159</v>
      </c>
      <c r="J38" s="9">
        <v>34.022865000000003</v>
      </c>
      <c r="K38" s="260"/>
      <c r="L38" s="261"/>
      <c r="M38" s="52"/>
      <c r="N38" s="260"/>
      <c r="O38" s="261"/>
      <c r="P38" s="263"/>
      <c r="Q38" s="49"/>
      <c r="R38" s="50"/>
      <c r="S38" s="224"/>
    </row>
    <row r="39" spans="1:19" ht="13" customHeight="1">
      <c r="A39" s="394"/>
      <c r="B39" s="49"/>
      <c r="C39" s="246"/>
      <c r="D39" s="52"/>
      <c r="E39" s="3" t="s">
        <v>245</v>
      </c>
      <c r="F39" s="88" t="s">
        <v>160</v>
      </c>
      <c r="G39" s="8">
        <v>49.975203999999998</v>
      </c>
      <c r="H39" s="57" t="s">
        <v>246</v>
      </c>
      <c r="I39" s="249" t="s">
        <v>164</v>
      </c>
      <c r="J39" s="9">
        <v>34.210717000000002</v>
      </c>
      <c r="K39" s="260"/>
      <c r="L39" s="261"/>
      <c r="M39" s="52"/>
      <c r="N39" s="260"/>
      <c r="O39" s="261"/>
      <c r="P39" s="263"/>
      <c r="Q39" s="49"/>
      <c r="R39" s="50"/>
      <c r="S39" s="224"/>
    </row>
    <row r="40" spans="1:19" ht="13" customHeight="1">
      <c r="A40" s="391"/>
      <c r="B40" s="49"/>
      <c r="C40" s="246"/>
      <c r="D40" s="52"/>
      <c r="E40" s="3" t="s">
        <v>249</v>
      </c>
      <c r="F40" s="88"/>
      <c r="G40" s="8">
        <v>49.918027000000002</v>
      </c>
      <c r="H40" s="57" t="s">
        <v>250</v>
      </c>
      <c r="I40" s="249" t="s">
        <v>161</v>
      </c>
      <c r="J40" s="9">
        <v>34.477179999999997</v>
      </c>
      <c r="K40" s="260"/>
      <c r="L40" s="261"/>
      <c r="M40" s="52"/>
      <c r="N40" s="260"/>
      <c r="O40" s="261"/>
      <c r="P40" s="263"/>
      <c r="Q40" s="49"/>
      <c r="R40" s="50"/>
      <c r="S40" s="224"/>
    </row>
    <row r="41" spans="1:19" ht="13" customHeight="1">
      <c r="A41" s="135" t="s">
        <v>220</v>
      </c>
      <c r="B41" s="49"/>
      <c r="C41" s="246"/>
      <c r="D41" s="52"/>
      <c r="E41" s="3" t="s">
        <v>221</v>
      </c>
      <c r="F41" s="88" t="s">
        <v>105</v>
      </c>
      <c r="G41" s="8">
        <v>20.221533999999998</v>
      </c>
      <c r="H41" s="57" t="s">
        <v>222</v>
      </c>
      <c r="I41" s="249" t="s">
        <v>106</v>
      </c>
      <c r="J41" s="9">
        <v>47.055931999999999</v>
      </c>
      <c r="K41" s="49"/>
      <c r="L41" s="246"/>
      <c r="M41" s="52"/>
      <c r="N41" s="49"/>
      <c r="O41" s="246"/>
      <c r="P41" s="256"/>
      <c r="Q41" s="49"/>
      <c r="R41" s="50"/>
      <c r="S41" s="224"/>
    </row>
    <row r="42" spans="1:19" ht="13" customHeight="1">
      <c r="A42" s="135" t="s">
        <v>252</v>
      </c>
      <c r="B42" s="49"/>
      <c r="C42" s="246"/>
      <c r="D42" s="52"/>
      <c r="E42" s="3" t="s">
        <v>254</v>
      </c>
      <c r="F42" s="88" t="s">
        <v>109</v>
      </c>
      <c r="G42" s="8">
        <v>24.114053999999999</v>
      </c>
      <c r="H42" s="264"/>
      <c r="I42" s="265"/>
      <c r="J42" s="266"/>
      <c r="K42" s="16" t="s">
        <v>253</v>
      </c>
      <c r="L42" s="253" t="s">
        <v>111</v>
      </c>
      <c r="M42" s="30">
        <v>2.940842</v>
      </c>
      <c r="N42" s="49"/>
      <c r="O42" s="246"/>
      <c r="P42" s="256"/>
      <c r="Q42" s="49"/>
      <c r="R42" s="50"/>
    </row>
    <row r="43" spans="1:19" ht="13" customHeight="1">
      <c r="A43" s="135" t="s">
        <v>89</v>
      </c>
      <c r="B43" s="5" t="s">
        <v>281</v>
      </c>
      <c r="C43" s="87" t="s">
        <v>10</v>
      </c>
      <c r="D43" s="7">
        <v>26.455265000000001</v>
      </c>
      <c r="E43" s="49"/>
      <c r="F43" s="246"/>
      <c r="G43" s="52"/>
      <c r="H43" s="56"/>
      <c r="I43" s="250"/>
      <c r="J43" s="52"/>
      <c r="K43" s="16" t="s">
        <v>280</v>
      </c>
      <c r="L43" s="253" t="s">
        <v>61</v>
      </c>
      <c r="M43" s="30">
        <v>3.0575040000000002</v>
      </c>
      <c r="N43" s="49"/>
      <c r="O43" s="246"/>
      <c r="P43" s="256"/>
      <c r="Q43" s="49"/>
      <c r="R43" s="50"/>
    </row>
    <row r="44" spans="1:19" ht="13" customHeight="1">
      <c r="A44" s="135" t="s">
        <v>210</v>
      </c>
      <c r="B44" s="49"/>
      <c r="C44" s="246"/>
      <c r="D44" s="52"/>
      <c r="E44" s="260"/>
      <c r="F44" s="261"/>
      <c r="G44" s="52"/>
      <c r="H44" s="56"/>
      <c r="I44" s="250"/>
      <c r="J44" s="50"/>
      <c r="K44" s="260"/>
      <c r="L44" s="261"/>
      <c r="M44" s="52"/>
      <c r="N44" s="1" t="s">
        <v>211</v>
      </c>
      <c r="O44" s="248" t="s">
        <v>114</v>
      </c>
      <c r="P44" s="122" t="s">
        <v>428</v>
      </c>
      <c r="Q44" s="49"/>
      <c r="R44" s="50"/>
    </row>
    <row r="45" spans="1:19" ht="13" customHeight="1">
      <c r="A45" s="135" t="s">
        <v>90</v>
      </c>
      <c r="B45" s="49"/>
      <c r="C45" s="246"/>
      <c r="D45" s="52"/>
      <c r="E45" s="49"/>
      <c r="F45" s="246"/>
      <c r="G45" s="52"/>
      <c r="H45" s="56"/>
      <c r="I45" s="250"/>
      <c r="J45" s="52"/>
      <c r="K45" s="16" t="s">
        <v>282</v>
      </c>
      <c r="L45" s="253" t="s">
        <v>62</v>
      </c>
      <c r="M45" s="30">
        <v>0.248642</v>
      </c>
      <c r="N45" s="49"/>
      <c r="O45" s="246"/>
      <c r="P45" s="256"/>
      <c r="Q45" s="49"/>
      <c r="R45" s="50"/>
    </row>
    <row r="46" spans="1:19" ht="13" customHeight="1">
      <c r="A46" s="135" t="s">
        <v>91</v>
      </c>
      <c r="B46" s="49"/>
      <c r="C46" s="246"/>
      <c r="D46" s="52"/>
      <c r="E46" s="49"/>
      <c r="F46" s="246"/>
      <c r="G46" s="50"/>
      <c r="H46" s="57" t="s">
        <v>217</v>
      </c>
      <c r="I46" s="249" t="s">
        <v>82</v>
      </c>
      <c r="J46" s="9">
        <v>47.673046999999997</v>
      </c>
      <c r="K46" s="51"/>
      <c r="L46" s="254"/>
      <c r="M46" s="52"/>
      <c r="N46" s="49"/>
      <c r="O46" s="246"/>
      <c r="P46" s="256"/>
      <c r="Q46" s="49"/>
      <c r="R46" s="50"/>
    </row>
    <row r="47" spans="1:19" ht="13" customHeight="1">
      <c r="A47" s="275"/>
      <c r="B47" s="260"/>
      <c r="C47" s="261"/>
      <c r="D47" s="52"/>
      <c r="E47" s="260"/>
      <c r="F47" s="261"/>
      <c r="G47" s="52"/>
      <c r="H47" s="264"/>
      <c r="I47" s="265"/>
      <c r="J47" s="266"/>
      <c r="K47" s="260"/>
      <c r="L47" s="261"/>
      <c r="M47" s="52"/>
      <c r="N47" s="12"/>
      <c r="O47" s="247"/>
      <c r="P47" s="205"/>
      <c r="Q47" s="49"/>
      <c r="R47" s="50"/>
    </row>
    <row r="48" spans="1:19" ht="13" customHeight="1">
      <c r="A48" s="275"/>
      <c r="B48" s="260"/>
      <c r="C48" s="261"/>
      <c r="D48" s="52"/>
      <c r="E48" s="260"/>
      <c r="F48" s="261"/>
      <c r="G48" s="52"/>
      <c r="H48" s="264"/>
      <c r="I48" s="265"/>
      <c r="J48" s="266"/>
      <c r="K48" s="260"/>
      <c r="L48" s="261"/>
      <c r="M48" s="52"/>
      <c r="N48" s="260"/>
      <c r="O48" s="261"/>
      <c r="P48" s="263"/>
      <c r="Q48" s="154"/>
      <c r="R48" s="155"/>
    </row>
    <row r="49" spans="1:18" ht="13" customHeight="1">
      <c r="A49" s="276"/>
      <c r="D49" s="279"/>
      <c r="G49" s="279"/>
      <c r="J49" s="282"/>
      <c r="M49" s="279"/>
      <c r="Q49" s="154"/>
      <c r="R49" s="155"/>
    </row>
    <row r="50" spans="1:18" ht="13" customHeight="1">
      <c r="A50" s="275"/>
      <c r="B50" s="284"/>
      <c r="C50" s="285"/>
      <c r="D50" s="279"/>
      <c r="G50" s="279"/>
      <c r="J50" s="282"/>
      <c r="K50" s="284"/>
      <c r="L50" s="285"/>
      <c r="M50" s="286"/>
      <c r="Q50" s="154"/>
      <c r="R50" s="155"/>
    </row>
    <row r="51" spans="1:18" ht="13" customHeight="1">
      <c r="A51" s="275"/>
      <c r="B51" s="284"/>
      <c r="C51" s="285"/>
      <c r="D51" s="279"/>
      <c r="G51" s="279"/>
      <c r="J51" s="282"/>
      <c r="K51" s="284"/>
      <c r="L51" s="285"/>
      <c r="M51" s="286"/>
      <c r="Q51" s="154"/>
      <c r="R51" s="155"/>
    </row>
    <row r="52" spans="1:18" ht="13" customHeight="1">
      <c r="A52" s="275"/>
      <c r="B52" s="284"/>
      <c r="C52" s="285"/>
      <c r="D52" s="279"/>
      <c r="G52" s="279"/>
      <c r="J52" s="282"/>
      <c r="K52" s="284"/>
      <c r="L52" s="285"/>
      <c r="M52" s="286"/>
      <c r="Q52" s="154"/>
      <c r="R52" s="155"/>
    </row>
    <row r="53" spans="1:18" ht="13" customHeight="1">
      <c r="A53" s="275"/>
      <c r="D53" s="279"/>
      <c r="G53" s="279"/>
      <c r="J53" s="282"/>
      <c r="K53" s="284"/>
      <c r="L53" s="285"/>
      <c r="M53" s="287"/>
    </row>
    <row r="54" spans="1:18" ht="13" customHeight="1">
      <c r="A54" s="275"/>
      <c r="D54" s="279"/>
      <c r="G54" s="279"/>
      <c r="J54" s="282"/>
      <c r="M54" s="282"/>
    </row>
    <row r="55" spans="1:18" ht="13" customHeight="1">
      <c r="A55" s="275"/>
      <c r="D55" s="279"/>
      <c r="G55" s="279"/>
      <c r="J55" s="282"/>
      <c r="M55" s="282"/>
    </row>
    <row r="56" spans="1:18" ht="13" customHeight="1">
      <c r="A56" s="275"/>
      <c r="D56" s="279"/>
      <c r="G56" s="279"/>
      <c r="J56" s="282"/>
      <c r="M56" s="282"/>
    </row>
    <row r="57" spans="1:18" ht="13" customHeight="1">
      <c r="A57" s="275"/>
      <c r="D57" s="279"/>
      <c r="G57" s="279"/>
      <c r="J57" s="282"/>
      <c r="M57" s="279"/>
    </row>
    <row r="58" spans="1:18" ht="13" customHeight="1">
      <c r="A58" s="275"/>
      <c r="D58" s="279"/>
      <c r="G58" s="279"/>
      <c r="J58" s="282"/>
      <c r="M58" s="279"/>
    </row>
    <row r="59" spans="1:18" ht="13" customHeight="1">
      <c r="A59" s="275"/>
      <c r="D59" s="279"/>
      <c r="G59" s="279"/>
      <c r="H59" s="288"/>
      <c r="I59" s="289"/>
      <c r="J59" s="282"/>
      <c r="M59" s="279"/>
    </row>
  </sheetData>
  <sortState ref="A2:O45">
    <sortCondition ref="A2:A45"/>
    <sortCondition ref="J2:J45"/>
  </sortState>
  <mergeCells count="9">
    <mergeCell ref="N1:P1"/>
    <mergeCell ref="A5:A6"/>
    <mergeCell ref="A10:A11"/>
    <mergeCell ref="A25:A26"/>
    <mergeCell ref="A37:A40"/>
    <mergeCell ref="K1:M1"/>
    <mergeCell ref="B1:D1"/>
    <mergeCell ref="E1:G1"/>
    <mergeCell ref="H1:J1"/>
  </mergeCells>
  <phoneticPr fontId="2" type="noConversion"/>
  <pageMargins left="0.75000000000000011" right="0.75000000000000011" top="1" bottom="1" header="0.5" footer="0.5"/>
  <pageSetup paperSize="9" scale="56" orientation="landscape" horizontalDpi="4294967292" verticalDpi="4294967292"/>
  <drawing r:id="rId1"/>
  <extLst>
    <ext xmlns:mx="http://schemas.microsoft.com/office/mac/excel/2008/main" uri="{64002731-A6B0-56B0-2670-7721B7C09600}">
      <mx:PLV Mode="0"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T92"/>
  <sheetViews>
    <sheetView workbookViewId="0">
      <pane xSplit="1" ySplit="1" topLeftCell="B11" activePane="bottomRight" state="frozen"/>
      <selection pane="topRight" activeCell="B1" sqref="B1"/>
      <selection pane="bottomLeft" activeCell="A2" sqref="A2"/>
      <selection pane="bottomRight" activeCell="B43" sqref="B43"/>
    </sheetView>
  </sheetViews>
  <sheetFormatPr baseColWidth="10" defaultColWidth="8.7109375" defaultRowHeight="13" customHeight="1" x14ac:dyDescent="0"/>
  <cols>
    <col min="1" max="1" width="10.7109375" style="108" customWidth="1"/>
    <col min="2" max="2" width="8.7109375" style="111" customWidth="1"/>
    <col min="3" max="3" width="8.7109375" style="27" customWidth="1"/>
    <col min="4" max="4" width="8.7109375" style="111" customWidth="1"/>
    <col min="5" max="5" width="8.7109375" style="147" customWidth="1"/>
    <col min="6" max="6" width="8.7109375" style="111" customWidth="1"/>
    <col min="7" max="7" width="8.7109375" style="146" customWidth="1"/>
    <col min="8" max="8" width="8.7109375" style="111" customWidth="1"/>
    <col min="9" max="9" width="8.7109375" style="181" customWidth="1"/>
    <col min="10" max="10" width="8.7109375" style="317" customWidth="1"/>
    <col min="11" max="11" width="8.7109375" style="149" customWidth="1"/>
    <col min="12" max="12" width="8.7109375" style="323" customWidth="1"/>
    <col min="13" max="13" width="8.7109375" style="19" customWidth="1"/>
    <col min="14" max="14" width="8.7109375" style="167" customWidth="1"/>
    <col min="15" max="15" width="8.7109375" style="28" customWidth="1"/>
    <col min="16" max="16" width="8.7109375" style="174" customWidth="1"/>
    <col min="17" max="17" width="8.7109375" style="22" customWidth="1"/>
    <col min="18" max="18" width="7.85546875" style="113" bestFit="1" customWidth="1"/>
    <col min="19" max="19" width="5.5703125" style="108" bestFit="1" customWidth="1"/>
    <col min="20" max="20" width="3.85546875" style="108" bestFit="1" customWidth="1"/>
    <col min="21" max="16384" width="8.7109375" style="108"/>
  </cols>
  <sheetData>
    <row r="1" spans="1:20" ht="41" customHeight="1">
      <c r="A1" s="294" t="s">
        <v>83</v>
      </c>
      <c r="B1" s="385" t="s">
        <v>333</v>
      </c>
      <c r="C1" s="386"/>
      <c r="D1" s="385" t="s">
        <v>334</v>
      </c>
      <c r="E1" s="386"/>
      <c r="F1" s="401" t="s">
        <v>335</v>
      </c>
      <c r="G1" s="386"/>
      <c r="H1" s="401" t="s">
        <v>337</v>
      </c>
      <c r="I1" s="386"/>
      <c r="J1" s="401" t="s">
        <v>336</v>
      </c>
      <c r="K1" s="386"/>
      <c r="L1" s="385" t="s">
        <v>338</v>
      </c>
      <c r="M1" s="386"/>
      <c r="N1" s="385" t="s">
        <v>339</v>
      </c>
      <c r="O1" s="386"/>
      <c r="P1" s="385" t="s">
        <v>122</v>
      </c>
      <c r="Q1" s="402"/>
      <c r="R1" s="399"/>
      <c r="S1" s="400"/>
      <c r="T1" s="400"/>
    </row>
    <row r="2" spans="1:20" ht="13" customHeight="1">
      <c r="A2" s="397" t="s">
        <v>50</v>
      </c>
      <c r="B2" s="67" t="s">
        <v>29</v>
      </c>
      <c r="C2" s="30">
        <v>14.5</v>
      </c>
      <c r="D2" s="67" t="s">
        <v>29</v>
      </c>
      <c r="E2" s="17">
        <v>20.100000000000001</v>
      </c>
      <c r="F2" s="64" t="s">
        <v>11</v>
      </c>
      <c r="G2" s="8">
        <v>1.1000000000000001</v>
      </c>
      <c r="J2" s="248" t="s">
        <v>72</v>
      </c>
      <c r="K2" s="179">
        <v>15.1</v>
      </c>
      <c r="L2" s="248" t="s">
        <v>72</v>
      </c>
      <c r="M2" s="9">
        <v>20.100000000000001</v>
      </c>
      <c r="O2" s="40"/>
    </row>
    <row r="3" spans="1:20" ht="13" customHeight="1">
      <c r="A3" s="397"/>
      <c r="C3" s="177"/>
      <c r="F3" s="63" t="s">
        <v>68</v>
      </c>
      <c r="G3" s="178">
        <v>23.9</v>
      </c>
      <c r="L3" s="330"/>
      <c r="M3" s="36"/>
      <c r="N3" s="190"/>
    </row>
    <row r="4" spans="1:20" ht="13" customHeight="1">
      <c r="A4" s="397" t="s">
        <v>59</v>
      </c>
      <c r="D4" s="164" t="s">
        <v>73</v>
      </c>
      <c r="E4" s="179">
        <v>28.3</v>
      </c>
      <c r="H4" s="164" t="s">
        <v>73</v>
      </c>
      <c r="I4" s="179">
        <v>39.1</v>
      </c>
      <c r="L4" s="330" t="s">
        <v>66</v>
      </c>
      <c r="M4" s="36">
        <v>5.6</v>
      </c>
      <c r="N4" s="190"/>
      <c r="P4" s="298" t="s">
        <v>66</v>
      </c>
      <c r="Q4" s="300" t="s">
        <v>362</v>
      </c>
    </row>
    <row r="5" spans="1:20" ht="13" customHeight="1">
      <c r="A5" s="397"/>
      <c r="P5" s="298" t="s">
        <v>66</v>
      </c>
      <c r="Q5" s="300" t="s">
        <v>363</v>
      </c>
    </row>
    <row r="6" spans="1:20" ht="13" customHeight="1">
      <c r="A6" s="398" t="s">
        <v>388</v>
      </c>
      <c r="B6" s="75" t="s">
        <v>434</v>
      </c>
      <c r="C6" s="76">
        <f>23712661/1000000</f>
        <v>23.712661000000001</v>
      </c>
      <c r="D6" s="160"/>
      <c r="E6" s="15"/>
      <c r="F6" s="185" t="s">
        <v>437</v>
      </c>
      <c r="G6" s="186">
        <f>37634262/1000000</f>
        <v>37.634262</v>
      </c>
      <c r="H6" s="65"/>
      <c r="I6" s="45"/>
      <c r="J6" s="318" t="s">
        <v>438</v>
      </c>
      <c r="K6" s="336">
        <f>19253817/1000000</f>
        <v>19.253817000000002</v>
      </c>
      <c r="L6" s="331"/>
      <c r="M6" s="14"/>
      <c r="N6" s="169"/>
      <c r="O6" s="40"/>
    </row>
    <row r="7" spans="1:20" ht="13" customHeight="1">
      <c r="A7" s="398"/>
      <c r="B7" s="69" t="s">
        <v>435</v>
      </c>
      <c r="C7" s="184">
        <f>26620553/1000000</f>
        <v>26.620553000000001</v>
      </c>
      <c r="D7" s="160"/>
      <c r="E7" s="15"/>
      <c r="H7" s="33"/>
      <c r="I7" s="45"/>
      <c r="L7" s="331"/>
      <c r="M7" s="14"/>
      <c r="N7" s="169"/>
      <c r="O7" s="40"/>
      <c r="P7" s="69" t="s">
        <v>439</v>
      </c>
      <c r="Q7" s="187" t="s">
        <v>364</v>
      </c>
    </row>
    <row r="8" spans="1:20" ht="13" customHeight="1">
      <c r="A8" s="398"/>
      <c r="B8" s="75" t="s">
        <v>440</v>
      </c>
      <c r="C8" s="76">
        <f>46671341/1000000</f>
        <v>46.671340999999998</v>
      </c>
      <c r="D8" s="160"/>
      <c r="E8" s="15"/>
      <c r="F8" s="65"/>
      <c r="G8" s="20"/>
      <c r="H8" s="65"/>
      <c r="I8" s="45"/>
      <c r="J8" s="319"/>
      <c r="K8" s="15"/>
      <c r="L8" s="331"/>
      <c r="M8" s="14"/>
      <c r="N8" s="169"/>
      <c r="O8" s="45"/>
      <c r="P8" s="33"/>
      <c r="Q8" s="18"/>
    </row>
    <row r="9" spans="1:20" ht="13" customHeight="1">
      <c r="A9" s="398"/>
      <c r="B9" s="185" t="s">
        <v>436</v>
      </c>
      <c r="C9" s="186">
        <f>55565252/1000000</f>
        <v>55.565252000000001</v>
      </c>
      <c r="D9" s="160"/>
      <c r="E9" s="15"/>
      <c r="H9" s="65"/>
      <c r="I9" s="45"/>
      <c r="J9" s="319"/>
      <c r="K9" s="15"/>
      <c r="L9" s="331"/>
      <c r="M9" s="14"/>
      <c r="N9" s="169"/>
      <c r="O9" s="40"/>
      <c r="P9" s="33"/>
      <c r="Q9" s="18"/>
    </row>
    <row r="10" spans="1:20" ht="13" customHeight="1">
      <c r="A10" s="397" t="s">
        <v>174</v>
      </c>
      <c r="B10" s="108"/>
      <c r="C10" s="108"/>
      <c r="F10" s="108"/>
      <c r="G10" s="108"/>
      <c r="H10" s="64" t="s">
        <v>155</v>
      </c>
      <c r="I10" s="4">
        <v>53.2</v>
      </c>
      <c r="J10" s="108"/>
      <c r="K10" s="337"/>
      <c r="L10" s="108"/>
      <c r="M10" s="108"/>
      <c r="N10" s="164" t="s">
        <v>156</v>
      </c>
      <c r="O10" s="9">
        <v>9.1999999999999993</v>
      </c>
      <c r="P10" s="188" t="s">
        <v>155</v>
      </c>
      <c r="Q10" s="189" t="s">
        <v>365</v>
      </c>
    </row>
    <row r="11" spans="1:20" ht="13" customHeight="1">
      <c r="A11" s="397"/>
      <c r="H11" s="185" t="s">
        <v>340</v>
      </c>
      <c r="I11" s="328">
        <v>53.5</v>
      </c>
      <c r="J11" s="247" t="s">
        <v>341</v>
      </c>
      <c r="K11" s="45">
        <v>18.7</v>
      </c>
      <c r="N11" s="199" t="s">
        <v>342</v>
      </c>
      <c r="O11" s="200">
        <v>9.5</v>
      </c>
      <c r="P11" s="173"/>
    </row>
    <row r="12" spans="1:20" s="118" customFormat="1" ht="13" customHeight="1">
      <c r="A12" s="397"/>
      <c r="B12" s="64" t="s">
        <v>173</v>
      </c>
      <c r="C12" s="8">
        <v>55.9</v>
      </c>
      <c r="D12" s="114"/>
      <c r="E12" s="316"/>
      <c r="F12" s="64" t="s">
        <v>173</v>
      </c>
      <c r="G12" s="8">
        <v>37.5</v>
      </c>
      <c r="H12" s="33"/>
      <c r="I12" s="13"/>
      <c r="J12" s="320" t="s">
        <v>172</v>
      </c>
      <c r="K12" s="179">
        <v>19.2</v>
      </c>
      <c r="L12" s="320" t="s">
        <v>172</v>
      </c>
      <c r="M12" s="9">
        <v>19.5</v>
      </c>
      <c r="N12" s="86"/>
      <c r="O12" s="14"/>
      <c r="P12" s="86"/>
      <c r="Q12" s="18"/>
      <c r="R12" s="126"/>
    </row>
    <row r="13" spans="1:20" ht="13" customHeight="1">
      <c r="A13" s="195" t="s">
        <v>13</v>
      </c>
      <c r="B13" s="67" t="s">
        <v>60</v>
      </c>
      <c r="C13" s="30">
        <v>9.6999999999999993</v>
      </c>
      <c r="D13" s="63" t="s">
        <v>2</v>
      </c>
      <c r="E13" s="178">
        <v>39.700000000000003</v>
      </c>
      <c r="F13" s="64" t="s">
        <v>13</v>
      </c>
      <c r="G13" s="8">
        <v>4.0999999999999996</v>
      </c>
      <c r="H13" s="64" t="s">
        <v>13</v>
      </c>
      <c r="I13" s="4">
        <v>47.3</v>
      </c>
      <c r="J13" s="320" t="s">
        <v>64</v>
      </c>
      <c r="K13" s="179">
        <v>7.1</v>
      </c>
      <c r="L13" s="320" t="s">
        <v>64</v>
      </c>
      <c r="M13" s="9">
        <v>8.3000000000000007</v>
      </c>
      <c r="O13" s="40"/>
      <c r="P13" s="89" t="s">
        <v>2</v>
      </c>
      <c r="Q13" s="26" t="s">
        <v>366</v>
      </c>
    </row>
    <row r="14" spans="1:20" ht="13" customHeight="1">
      <c r="A14" s="196" t="s">
        <v>84</v>
      </c>
      <c r="B14" s="67" t="s">
        <v>31</v>
      </c>
      <c r="C14" s="30">
        <f>8903207/1000000</f>
        <v>8.9032070000000001</v>
      </c>
      <c r="D14" s="161"/>
      <c r="E14" s="21"/>
      <c r="F14" s="63" t="s">
        <v>3</v>
      </c>
      <c r="G14" s="7">
        <f>39502236/1000000</f>
        <v>39.502236000000003</v>
      </c>
      <c r="H14" s="33"/>
      <c r="I14" s="45"/>
      <c r="J14" s="248" t="s">
        <v>75</v>
      </c>
      <c r="K14" s="179">
        <f>6789157/1000000</f>
        <v>6.7891570000000003</v>
      </c>
      <c r="L14" s="331"/>
      <c r="M14" s="14"/>
      <c r="N14" s="169"/>
      <c r="O14" s="40"/>
      <c r="P14" s="33" t="s">
        <v>433</v>
      </c>
      <c r="Q14" s="22" t="s">
        <v>367</v>
      </c>
    </row>
    <row r="15" spans="1:20" ht="13" customHeight="1">
      <c r="A15" s="195" t="s">
        <v>44</v>
      </c>
      <c r="B15" s="64" t="s">
        <v>125</v>
      </c>
      <c r="C15" s="8">
        <v>27</v>
      </c>
      <c r="D15" s="33"/>
      <c r="E15" s="13"/>
      <c r="F15" s="165"/>
      <c r="G15" s="2"/>
      <c r="H15" s="165"/>
      <c r="I15" s="183"/>
      <c r="J15" s="320" t="s">
        <v>126</v>
      </c>
      <c r="K15" s="179">
        <v>27.5</v>
      </c>
      <c r="L15" s="320" t="s">
        <v>126</v>
      </c>
      <c r="M15" s="9">
        <v>20.2</v>
      </c>
      <c r="O15" s="40"/>
      <c r="P15" s="89" t="s">
        <v>124</v>
      </c>
      <c r="Q15" s="206" t="s">
        <v>368</v>
      </c>
    </row>
    <row r="16" spans="1:20" ht="13" customHeight="1">
      <c r="A16" s="376" t="s">
        <v>52</v>
      </c>
      <c r="D16" s="156" t="s">
        <v>15</v>
      </c>
      <c r="E16" s="48">
        <v>11.1</v>
      </c>
      <c r="F16" s="63" t="s">
        <v>4</v>
      </c>
      <c r="G16" s="7">
        <v>24.9</v>
      </c>
      <c r="H16" s="156" t="s">
        <v>15</v>
      </c>
      <c r="I16" s="48">
        <v>44.5</v>
      </c>
      <c r="J16" s="248" t="s">
        <v>76</v>
      </c>
      <c r="K16" s="179">
        <v>12.8</v>
      </c>
      <c r="L16" s="248" t="s">
        <v>76</v>
      </c>
      <c r="M16" s="9">
        <v>0.2</v>
      </c>
      <c r="N16" s="164" t="s">
        <v>65</v>
      </c>
      <c r="O16" s="9">
        <v>40.5</v>
      </c>
      <c r="Q16" s="18"/>
    </row>
    <row r="17" spans="1:20" ht="13" customHeight="1">
      <c r="A17" s="376"/>
      <c r="D17" s="156" t="s">
        <v>16</v>
      </c>
      <c r="E17" s="48">
        <v>11.8</v>
      </c>
      <c r="H17" s="33" t="s">
        <v>340</v>
      </c>
      <c r="I17" s="45">
        <v>45.2</v>
      </c>
      <c r="S17" s="18"/>
      <c r="T17" s="19"/>
    </row>
    <row r="18" spans="1:20" ht="13" customHeight="1">
      <c r="A18" s="375"/>
      <c r="G18" s="147"/>
      <c r="H18" s="156" t="s">
        <v>16</v>
      </c>
      <c r="I18" s="48">
        <v>45.4</v>
      </c>
      <c r="L18" s="332"/>
      <c r="M18" s="151"/>
      <c r="N18" s="172"/>
      <c r="O18" s="152"/>
    </row>
    <row r="19" spans="1:20" ht="13" customHeight="1">
      <c r="A19" s="137" t="s">
        <v>56</v>
      </c>
      <c r="J19" s="248" t="s">
        <v>28</v>
      </c>
      <c r="K19" s="179">
        <v>15</v>
      </c>
      <c r="Q19" s="22" t="s">
        <v>431</v>
      </c>
    </row>
    <row r="20" spans="1:20" ht="13" customHeight="1">
      <c r="A20" s="137" t="s">
        <v>85</v>
      </c>
      <c r="B20" s="185" t="s">
        <v>19</v>
      </c>
      <c r="C20" s="186">
        <f>55873158/1000000</f>
        <v>55.873157999999997</v>
      </c>
      <c r="D20" s="161"/>
      <c r="E20" s="106"/>
      <c r="F20" s="185" t="s">
        <v>19</v>
      </c>
      <c r="G20" s="186">
        <f>38103248/1000000</f>
        <v>38.103248000000001</v>
      </c>
      <c r="H20" s="33"/>
      <c r="I20" s="45"/>
      <c r="J20" s="321" t="s">
        <v>77</v>
      </c>
      <c r="K20" s="338">
        <f>7412593/1000000</f>
        <v>7.4125930000000002</v>
      </c>
      <c r="L20" s="321" t="s">
        <v>77</v>
      </c>
      <c r="M20" s="46">
        <f>21851165/1000000</f>
        <v>21.851165000000002</v>
      </c>
      <c r="O20" s="40"/>
    </row>
    <row r="21" spans="1:20" ht="13" customHeight="1">
      <c r="A21" s="137" t="s">
        <v>37</v>
      </c>
      <c r="D21" s="67" t="s">
        <v>32</v>
      </c>
      <c r="E21" s="17">
        <v>20.100000000000001</v>
      </c>
      <c r="G21" s="147"/>
      <c r="J21" s="320" t="s">
        <v>69</v>
      </c>
      <c r="K21" s="179">
        <v>9.1</v>
      </c>
      <c r="L21" s="320" t="s">
        <v>69</v>
      </c>
      <c r="M21" s="9">
        <v>36.1</v>
      </c>
      <c r="N21" s="193"/>
      <c r="O21" s="40"/>
    </row>
    <row r="22" spans="1:20" ht="13" customHeight="1">
      <c r="A22" s="145" t="s">
        <v>175</v>
      </c>
      <c r="B22" s="69" t="s">
        <v>128</v>
      </c>
      <c r="C22" s="70">
        <v>26.042966</v>
      </c>
      <c r="D22" s="68"/>
      <c r="E22" s="149"/>
      <c r="F22" s="185" t="s">
        <v>129</v>
      </c>
      <c r="G22" s="186">
        <v>35.635063000000002</v>
      </c>
      <c r="H22" s="71" t="s">
        <v>129</v>
      </c>
      <c r="I22" s="198">
        <v>53.002837999999997</v>
      </c>
      <c r="J22" s="318" t="s">
        <v>130</v>
      </c>
      <c r="K22" s="336">
        <v>21.616177</v>
      </c>
      <c r="L22" s="333" t="s">
        <v>130</v>
      </c>
      <c r="M22" s="200">
        <v>21.668147999999999</v>
      </c>
      <c r="N22" s="194"/>
      <c r="O22" s="40"/>
    </row>
    <row r="23" spans="1:20" ht="13" customHeight="1">
      <c r="A23" s="145" t="s">
        <v>176</v>
      </c>
      <c r="B23" s="69" t="s">
        <v>131</v>
      </c>
      <c r="C23" s="70">
        <v>26.078534000000001</v>
      </c>
      <c r="H23" s="71" t="s">
        <v>178</v>
      </c>
      <c r="I23" s="198">
        <v>42.850427000000003</v>
      </c>
    </row>
    <row r="24" spans="1:20" ht="13" customHeight="1">
      <c r="A24" s="137" t="s">
        <v>38</v>
      </c>
      <c r="H24" s="64" t="s">
        <v>21</v>
      </c>
      <c r="I24" s="4">
        <v>44.1</v>
      </c>
      <c r="J24" s="320" t="s">
        <v>78</v>
      </c>
      <c r="K24" s="179">
        <v>13</v>
      </c>
      <c r="L24" s="321" t="s">
        <v>78</v>
      </c>
      <c r="M24" s="46">
        <v>0.3</v>
      </c>
      <c r="N24" s="194"/>
      <c r="O24" s="40"/>
    </row>
    <row r="25" spans="1:20" s="118" customFormat="1" ht="13" customHeight="1">
      <c r="A25" s="137" t="s">
        <v>39</v>
      </c>
      <c r="B25" s="111"/>
      <c r="C25" s="27"/>
      <c r="D25" s="111"/>
      <c r="E25" s="146"/>
      <c r="F25" s="63" t="s">
        <v>5</v>
      </c>
      <c r="G25" s="7">
        <v>22.2</v>
      </c>
      <c r="H25" s="111"/>
      <c r="I25" s="181"/>
      <c r="J25" s="317"/>
      <c r="K25" s="149"/>
      <c r="L25" s="323"/>
      <c r="M25" s="19"/>
      <c r="N25" s="167"/>
      <c r="O25" s="28"/>
      <c r="P25" s="164" t="s">
        <v>81</v>
      </c>
      <c r="Q25" s="24" t="s">
        <v>369</v>
      </c>
      <c r="R25" s="126"/>
    </row>
    <row r="26" spans="1:20" ht="13" customHeight="1">
      <c r="A26" s="374" t="s">
        <v>86</v>
      </c>
      <c r="B26" s="67" t="s">
        <v>33</v>
      </c>
      <c r="C26" s="30">
        <f>23469954/1000000</f>
        <v>23.469954000000001</v>
      </c>
      <c r="D26" s="156" t="s">
        <v>22</v>
      </c>
      <c r="E26" s="48">
        <f>4701075/1000000</f>
        <v>4.7010750000000003</v>
      </c>
      <c r="F26" s="64" t="s">
        <v>22</v>
      </c>
      <c r="G26" s="8">
        <f>27637741/1000000</f>
        <v>27.637740999999998</v>
      </c>
      <c r="H26" s="33"/>
      <c r="I26" s="45"/>
      <c r="J26" s="248" t="s">
        <v>79</v>
      </c>
      <c r="K26" s="179">
        <f>25643489/1000000</f>
        <v>25.643488999999999</v>
      </c>
      <c r="L26" s="331"/>
      <c r="M26" s="14"/>
      <c r="N26" s="192" t="s">
        <v>79</v>
      </c>
      <c r="O26" s="182">
        <f>5508373/1000000</f>
        <v>5.5083729999999997</v>
      </c>
      <c r="P26" s="33"/>
      <c r="Q26" s="18"/>
    </row>
    <row r="27" spans="1:20" ht="13" customHeight="1">
      <c r="A27" s="375"/>
      <c r="B27" s="67" t="s">
        <v>33</v>
      </c>
      <c r="C27" s="30">
        <f>38060407/1000000</f>
        <v>38.060406999999998</v>
      </c>
      <c r="Q27" s="60"/>
    </row>
    <row r="28" spans="1:20" ht="13" customHeight="1">
      <c r="A28" s="141" t="s">
        <v>87</v>
      </c>
      <c r="B28" s="63" t="s">
        <v>6</v>
      </c>
      <c r="C28" s="7">
        <f>29159483/1000000</f>
        <v>29.159483000000002</v>
      </c>
      <c r="D28" s="162"/>
      <c r="E28" s="2"/>
      <c r="F28" s="63" t="s">
        <v>6</v>
      </c>
      <c r="G28" s="7">
        <f>25754101/1000000</f>
        <v>25.754100999999999</v>
      </c>
      <c r="H28" s="165"/>
      <c r="I28" s="183"/>
      <c r="J28" s="322"/>
      <c r="K28" s="13"/>
      <c r="P28" s="66" t="s">
        <v>80</v>
      </c>
      <c r="Q28" s="24" t="s">
        <v>370</v>
      </c>
    </row>
    <row r="29" spans="1:20" ht="13" customHeight="1">
      <c r="A29" s="141" t="s">
        <v>87</v>
      </c>
      <c r="B29" s="67" t="s">
        <v>34</v>
      </c>
      <c r="C29" s="30">
        <f>38095710/1000000</f>
        <v>38.095709999999997</v>
      </c>
      <c r="D29" s="162"/>
      <c r="E29" s="2"/>
      <c r="H29" s="165"/>
      <c r="I29" s="183"/>
      <c r="J29" s="322"/>
      <c r="K29" s="13"/>
    </row>
    <row r="30" spans="1:20" ht="13" customHeight="1">
      <c r="A30" s="141" t="s">
        <v>88</v>
      </c>
      <c r="B30" s="157"/>
      <c r="C30" s="23"/>
      <c r="D30" s="64" t="s">
        <v>23</v>
      </c>
      <c r="E30" s="4">
        <f>19538518/1000000</f>
        <v>19.538518</v>
      </c>
      <c r="F30" s="63" t="s">
        <v>7</v>
      </c>
      <c r="G30" s="7">
        <f>39199228/1000000</f>
        <v>39.199227999999998</v>
      </c>
      <c r="H30" s="167"/>
      <c r="I30" s="183"/>
      <c r="J30" s="323"/>
      <c r="K30" s="13"/>
      <c r="P30" s="171"/>
      <c r="Q30" s="18"/>
    </row>
    <row r="31" spans="1:20" ht="13" customHeight="1">
      <c r="A31" s="374" t="s">
        <v>40</v>
      </c>
      <c r="B31" s="33"/>
      <c r="C31" s="40"/>
      <c r="D31" s="67" t="s">
        <v>35</v>
      </c>
      <c r="E31" s="30">
        <v>0.6</v>
      </c>
      <c r="J31" s="248" t="s">
        <v>70</v>
      </c>
      <c r="K31" s="179">
        <v>12.8</v>
      </c>
      <c r="L31" s="321" t="s">
        <v>70</v>
      </c>
      <c r="M31" s="46" t="s">
        <v>93</v>
      </c>
      <c r="N31" s="194"/>
      <c r="O31" s="40"/>
    </row>
    <row r="32" spans="1:20" ht="13" customHeight="1">
      <c r="A32" s="376"/>
      <c r="B32" s="33"/>
      <c r="C32" s="40"/>
      <c r="D32" s="64" t="s">
        <v>354</v>
      </c>
      <c r="E32" s="8">
        <v>44.5</v>
      </c>
      <c r="H32" s="64" t="s">
        <v>354</v>
      </c>
      <c r="I32" s="4">
        <v>44.9</v>
      </c>
    </row>
    <row r="33" spans="1:17" ht="13" customHeight="1">
      <c r="A33" s="376"/>
      <c r="D33" s="82" t="s">
        <v>8</v>
      </c>
      <c r="E33" s="35">
        <v>18.100000000000001</v>
      </c>
      <c r="F33" s="63" t="s">
        <v>8</v>
      </c>
      <c r="G33" s="7">
        <v>24.6</v>
      </c>
    </row>
    <row r="34" spans="1:17" ht="13" customHeight="1">
      <c r="A34" s="375"/>
      <c r="D34" s="67" t="s">
        <v>35</v>
      </c>
      <c r="E34" s="30">
        <v>29.8</v>
      </c>
    </row>
    <row r="35" spans="1:17" ht="13" customHeight="1">
      <c r="A35" s="137" t="s">
        <v>51</v>
      </c>
      <c r="B35" s="33" t="s">
        <v>355</v>
      </c>
      <c r="C35" s="40">
        <v>9.4</v>
      </c>
      <c r="E35" s="146"/>
      <c r="F35" s="63" t="s">
        <v>95</v>
      </c>
      <c r="G35" s="7">
        <v>23.8</v>
      </c>
      <c r="H35" s="64" t="s">
        <v>96</v>
      </c>
      <c r="I35" s="4">
        <v>43</v>
      </c>
      <c r="L35" s="248" t="s">
        <v>97</v>
      </c>
      <c r="M35" s="9">
        <v>22</v>
      </c>
      <c r="O35" s="40"/>
      <c r="P35" s="164" t="s">
        <v>97</v>
      </c>
      <c r="Q35" s="203" t="s">
        <v>371</v>
      </c>
    </row>
    <row r="36" spans="1:17" ht="13" customHeight="1">
      <c r="A36" s="137" t="s">
        <v>42</v>
      </c>
      <c r="B36" s="64" t="s">
        <v>143</v>
      </c>
      <c r="C36" s="8">
        <v>55.7</v>
      </c>
      <c r="D36" s="63" t="s">
        <v>142</v>
      </c>
      <c r="E36" s="178">
        <v>26.5</v>
      </c>
      <c r="F36" s="64" t="s">
        <v>143</v>
      </c>
      <c r="G36" s="8">
        <v>19.3</v>
      </c>
      <c r="H36" s="63" t="s">
        <v>142</v>
      </c>
      <c r="I36" s="178">
        <v>47.5</v>
      </c>
      <c r="J36" s="248" t="s">
        <v>144</v>
      </c>
      <c r="K36" s="179">
        <v>21.7</v>
      </c>
      <c r="L36" s="248" t="s">
        <v>144</v>
      </c>
      <c r="M36" s="179">
        <v>21.39</v>
      </c>
      <c r="P36" s="114"/>
      <c r="Q36" s="18"/>
    </row>
    <row r="37" spans="1:17" ht="13" customHeight="1">
      <c r="A37" s="377" t="s">
        <v>177</v>
      </c>
      <c r="B37" s="71" t="s">
        <v>343</v>
      </c>
      <c r="C37" s="72">
        <v>55.706885</v>
      </c>
      <c r="E37" s="146"/>
      <c r="F37" s="202" t="s">
        <v>344</v>
      </c>
      <c r="G37" s="72">
        <v>19.515775999999999</v>
      </c>
      <c r="H37" s="69" t="s">
        <v>345</v>
      </c>
      <c r="I37" s="184">
        <v>41.131363999999998</v>
      </c>
      <c r="J37" s="324" t="s">
        <v>352</v>
      </c>
      <c r="K37" s="336">
        <v>12.642189</v>
      </c>
    </row>
    <row r="38" spans="1:17" ht="13" customHeight="1">
      <c r="A38" s="378"/>
      <c r="B38" s="185" t="s">
        <v>353</v>
      </c>
      <c r="C38" s="342" t="s">
        <v>307</v>
      </c>
      <c r="E38" s="146"/>
      <c r="F38" s="201" t="s">
        <v>349</v>
      </c>
      <c r="G38" s="76">
        <v>26.411201999999999</v>
      </c>
      <c r="H38" s="69" t="s">
        <v>346</v>
      </c>
      <c r="I38" s="184">
        <v>41.122346</v>
      </c>
    </row>
    <row r="39" spans="1:17" ht="13" customHeight="1">
      <c r="A39" s="378"/>
      <c r="E39" s="146"/>
      <c r="F39" s="201" t="s">
        <v>350</v>
      </c>
      <c r="G39" s="76">
        <v>26.406317000000001</v>
      </c>
      <c r="H39" s="69" t="s">
        <v>347</v>
      </c>
      <c r="I39" s="184">
        <v>41.112732999999999</v>
      </c>
      <c r="O39" s="183"/>
    </row>
    <row r="40" spans="1:17" ht="13" customHeight="1">
      <c r="A40" s="379"/>
      <c r="E40" s="146"/>
      <c r="F40" s="201" t="s">
        <v>351</v>
      </c>
      <c r="G40" s="76">
        <v>26.414605000000002</v>
      </c>
      <c r="H40" s="69" t="s">
        <v>348</v>
      </c>
      <c r="I40" s="184">
        <v>41.117184000000002</v>
      </c>
    </row>
    <row r="41" spans="1:17" ht="13" customHeight="1">
      <c r="A41" s="377" t="s">
        <v>171</v>
      </c>
      <c r="D41" s="75" t="s">
        <v>294</v>
      </c>
      <c r="E41" s="76">
        <v>18.7</v>
      </c>
      <c r="H41" s="71" t="s">
        <v>186</v>
      </c>
      <c r="I41" s="198">
        <v>41.9</v>
      </c>
      <c r="J41" s="318" t="s">
        <v>302</v>
      </c>
      <c r="K41" s="336">
        <v>8.3000000000000007</v>
      </c>
      <c r="L41" s="318" t="s">
        <v>303</v>
      </c>
      <c r="M41" s="74">
        <v>1.6</v>
      </c>
      <c r="O41" s="40"/>
    </row>
    <row r="42" spans="1:17" ht="13" customHeight="1">
      <c r="A42" s="378"/>
      <c r="D42" s="75" t="s">
        <v>295</v>
      </c>
      <c r="E42" s="76">
        <v>25.3</v>
      </c>
      <c r="H42" s="71" t="s">
        <v>293</v>
      </c>
      <c r="I42" s="198">
        <v>43.2</v>
      </c>
      <c r="J42" s="318" t="s">
        <v>292</v>
      </c>
      <c r="K42" s="336">
        <v>16.899999999999999</v>
      </c>
      <c r="L42" s="247"/>
      <c r="M42" s="40"/>
      <c r="O42" s="45"/>
    </row>
    <row r="43" spans="1:17" ht="13" customHeight="1">
      <c r="A43" s="378"/>
      <c r="H43" s="71" t="s">
        <v>187</v>
      </c>
      <c r="I43" s="198">
        <v>46.6</v>
      </c>
      <c r="L43" s="247"/>
      <c r="M43" s="40"/>
      <c r="O43" s="40"/>
    </row>
    <row r="44" spans="1:17" ht="13" customHeight="1">
      <c r="A44" s="137" t="s">
        <v>47</v>
      </c>
      <c r="E44" s="146"/>
      <c r="F44" s="33" t="s">
        <v>356</v>
      </c>
      <c r="G44" s="40">
        <v>19.2</v>
      </c>
      <c r="P44" s="166" t="s">
        <v>147</v>
      </c>
      <c r="Q44" s="47" t="s">
        <v>372</v>
      </c>
    </row>
    <row r="45" spans="1:17" ht="13" customHeight="1">
      <c r="A45" s="197" t="s">
        <v>121</v>
      </c>
      <c r="E45" s="146"/>
      <c r="H45" s="64" t="s">
        <v>165</v>
      </c>
      <c r="I45" s="4">
        <v>53.310997</v>
      </c>
      <c r="J45" s="248" t="s">
        <v>166</v>
      </c>
      <c r="K45" s="179">
        <v>18.645067000000001</v>
      </c>
      <c r="L45" s="334"/>
      <c r="N45" s="66" t="s">
        <v>166</v>
      </c>
      <c r="O45" s="179">
        <v>9.3460900000000002</v>
      </c>
      <c r="P45" s="305" t="s">
        <v>121</v>
      </c>
      <c r="Q45" s="310" t="s">
        <v>373</v>
      </c>
    </row>
    <row r="46" spans="1:17" ht="13" customHeight="1">
      <c r="A46" s="374" t="s">
        <v>92</v>
      </c>
      <c r="B46" s="67" t="s">
        <v>36</v>
      </c>
      <c r="C46" s="30">
        <v>9.8000000000000007</v>
      </c>
      <c r="D46" s="63" t="s">
        <v>9</v>
      </c>
      <c r="E46" s="7">
        <v>32.799999999999997</v>
      </c>
      <c r="J46" s="248" t="s">
        <v>71</v>
      </c>
      <c r="K46" s="179">
        <v>14.3</v>
      </c>
      <c r="L46" s="334"/>
    </row>
    <row r="47" spans="1:17" ht="13" customHeight="1">
      <c r="A47" s="375"/>
      <c r="D47" s="64" t="s">
        <v>24</v>
      </c>
      <c r="E47" s="8">
        <v>34.6</v>
      </c>
      <c r="H47" s="64" t="s">
        <v>24</v>
      </c>
      <c r="I47" s="4">
        <v>1.2</v>
      </c>
    </row>
    <row r="48" spans="1:17" ht="13" customHeight="1">
      <c r="A48" s="137" t="s">
        <v>46</v>
      </c>
      <c r="C48" s="177"/>
      <c r="G48" s="147"/>
      <c r="H48" s="63" t="s">
        <v>138</v>
      </c>
      <c r="I48" s="178">
        <v>48.4</v>
      </c>
      <c r="L48" s="321" t="s">
        <v>140</v>
      </c>
      <c r="M48" s="46">
        <v>1.7</v>
      </c>
      <c r="N48" s="194"/>
      <c r="O48" s="45"/>
    </row>
    <row r="49" spans="1:17" ht="13" customHeight="1">
      <c r="A49" s="137" t="s">
        <v>41</v>
      </c>
      <c r="B49" s="67" t="s">
        <v>101</v>
      </c>
      <c r="C49" s="30">
        <v>51.5</v>
      </c>
      <c r="J49" s="248" t="s">
        <v>100</v>
      </c>
      <c r="K49" s="179">
        <v>13</v>
      </c>
      <c r="L49" s="320" t="s">
        <v>100</v>
      </c>
      <c r="M49" s="9">
        <v>0.4</v>
      </c>
      <c r="N49" s="193"/>
      <c r="O49" s="45"/>
    </row>
    <row r="50" spans="1:17" ht="13" customHeight="1">
      <c r="A50" s="137" t="s">
        <v>41</v>
      </c>
      <c r="B50" s="156" t="s">
        <v>99</v>
      </c>
      <c r="C50" s="61">
        <v>55.7</v>
      </c>
      <c r="F50" s="64" t="s">
        <v>99</v>
      </c>
      <c r="G50" s="8">
        <v>19.899999999999999</v>
      </c>
    </row>
    <row r="51" spans="1:17" ht="13" customHeight="1">
      <c r="A51" s="137" t="s">
        <v>49</v>
      </c>
      <c r="B51" s="313" t="s">
        <v>154</v>
      </c>
      <c r="C51" s="315">
        <v>10.199999999999999</v>
      </c>
      <c r="D51" s="63" t="s">
        <v>152</v>
      </c>
      <c r="E51" s="178">
        <v>26.4</v>
      </c>
    </row>
    <row r="52" spans="1:17" ht="13" customHeight="1">
      <c r="A52" s="137" t="s">
        <v>45</v>
      </c>
      <c r="B52" s="63" t="s">
        <v>135</v>
      </c>
      <c r="C52" s="7">
        <v>25.6</v>
      </c>
      <c r="D52" s="131"/>
      <c r="E52" s="146"/>
      <c r="P52" s="64" t="s">
        <v>136</v>
      </c>
      <c r="Q52" s="25" t="s">
        <v>374</v>
      </c>
    </row>
    <row r="53" spans="1:17" ht="13" customHeight="1">
      <c r="A53" s="137" t="s">
        <v>48</v>
      </c>
      <c r="P53" s="89" t="s">
        <v>149</v>
      </c>
      <c r="Q53" s="206" t="s">
        <v>375</v>
      </c>
    </row>
    <row r="54" spans="1:17" ht="13" customHeight="1">
      <c r="A54" s="374" t="s">
        <v>43</v>
      </c>
      <c r="B54" s="64" t="s">
        <v>160</v>
      </c>
      <c r="C54" s="8">
        <v>27.375188000000001</v>
      </c>
      <c r="F54" s="64" t="s">
        <v>158</v>
      </c>
      <c r="G54" s="8">
        <v>36.299999999999997</v>
      </c>
      <c r="H54" s="64" t="s">
        <v>158</v>
      </c>
      <c r="I54" s="4">
        <v>42.751638</v>
      </c>
      <c r="J54" s="320" t="s">
        <v>163</v>
      </c>
      <c r="K54" s="179">
        <v>10.376232</v>
      </c>
      <c r="L54" s="250"/>
      <c r="M54" s="52"/>
      <c r="N54" s="191" t="s">
        <v>164</v>
      </c>
      <c r="O54" s="37">
        <v>8.6363810000000001</v>
      </c>
      <c r="P54" s="64" t="s">
        <v>314</v>
      </c>
      <c r="Q54" s="25" t="s">
        <v>376</v>
      </c>
    </row>
    <row r="55" spans="1:17" ht="13" customHeight="1">
      <c r="A55" s="376"/>
      <c r="B55" s="64" t="s">
        <v>313</v>
      </c>
      <c r="C55" s="8">
        <v>27.439909</v>
      </c>
      <c r="J55" s="320" t="s">
        <v>159</v>
      </c>
      <c r="K55" s="179">
        <v>21.517358999999999</v>
      </c>
      <c r="N55" s="191" t="s">
        <v>163</v>
      </c>
      <c r="O55" s="37">
        <v>8.8369959999999992</v>
      </c>
      <c r="P55" s="86"/>
    </row>
    <row r="56" spans="1:17" ht="13" customHeight="1">
      <c r="A56" s="376"/>
      <c r="B56" s="33" t="s">
        <v>357</v>
      </c>
      <c r="C56" s="40">
        <v>24.374917</v>
      </c>
      <c r="N56" s="191" t="s">
        <v>161</v>
      </c>
      <c r="O56" s="37">
        <v>8.9475940000000005</v>
      </c>
      <c r="P56" s="86"/>
    </row>
    <row r="57" spans="1:17" ht="13" customHeight="1">
      <c r="A57" s="376"/>
      <c r="B57" s="33" t="s">
        <v>358</v>
      </c>
      <c r="C57" s="45">
        <v>26.503242</v>
      </c>
      <c r="E57" s="146"/>
    </row>
    <row r="58" spans="1:17" ht="13" customHeight="1">
      <c r="A58" s="375"/>
      <c r="B58" s="33" t="s">
        <v>359</v>
      </c>
      <c r="C58" s="40">
        <v>26.766808000000001</v>
      </c>
      <c r="Q58" s="18"/>
    </row>
    <row r="59" spans="1:17" ht="13" customHeight="1">
      <c r="A59" s="374" t="s">
        <v>53</v>
      </c>
      <c r="D59" s="67" t="s">
        <v>360</v>
      </c>
      <c r="E59" s="17">
        <v>18.79</v>
      </c>
      <c r="F59" s="63" t="s">
        <v>104</v>
      </c>
      <c r="G59" s="7">
        <v>22.24</v>
      </c>
      <c r="H59" s="64" t="s">
        <v>105</v>
      </c>
      <c r="I59" s="4">
        <v>41.5</v>
      </c>
      <c r="J59" s="325" t="s">
        <v>106</v>
      </c>
      <c r="K59" s="339">
        <v>8.35</v>
      </c>
      <c r="N59" s="191" t="s">
        <v>106</v>
      </c>
      <c r="O59" s="37">
        <v>12.31</v>
      </c>
      <c r="P59" s="86"/>
    </row>
    <row r="60" spans="1:17" ht="13" customHeight="1">
      <c r="A60" s="375"/>
      <c r="D60" s="67" t="s">
        <v>360</v>
      </c>
      <c r="E60" s="30">
        <v>25.28</v>
      </c>
    </row>
    <row r="61" spans="1:17" ht="13" customHeight="1">
      <c r="A61" s="374" t="s">
        <v>0</v>
      </c>
      <c r="B61" s="67" t="s">
        <v>111</v>
      </c>
      <c r="C61" s="30">
        <v>23.8</v>
      </c>
      <c r="F61" s="156" t="s">
        <v>109</v>
      </c>
      <c r="G61" s="61">
        <v>20</v>
      </c>
      <c r="H61" s="156" t="s">
        <v>109</v>
      </c>
      <c r="I61" s="48">
        <v>41.2</v>
      </c>
      <c r="J61" s="248" t="s">
        <v>110</v>
      </c>
      <c r="K61" s="179">
        <v>3.26</v>
      </c>
      <c r="P61" s="176"/>
      <c r="Q61" s="148"/>
    </row>
    <row r="62" spans="1:17" ht="13" customHeight="1">
      <c r="A62" s="376"/>
      <c r="B62" s="33" t="s">
        <v>358</v>
      </c>
      <c r="C62" s="40">
        <v>25.9</v>
      </c>
      <c r="D62" s="163"/>
      <c r="E62" s="180"/>
      <c r="F62" s="33" t="s">
        <v>361</v>
      </c>
      <c r="G62" s="40">
        <v>37.200000000000003</v>
      </c>
      <c r="K62" s="340"/>
      <c r="P62" s="176"/>
      <c r="Q62" s="148"/>
    </row>
    <row r="63" spans="1:17" ht="13" customHeight="1">
      <c r="A63" s="375"/>
      <c r="B63" s="67" t="s">
        <v>111</v>
      </c>
      <c r="C63" s="30">
        <v>51.7</v>
      </c>
      <c r="K63" s="340"/>
      <c r="P63" s="176"/>
      <c r="Q63" s="148"/>
    </row>
    <row r="64" spans="1:17" ht="13" customHeight="1">
      <c r="A64" s="137" t="s">
        <v>89</v>
      </c>
      <c r="B64" s="67" t="s">
        <v>61</v>
      </c>
      <c r="C64" s="30">
        <f>46613698/1000000</f>
        <v>46.613697999999999</v>
      </c>
      <c r="D64" s="33"/>
      <c r="E64" s="13"/>
      <c r="F64" s="63" t="s">
        <v>10</v>
      </c>
      <c r="G64" s="7">
        <f>25833721/1000000</f>
        <v>25.833721000000001</v>
      </c>
      <c r="H64" s="168"/>
      <c r="I64" s="329"/>
      <c r="J64" s="326"/>
      <c r="K64" s="341"/>
      <c r="L64" s="335"/>
      <c r="M64" s="32"/>
      <c r="N64" s="170"/>
      <c r="O64" s="41"/>
      <c r="P64" s="175"/>
    </row>
    <row r="65" spans="1:17" ht="13" customHeight="1">
      <c r="A65" s="137" t="s">
        <v>57</v>
      </c>
      <c r="F65" s="64" t="s">
        <v>113</v>
      </c>
      <c r="G65" s="8">
        <v>18.5</v>
      </c>
      <c r="H65" s="64" t="s">
        <v>113</v>
      </c>
      <c r="I65" s="4">
        <v>41.4</v>
      </c>
      <c r="J65" s="320" t="s">
        <v>114</v>
      </c>
      <c r="K65" s="179">
        <v>13.3</v>
      </c>
      <c r="L65" s="321" t="s">
        <v>114</v>
      </c>
      <c r="M65" s="46">
        <v>0.9</v>
      </c>
      <c r="N65" s="194"/>
      <c r="O65" s="40"/>
    </row>
    <row r="66" spans="1:17" ht="13" customHeight="1">
      <c r="A66" s="141" t="s">
        <v>90</v>
      </c>
      <c r="B66" s="83"/>
      <c r="D66" s="67" t="s">
        <v>62</v>
      </c>
      <c r="E66" s="17">
        <f>20929034/1000000</f>
        <v>20.929034000000001</v>
      </c>
      <c r="F66" s="158"/>
      <c r="G66" s="34"/>
      <c r="H66" s="64" t="s">
        <v>25</v>
      </c>
      <c r="I66" s="4">
        <f>52900365/1000000</f>
        <v>52.900365000000001</v>
      </c>
      <c r="J66" s="327"/>
      <c r="O66" s="183"/>
      <c r="P66" s="86"/>
      <c r="Q66" s="18"/>
    </row>
    <row r="67" spans="1:17" ht="13" customHeight="1">
      <c r="A67" s="207" t="s">
        <v>91</v>
      </c>
      <c r="B67" s="67" t="s">
        <v>63</v>
      </c>
      <c r="C67" s="30">
        <f>9188734/1000000</f>
        <v>9.1887340000000002</v>
      </c>
      <c r="D67" s="64" t="s">
        <v>26</v>
      </c>
      <c r="E67" s="4">
        <f>20433695/1000000</f>
        <v>20.433695</v>
      </c>
      <c r="F67" s="158"/>
      <c r="G67" s="34"/>
      <c r="H67" s="64" t="s">
        <v>27</v>
      </c>
      <c r="I67" s="4">
        <f>42277420/1000000</f>
        <v>42.277419999999999</v>
      </c>
      <c r="J67" s="327"/>
      <c r="O67" s="183"/>
      <c r="P67" s="166" t="s">
        <v>82</v>
      </c>
      <c r="Q67" s="47" t="s">
        <v>370</v>
      </c>
    </row>
    <row r="68" spans="1:17" ht="13" customHeight="1">
      <c r="A68" s="396" t="s">
        <v>58</v>
      </c>
      <c r="D68" s="67" t="s">
        <v>117</v>
      </c>
      <c r="E68" s="17">
        <v>25.5</v>
      </c>
      <c r="J68" s="320" t="s">
        <v>116</v>
      </c>
      <c r="K68" s="179">
        <v>7.23</v>
      </c>
      <c r="L68" s="320" t="s">
        <v>116</v>
      </c>
      <c r="M68" s="9">
        <v>1.549758</v>
      </c>
      <c r="N68" s="193"/>
      <c r="O68" s="40"/>
      <c r="P68" s="64" t="s">
        <v>118</v>
      </c>
      <c r="Q68" s="125" t="s">
        <v>379</v>
      </c>
    </row>
    <row r="69" spans="1:17" ht="13" customHeight="1">
      <c r="A69" s="397"/>
      <c r="L69" s="320" t="s">
        <v>116</v>
      </c>
      <c r="M69" s="9">
        <v>21.79</v>
      </c>
      <c r="N69" s="193"/>
      <c r="O69" s="40"/>
      <c r="P69" s="298" t="s">
        <v>119</v>
      </c>
      <c r="Q69" s="300" t="s">
        <v>377</v>
      </c>
    </row>
    <row r="70" spans="1:17" ht="13" customHeight="1">
      <c r="A70" s="397"/>
      <c r="P70" s="298" t="s">
        <v>119</v>
      </c>
      <c r="Q70" s="300" t="s">
        <v>378</v>
      </c>
    </row>
    <row r="71" spans="1:17" ht="13" customHeight="1">
      <c r="A71" s="118"/>
      <c r="B71" s="129"/>
    </row>
    <row r="72" spans="1:17" ht="13" customHeight="1">
      <c r="B72" s="129"/>
    </row>
    <row r="73" spans="1:17" ht="13" customHeight="1">
      <c r="D73" s="131"/>
    </row>
    <row r="75" spans="1:17" ht="13" customHeight="1">
      <c r="D75" s="131"/>
    </row>
    <row r="79" spans="1:17" ht="13" customHeight="1">
      <c r="E79" s="153"/>
    </row>
    <row r="80" spans="1:17" ht="13" customHeight="1">
      <c r="B80" s="159"/>
      <c r="C80" s="155"/>
    </row>
    <row r="81" spans="2:3" ht="13" customHeight="1">
      <c r="B81" s="159"/>
      <c r="C81" s="155"/>
    </row>
    <row r="82" spans="2:3" ht="13" customHeight="1">
      <c r="B82" s="159"/>
      <c r="C82" s="155"/>
    </row>
    <row r="83" spans="2:3" ht="13" customHeight="1">
      <c r="B83" s="159"/>
      <c r="C83" s="155"/>
    </row>
    <row r="84" spans="2:3" ht="13" customHeight="1">
      <c r="B84" s="159"/>
      <c r="C84" s="155"/>
    </row>
    <row r="85" spans="2:3" ht="13" customHeight="1">
      <c r="B85" s="159"/>
      <c r="C85" s="155"/>
    </row>
    <row r="86" spans="2:3" ht="13" customHeight="1">
      <c r="B86" s="159"/>
      <c r="C86" s="155"/>
    </row>
    <row r="87" spans="2:3" ht="13" customHeight="1">
      <c r="B87" s="159"/>
      <c r="C87" s="155"/>
    </row>
    <row r="88" spans="2:3" ht="13" customHeight="1">
      <c r="B88" s="159"/>
      <c r="C88" s="155"/>
    </row>
    <row r="89" spans="2:3" ht="13" customHeight="1">
      <c r="B89" s="159"/>
      <c r="C89" s="155"/>
    </row>
    <row r="90" spans="2:3" ht="13" customHeight="1">
      <c r="B90" s="159"/>
      <c r="C90" s="155"/>
    </row>
    <row r="91" spans="2:3" ht="13" customHeight="1">
      <c r="B91" s="159"/>
    </row>
    <row r="92" spans="2:3" ht="13" customHeight="1">
      <c r="B92" s="159"/>
      <c r="C92" s="155"/>
    </row>
  </sheetData>
  <sortState ref="A2:R72">
    <sortCondition ref="A2:A72"/>
    <sortCondition ref="C2:C72"/>
  </sortState>
  <mergeCells count="23">
    <mergeCell ref="R1:T1"/>
    <mergeCell ref="B1:C1"/>
    <mergeCell ref="D1:E1"/>
    <mergeCell ref="F1:G1"/>
    <mergeCell ref="J1:K1"/>
    <mergeCell ref="H1:I1"/>
    <mergeCell ref="P1:Q1"/>
    <mergeCell ref="L1:M1"/>
    <mergeCell ref="N1:O1"/>
    <mergeCell ref="A2:A3"/>
    <mergeCell ref="A4:A5"/>
    <mergeCell ref="A6:A9"/>
    <mergeCell ref="A16:A18"/>
    <mergeCell ref="A10:A12"/>
    <mergeCell ref="A54:A58"/>
    <mergeCell ref="A59:A60"/>
    <mergeCell ref="A61:A63"/>
    <mergeCell ref="A68:A70"/>
    <mergeCell ref="A26:A27"/>
    <mergeCell ref="A31:A34"/>
    <mergeCell ref="A37:A40"/>
    <mergeCell ref="A41:A43"/>
    <mergeCell ref="A46:A47"/>
  </mergeCells>
  <phoneticPr fontId="2" type="noConversion"/>
  <pageMargins left="0.71" right="0.71" top="0.75000000000000011" bottom="0.75000000000000011" header="0.31" footer="0.31"/>
  <pageSetup paperSize="9" scale="63" fitToHeight="2" orientation="landscape"/>
  <drawing r:id="rId1"/>
  <extLst>
    <ext xmlns:mx="http://schemas.microsoft.com/office/mac/excel/2008/main" uri="{64002731-A6B0-56B0-2670-7721B7C09600}">
      <mx:PLV Mode="0" OnePage="0" WScale="6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Q77"/>
  <sheetViews>
    <sheetView workbookViewId="0">
      <pane xSplit="1" ySplit="1" topLeftCell="B2" activePane="bottomRight" state="frozen"/>
      <selection pane="topRight" activeCell="B1" sqref="B1"/>
      <selection pane="bottomLeft" activeCell="A2" sqref="A2"/>
      <selection pane="bottomRight" activeCell="J42" sqref="J42"/>
    </sheetView>
  </sheetViews>
  <sheetFormatPr baseColWidth="10" defaultColWidth="8.7109375" defaultRowHeight="13" customHeight="1" x14ac:dyDescent="0"/>
  <cols>
    <col min="1" max="1" width="10.7109375" style="108" customWidth="1"/>
    <col min="2" max="2" width="8.7109375" style="111" customWidth="1"/>
    <col min="3" max="3" width="8.7109375" style="147" customWidth="1"/>
    <col min="4" max="4" width="8.7109375" style="317" customWidth="1"/>
    <col min="5" max="5" width="8.7109375" style="42" customWidth="1"/>
    <col min="6" max="6" width="8.7109375" style="111" customWidth="1"/>
    <col min="7" max="7" width="8.7109375" style="229" customWidth="1"/>
    <col min="8" max="8" width="8.7109375" style="317" customWidth="1"/>
    <col min="9" max="9" width="8.7109375" style="229" customWidth="1"/>
    <col min="10" max="10" width="8.7109375" style="317" customWidth="1"/>
    <col min="11" max="11" width="8.7109375" style="217" customWidth="1"/>
    <col min="12" max="12" width="8.7109375" style="111" customWidth="1"/>
    <col min="13" max="13" width="15.140625" style="235" bestFit="1" customWidth="1"/>
    <col min="14" max="14" width="8.7109375" style="113"/>
    <col min="15" max="15" width="11.7109375" style="108" customWidth="1"/>
    <col min="16" max="16" width="10.140625" style="108" customWidth="1"/>
    <col min="17" max="16384" width="8.7109375" style="108"/>
  </cols>
  <sheetData>
    <row r="1" spans="1:14" s="11" customFormat="1" ht="41" customHeight="1">
      <c r="A1" s="80" t="s">
        <v>83</v>
      </c>
      <c r="B1" s="385" t="s">
        <v>384</v>
      </c>
      <c r="C1" s="386"/>
      <c r="D1" s="385" t="s">
        <v>383</v>
      </c>
      <c r="E1" s="406"/>
      <c r="F1" s="385" t="s">
        <v>380</v>
      </c>
      <c r="G1" s="402"/>
      <c r="H1" s="385" t="s">
        <v>382</v>
      </c>
      <c r="I1" s="406"/>
      <c r="J1" s="385" t="s">
        <v>381</v>
      </c>
      <c r="K1" s="406"/>
      <c r="L1" s="385" t="s">
        <v>432</v>
      </c>
      <c r="M1" s="402"/>
      <c r="N1" s="29"/>
    </row>
    <row r="2" spans="1:14" s="107" customFormat="1" ht="13" customHeight="1">
      <c r="A2" s="376" t="s">
        <v>50</v>
      </c>
      <c r="B2" s="63" t="s">
        <v>68</v>
      </c>
      <c r="C2" s="178">
        <v>1.6</v>
      </c>
      <c r="D2" s="253" t="s">
        <v>29</v>
      </c>
      <c r="E2" s="43">
        <v>18</v>
      </c>
      <c r="F2" s="111"/>
      <c r="G2" s="229"/>
      <c r="H2" s="248" t="s">
        <v>72</v>
      </c>
      <c r="I2" s="362">
        <v>29.6</v>
      </c>
      <c r="J2" s="248" t="s">
        <v>72</v>
      </c>
      <c r="K2" s="37">
        <v>10.1</v>
      </c>
      <c r="L2" s="111"/>
      <c r="M2" s="235"/>
      <c r="N2" s="211"/>
    </row>
    <row r="3" spans="1:14" s="213" customFormat="1" ht="13" customHeight="1">
      <c r="A3" s="375"/>
      <c r="B3" s="64" t="s">
        <v>11</v>
      </c>
      <c r="C3" s="225">
        <v>5.9</v>
      </c>
      <c r="D3" s="317"/>
      <c r="E3" s="181"/>
      <c r="F3" s="111"/>
      <c r="G3" s="229"/>
      <c r="H3" s="317"/>
      <c r="I3" s="229"/>
      <c r="J3" s="317"/>
      <c r="K3" s="217"/>
      <c r="L3" s="111"/>
      <c r="M3" s="235"/>
      <c r="N3" s="212"/>
    </row>
    <row r="4" spans="1:14" s="213" customFormat="1" ht="13" customHeight="1">
      <c r="A4" s="137" t="s">
        <v>59</v>
      </c>
      <c r="B4" s="111"/>
      <c r="C4" s="147"/>
      <c r="D4" s="248" t="s">
        <v>73</v>
      </c>
      <c r="E4" s="37">
        <v>11.1</v>
      </c>
      <c r="F4" s="66" t="s">
        <v>73</v>
      </c>
      <c r="G4" s="362">
        <v>1.9</v>
      </c>
      <c r="H4" s="317"/>
      <c r="I4" s="229"/>
      <c r="J4" s="317"/>
      <c r="K4" s="217"/>
      <c r="L4" s="301" t="s">
        <v>66</v>
      </c>
      <c r="M4" s="302" t="s">
        <v>386</v>
      </c>
      <c r="N4" s="212"/>
    </row>
    <row r="5" spans="1:14" s="107" customFormat="1" ht="13" customHeight="1">
      <c r="A5" s="403" t="s">
        <v>388</v>
      </c>
      <c r="B5" s="33"/>
      <c r="C5" s="13"/>
      <c r="D5" s="343" t="s">
        <v>442</v>
      </c>
      <c r="E5" s="186">
        <f>7431219/1000000</f>
        <v>7.4312189999999996</v>
      </c>
      <c r="F5" s="343" t="s">
        <v>441</v>
      </c>
      <c r="G5" s="186">
        <f>4703859/1000000</f>
        <v>4.7038589999999996</v>
      </c>
      <c r="H5" s="73" t="s">
        <v>74</v>
      </c>
      <c r="I5" s="367">
        <f>28882245/1000000</f>
        <v>28.882245000000001</v>
      </c>
      <c r="J5" s="359"/>
      <c r="K5" s="40"/>
      <c r="L5" s="111"/>
      <c r="M5" s="237"/>
      <c r="N5" s="211"/>
    </row>
    <row r="6" spans="1:14" s="107" customFormat="1" ht="13" customHeight="1">
      <c r="A6" s="404"/>
      <c r="B6" s="69" t="s">
        <v>444</v>
      </c>
      <c r="C6" s="184">
        <f>13141800/1000000</f>
        <v>13.1418</v>
      </c>
      <c r="D6" s="91" t="s">
        <v>443</v>
      </c>
      <c r="E6" s="228">
        <f>10969491/1000000</f>
        <v>10.969491</v>
      </c>
      <c r="G6" s="370"/>
      <c r="I6" s="370"/>
      <c r="J6" s="359"/>
      <c r="K6" s="40"/>
      <c r="L6" s="210"/>
      <c r="M6" s="238"/>
      <c r="N6" s="211"/>
    </row>
    <row r="7" spans="1:14" s="213" customFormat="1" ht="13" customHeight="1">
      <c r="A7" s="405"/>
      <c r="B7" s="33"/>
      <c r="C7" s="13"/>
      <c r="D7" s="98" t="s">
        <v>440</v>
      </c>
      <c r="E7" s="77">
        <f>15882175/1000000</f>
        <v>15.882175</v>
      </c>
      <c r="F7" s="65"/>
      <c r="G7" s="45"/>
      <c r="H7" s="319"/>
      <c r="I7" s="45"/>
      <c r="J7" s="359"/>
      <c r="K7" s="40"/>
      <c r="L7" s="75" t="s">
        <v>445</v>
      </c>
      <c r="M7" s="231" t="s">
        <v>387</v>
      </c>
      <c r="N7" s="212"/>
    </row>
    <row r="8" spans="1:14" s="213" customFormat="1" ht="13" customHeight="1">
      <c r="A8" s="374" t="s">
        <v>174</v>
      </c>
      <c r="B8" s="111"/>
      <c r="C8" s="147"/>
      <c r="F8" s="64" t="s">
        <v>155</v>
      </c>
      <c r="G8" s="225">
        <v>3.7</v>
      </c>
      <c r="H8" s="348" t="s">
        <v>389</v>
      </c>
      <c r="I8" s="45">
        <v>30</v>
      </c>
      <c r="J8" s="248" t="s">
        <v>156</v>
      </c>
      <c r="K8" s="37">
        <v>16.2</v>
      </c>
      <c r="L8" s="111"/>
      <c r="M8" s="235"/>
      <c r="N8" s="212"/>
    </row>
    <row r="9" spans="1:14" s="107" customFormat="1" ht="13" customHeight="1">
      <c r="A9" s="376"/>
      <c r="B9" s="111"/>
      <c r="C9" s="147"/>
      <c r="D9" s="317"/>
      <c r="E9" s="42"/>
      <c r="F9" s="156" t="s">
        <v>155</v>
      </c>
      <c r="G9" s="48">
        <v>4.4000000000000004</v>
      </c>
      <c r="I9" s="370"/>
      <c r="L9" s="111"/>
      <c r="M9" s="235"/>
      <c r="N9" s="211"/>
    </row>
    <row r="10" spans="1:14" s="213" customFormat="1" ht="13" customHeight="1">
      <c r="A10" s="375"/>
      <c r="B10" s="111"/>
      <c r="C10" s="147"/>
      <c r="D10" s="88" t="s">
        <v>173</v>
      </c>
      <c r="E10" s="39">
        <v>12.5</v>
      </c>
      <c r="F10" s="156" t="s">
        <v>173</v>
      </c>
      <c r="G10" s="48">
        <v>4.8</v>
      </c>
      <c r="H10" s="248" t="s">
        <v>172</v>
      </c>
      <c r="I10" s="362">
        <v>28.8</v>
      </c>
      <c r="J10" s="248" t="s">
        <v>172</v>
      </c>
      <c r="K10" s="37">
        <v>9.4</v>
      </c>
      <c r="L10" s="111"/>
      <c r="M10" s="235"/>
      <c r="N10" s="212"/>
    </row>
    <row r="11" spans="1:14" s="107" customFormat="1" ht="13" customHeight="1">
      <c r="A11" s="143" t="s">
        <v>13</v>
      </c>
      <c r="B11" s="63" t="s">
        <v>2</v>
      </c>
      <c r="C11" s="178">
        <v>12.6</v>
      </c>
      <c r="D11" s="87" t="s">
        <v>2</v>
      </c>
      <c r="E11" s="7">
        <v>15.2</v>
      </c>
      <c r="F11" s="64" t="s">
        <v>13</v>
      </c>
      <c r="G11" s="225">
        <v>0.1</v>
      </c>
      <c r="H11" s="248" t="s">
        <v>64</v>
      </c>
      <c r="I11" s="362">
        <v>22.1</v>
      </c>
      <c r="J11" s="248" t="s">
        <v>64</v>
      </c>
      <c r="K11" s="37">
        <v>6.2</v>
      </c>
      <c r="L11" s="111"/>
      <c r="M11" s="235"/>
      <c r="N11" s="211"/>
    </row>
    <row r="12" spans="1:14" s="107" customFormat="1" ht="13" customHeight="1">
      <c r="A12" s="143" t="s">
        <v>13</v>
      </c>
      <c r="B12" s="114"/>
      <c r="C12" s="316"/>
      <c r="D12" s="344"/>
      <c r="E12" s="28"/>
      <c r="F12" s="64" t="s">
        <v>13</v>
      </c>
      <c r="G12" s="225">
        <v>3.9</v>
      </c>
      <c r="H12" s="344"/>
      <c r="I12" s="368"/>
      <c r="J12" s="344"/>
      <c r="K12" s="221"/>
      <c r="L12" s="114"/>
      <c r="M12" s="239"/>
      <c r="N12" s="211"/>
    </row>
    <row r="13" spans="1:14" s="6" customFormat="1" ht="13" customHeight="1">
      <c r="A13" s="139" t="s">
        <v>84</v>
      </c>
      <c r="B13" s="63" t="s">
        <v>3</v>
      </c>
      <c r="C13" s="178">
        <f>11401171/1000000</f>
        <v>11.401171</v>
      </c>
      <c r="D13" s="345"/>
      <c r="E13" s="40"/>
      <c r="F13" s="85"/>
      <c r="G13" s="363"/>
      <c r="H13" s="248" t="s">
        <v>75</v>
      </c>
      <c r="I13" s="362">
        <f>21998996/1000000</f>
        <v>21.998996000000002</v>
      </c>
      <c r="J13" s="248" t="s">
        <v>75</v>
      </c>
      <c r="K13" s="37">
        <f>6213441/1000000</f>
        <v>6.2134410000000004</v>
      </c>
      <c r="L13" s="67" t="s">
        <v>31</v>
      </c>
      <c r="M13" s="241" t="s">
        <v>402</v>
      </c>
      <c r="N13" s="211"/>
    </row>
    <row r="14" spans="1:14" s="6" customFormat="1" ht="13" customHeight="1">
      <c r="A14" s="143" t="s">
        <v>44</v>
      </c>
      <c r="B14" s="111"/>
      <c r="C14" s="147"/>
      <c r="D14" s="88" t="s">
        <v>125</v>
      </c>
      <c r="E14" s="39">
        <v>7</v>
      </c>
      <c r="F14" s="63" t="s">
        <v>124</v>
      </c>
      <c r="G14" s="227">
        <v>3.1</v>
      </c>
      <c r="H14" s="248" t="s">
        <v>126</v>
      </c>
      <c r="I14" s="362">
        <v>20.8</v>
      </c>
      <c r="J14" s="317"/>
      <c r="K14" s="217"/>
      <c r="L14" s="111"/>
      <c r="M14" s="240"/>
      <c r="N14" s="211"/>
    </row>
    <row r="15" spans="1:14" ht="13" customHeight="1">
      <c r="A15" s="137" t="s">
        <v>52</v>
      </c>
      <c r="B15" s="156" t="s">
        <v>16</v>
      </c>
      <c r="C15" s="48">
        <v>13.3</v>
      </c>
      <c r="D15" s="346" t="s">
        <v>16</v>
      </c>
      <c r="E15" s="48">
        <v>8.9</v>
      </c>
      <c r="H15" s="248" t="s">
        <v>76</v>
      </c>
      <c r="I15" s="362">
        <v>18.7</v>
      </c>
      <c r="J15" s="248" t="s">
        <v>76</v>
      </c>
      <c r="K15" s="37">
        <v>5.8</v>
      </c>
      <c r="L15" s="233" t="s">
        <v>65</v>
      </c>
      <c r="M15" s="203" t="s">
        <v>403</v>
      </c>
    </row>
    <row r="16" spans="1:14" ht="13" customHeight="1">
      <c r="A16" s="137" t="s">
        <v>52</v>
      </c>
      <c r="B16" s="156" t="s">
        <v>15</v>
      </c>
      <c r="C16" s="48">
        <v>13.6</v>
      </c>
      <c r="D16" s="346" t="s">
        <v>15</v>
      </c>
      <c r="E16" s="48">
        <v>9.1</v>
      </c>
    </row>
    <row r="17" spans="1:16" ht="13" customHeight="1">
      <c r="A17" s="137" t="s">
        <v>52</v>
      </c>
      <c r="B17" s="63" t="s">
        <v>4</v>
      </c>
      <c r="C17" s="178">
        <v>12.5</v>
      </c>
      <c r="N17" s="154"/>
      <c r="O17" s="116"/>
    </row>
    <row r="18" spans="1:16" ht="13" customHeight="1">
      <c r="A18" s="137" t="s">
        <v>56</v>
      </c>
      <c r="H18" s="248" t="s">
        <v>28</v>
      </c>
      <c r="I18" s="362">
        <v>29.6</v>
      </c>
      <c r="N18" s="154"/>
      <c r="O18" s="116"/>
    </row>
    <row r="19" spans="1:16" ht="13" customHeight="1">
      <c r="A19" s="137" t="s">
        <v>85</v>
      </c>
      <c r="B19" s="208"/>
      <c r="C19" s="21"/>
      <c r="D19" s="346" t="s">
        <v>19</v>
      </c>
      <c r="E19" s="61">
        <f>12648568/1000000</f>
        <v>12.648567999999999</v>
      </c>
      <c r="F19" s="64" t="s">
        <v>19</v>
      </c>
      <c r="G19" s="225">
        <f>4575189/1000000</f>
        <v>4.575189</v>
      </c>
      <c r="H19" s="356" t="s">
        <v>77</v>
      </c>
      <c r="I19" s="15">
        <f>28541508/1000000</f>
        <v>28.541508</v>
      </c>
      <c r="J19" s="321" t="s">
        <v>77</v>
      </c>
      <c r="K19" s="46">
        <f>15387902/1000000</f>
        <v>15.387902</v>
      </c>
      <c r="L19" s="33"/>
      <c r="M19" s="236"/>
      <c r="N19" s="154"/>
      <c r="P19" s="116"/>
    </row>
    <row r="20" spans="1:16" ht="13" customHeight="1">
      <c r="A20" s="137" t="s">
        <v>37</v>
      </c>
      <c r="B20" s="64" t="s">
        <v>20</v>
      </c>
      <c r="C20" s="225">
        <v>1.2</v>
      </c>
      <c r="D20" s="253" t="s">
        <v>32</v>
      </c>
      <c r="E20" s="43">
        <v>17.7</v>
      </c>
      <c r="J20" s="248" t="s">
        <v>390</v>
      </c>
      <c r="K20" s="37">
        <v>11.8</v>
      </c>
      <c r="L20" s="66" t="s">
        <v>390</v>
      </c>
      <c r="M20" s="122" t="s">
        <v>404</v>
      </c>
      <c r="N20" s="150"/>
      <c r="O20" s="133"/>
      <c r="P20" s="116"/>
    </row>
    <row r="21" spans="1:16" ht="13" customHeight="1">
      <c r="A21" s="145" t="s">
        <v>175</v>
      </c>
      <c r="B21" s="71" t="s">
        <v>129</v>
      </c>
      <c r="C21" s="4">
        <v>10.745100000000001</v>
      </c>
      <c r="D21" s="91" t="s">
        <v>128</v>
      </c>
      <c r="E21" s="371">
        <v>10.036640999999999</v>
      </c>
      <c r="F21" s="185" t="s">
        <v>129</v>
      </c>
      <c r="G21" s="48">
        <v>2.4299590000000002</v>
      </c>
      <c r="H21" s="318" t="s">
        <v>130</v>
      </c>
      <c r="I21" s="362">
        <v>31.354437999999998</v>
      </c>
      <c r="J21" s="333" t="s">
        <v>130</v>
      </c>
      <c r="K21" s="46">
        <v>15.201243</v>
      </c>
      <c r="M21" s="240"/>
      <c r="N21" s="150"/>
      <c r="O21" s="218"/>
      <c r="P21" s="116"/>
    </row>
    <row r="22" spans="1:16" ht="13" customHeight="1">
      <c r="A22" s="145" t="s">
        <v>176</v>
      </c>
      <c r="B22" s="71" t="s">
        <v>178</v>
      </c>
      <c r="C22" s="4">
        <v>14.591379</v>
      </c>
      <c r="D22" s="91" t="s">
        <v>131</v>
      </c>
      <c r="E22" s="228">
        <v>10.028631000000001</v>
      </c>
      <c r="F22" s="86"/>
      <c r="G22" s="45"/>
      <c r="H22" s="348"/>
      <c r="I22" s="45"/>
      <c r="J22" s="348"/>
      <c r="K22" s="40"/>
      <c r="M22" s="240"/>
      <c r="N22" s="150"/>
      <c r="O22" s="218"/>
    </row>
    <row r="23" spans="1:16" ht="13" customHeight="1">
      <c r="A23" s="137" t="s">
        <v>38</v>
      </c>
      <c r="B23" s="64" t="s">
        <v>21</v>
      </c>
      <c r="C23" s="225">
        <v>13.8</v>
      </c>
      <c r="H23" s="321" t="s">
        <v>78</v>
      </c>
      <c r="I23" s="338">
        <v>18.7</v>
      </c>
      <c r="J23" s="248" t="s">
        <v>78</v>
      </c>
      <c r="K23" s="37">
        <v>5.7</v>
      </c>
      <c r="N23" s="150"/>
      <c r="O23" s="218"/>
    </row>
    <row r="24" spans="1:16" ht="13" customHeight="1">
      <c r="A24" s="137" t="s">
        <v>39</v>
      </c>
      <c r="F24" s="63" t="s">
        <v>5</v>
      </c>
      <c r="G24" s="227">
        <v>0.7</v>
      </c>
      <c r="L24" s="66" t="s">
        <v>81</v>
      </c>
      <c r="M24" s="122" t="s">
        <v>405</v>
      </c>
      <c r="N24" s="150"/>
      <c r="O24" s="218"/>
    </row>
    <row r="25" spans="1:16" ht="13" customHeight="1">
      <c r="A25" s="374" t="s">
        <v>86</v>
      </c>
      <c r="B25" s="214"/>
      <c r="C25" s="351"/>
      <c r="D25" s="253" t="s">
        <v>33</v>
      </c>
      <c r="E25" s="43">
        <f>15946983/1000000</f>
        <v>15.946982999999999</v>
      </c>
      <c r="F25" s="33"/>
      <c r="G25" s="183"/>
      <c r="H25" s="248" t="s">
        <v>79</v>
      </c>
      <c r="I25" s="362">
        <f>29700807/1000000</f>
        <v>29.700807000000001</v>
      </c>
      <c r="J25" s="321" t="s">
        <v>79</v>
      </c>
      <c r="K25" s="46">
        <f>16737219/1000000</f>
        <v>16.737219</v>
      </c>
      <c r="L25" s="67" t="s">
        <v>33</v>
      </c>
      <c r="M25" s="241" t="s">
        <v>406</v>
      </c>
      <c r="N25" s="150"/>
    </row>
    <row r="26" spans="1:16" ht="13" customHeight="1">
      <c r="A26" s="375"/>
      <c r="B26" s="64" t="s">
        <v>22</v>
      </c>
      <c r="C26" s="4">
        <f>11717942/1000000</f>
        <v>11.717942000000001</v>
      </c>
      <c r="D26" s="247"/>
      <c r="E26" s="28"/>
      <c r="F26" s="33"/>
      <c r="G26" s="183"/>
      <c r="H26" s="247"/>
      <c r="I26" s="45"/>
      <c r="J26" s="247"/>
      <c r="K26" s="40"/>
      <c r="L26" s="156" t="s">
        <v>22</v>
      </c>
      <c r="M26" s="242" t="s">
        <v>407</v>
      </c>
      <c r="O26" s="218"/>
    </row>
    <row r="27" spans="1:16" ht="13" customHeight="1">
      <c r="A27" s="141" t="s">
        <v>87</v>
      </c>
      <c r="B27" s="10"/>
      <c r="C27" s="352"/>
      <c r="D27" s="87" t="s">
        <v>6</v>
      </c>
      <c r="E27" s="38">
        <f>15625602/1000000</f>
        <v>15.625602000000001</v>
      </c>
      <c r="F27" s="33"/>
      <c r="G27" s="183"/>
      <c r="H27" s="247"/>
      <c r="I27" s="45"/>
      <c r="J27" s="360"/>
      <c r="K27" s="215"/>
      <c r="L27" s="209"/>
      <c r="M27" s="236"/>
      <c r="O27" s="218"/>
    </row>
    <row r="28" spans="1:16" ht="13" customHeight="1">
      <c r="A28" s="141" t="s">
        <v>87</v>
      </c>
      <c r="B28" s="83"/>
      <c r="C28" s="352"/>
      <c r="D28" s="253" t="s">
        <v>34</v>
      </c>
      <c r="E28" s="43">
        <f>15973248/1000000</f>
        <v>15.973248</v>
      </c>
      <c r="F28" s="63" t="s">
        <v>6</v>
      </c>
      <c r="G28" s="227">
        <f>1020570/1000000</f>
        <v>1.02057</v>
      </c>
      <c r="H28" s="248" t="s">
        <v>80</v>
      </c>
      <c r="I28" s="362">
        <f>20004820/1000000</f>
        <v>20.004819999999999</v>
      </c>
      <c r="J28" s="360"/>
      <c r="K28" s="215"/>
      <c r="L28" s="33"/>
      <c r="M28" s="236"/>
    </row>
    <row r="29" spans="1:16" ht="13" customHeight="1">
      <c r="A29" s="141" t="s">
        <v>88</v>
      </c>
      <c r="B29" s="63" t="s">
        <v>7</v>
      </c>
      <c r="C29" s="178">
        <f>11300739/1000000</f>
        <v>11.300739</v>
      </c>
      <c r="D29" s="88" t="s">
        <v>23</v>
      </c>
      <c r="E29" s="39">
        <f>3508639/1000000</f>
        <v>3.5086390000000001</v>
      </c>
      <c r="F29" s="10"/>
      <c r="G29" s="364"/>
      <c r="H29" s="357"/>
      <c r="I29" s="364"/>
      <c r="J29" s="360"/>
      <c r="K29" s="215"/>
      <c r="L29" s="209"/>
      <c r="M29" s="236"/>
    </row>
    <row r="30" spans="1:16" ht="13" customHeight="1">
      <c r="A30" s="374" t="s">
        <v>40</v>
      </c>
      <c r="B30" s="63" t="s">
        <v>8</v>
      </c>
      <c r="C30" s="178">
        <v>12.5</v>
      </c>
      <c r="D30" s="347" t="s">
        <v>8</v>
      </c>
      <c r="E30" s="234">
        <v>2.2000000000000002</v>
      </c>
      <c r="H30" s="248" t="s">
        <v>70</v>
      </c>
      <c r="I30" s="362">
        <v>18.8</v>
      </c>
      <c r="M30" s="240"/>
    </row>
    <row r="31" spans="1:16" ht="13" customHeight="1">
      <c r="A31" s="376"/>
      <c r="B31" s="64" t="s">
        <v>354</v>
      </c>
      <c r="C31" s="225">
        <v>13.5</v>
      </c>
      <c r="D31" s="88" t="s">
        <v>354</v>
      </c>
      <c r="E31" s="39">
        <v>9</v>
      </c>
      <c r="M31" s="240"/>
    </row>
    <row r="32" spans="1:16" ht="13" customHeight="1">
      <c r="A32" s="375"/>
      <c r="D32" s="253" t="s">
        <v>35</v>
      </c>
      <c r="E32" s="43">
        <v>11</v>
      </c>
      <c r="M32" s="240"/>
    </row>
    <row r="33" spans="1:14" ht="13" customHeight="1">
      <c r="A33" s="374" t="s">
        <v>51</v>
      </c>
      <c r="B33" s="156" t="s">
        <v>96</v>
      </c>
      <c r="C33" s="48">
        <v>14.2</v>
      </c>
      <c r="F33" s="63" t="s">
        <v>95</v>
      </c>
      <c r="G33" s="178">
        <v>0.8</v>
      </c>
      <c r="H33" s="248" t="s">
        <v>97</v>
      </c>
      <c r="I33" s="362">
        <v>19.5</v>
      </c>
      <c r="L33" s="111" t="s">
        <v>392</v>
      </c>
      <c r="M33" s="236" t="s">
        <v>408</v>
      </c>
    </row>
    <row r="34" spans="1:14" ht="13" customHeight="1">
      <c r="A34" s="375"/>
      <c r="C34" s="353"/>
      <c r="F34" s="86" t="s">
        <v>391</v>
      </c>
      <c r="G34" s="45">
        <v>1.5</v>
      </c>
      <c r="I34" s="369"/>
      <c r="M34" s="243"/>
    </row>
    <row r="35" spans="1:14" ht="13" customHeight="1">
      <c r="A35" s="374" t="s">
        <v>42</v>
      </c>
      <c r="B35" s="64" t="s">
        <v>143</v>
      </c>
      <c r="C35" s="225">
        <v>9</v>
      </c>
      <c r="D35" s="346" t="s">
        <v>143</v>
      </c>
      <c r="E35" s="61">
        <v>0.8</v>
      </c>
      <c r="F35" s="219"/>
      <c r="H35" s="248" t="s">
        <v>144</v>
      </c>
      <c r="I35" s="362">
        <v>31.4</v>
      </c>
      <c r="J35" s="248" t="s">
        <v>144</v>
      </c>
      <c r="K35" s="37">
        <v>15.2</v>
      </c>
      <c r="L35" s="131"/>
    </row>
    <row r="36" spans="1:14" ht="13" customHeight="1">
      <c r="A36" s="376"/>
      <c r="B36" s="63" t="s">
        <v>142</v>
      </c>
      <c r="C36" s="178">
        <v>2.7</v>
      </c>
      <c r="D36" s="87" t="s">
        <v>142</v>
      </c>
      <c r="E36" s="7">
        <v>14.3</v>
      </c>
      <c r="F36" s="219"/>
    </row>
    <row r="37" spans="1:14" ht="13" customHeight="1">
      <c r="A37" s="375"/>
      <c r="D37" s="348" t="s">
        <v>393</v>
      </c>
      <c r="E37" s="40">
        <v>15.9</v>
      </c>
      <c r="L37" s="131"/>
    </row>
    <row r="38" spans="1:14" ht="13" customHeight="1">
      <c r="A38" s="377" t="s">
        <v>177</v>
      </c>
      <c r="B38" s="201" t="s">
        <v>310</v>
      </c>
      <c r="C38" s="354">
        <v>10.617436</v>
      </c>
      <c r="D38" s="349" t="s">
        <v>450</v>
      </c>
      <c r="E38" s="78">
        <v>0.80951200000000001</v>
      </c>
      <c r="F38" s="91" t="s">
        <v>454</v>
      </c>
      <c r="G38" s="371">
        <v>4.1592560000000001</v>
      </c>
      <c r="L38" s="73" t="s">
        <v>395</v>
      </c>
      <c r="M38" s="244" t="s">
        <v>409</v>
      </c>
    </row>
    <row r="39" spans="1:14" ht="13" customHeight="1">
      <c r="A39" s="379"/>
      <c r="B39" s="201" t="s">
        <v>394</v>
      </c>
      <c r="C39" s="354">
        <v>10.627091</v>
      </c>
      <c r="D39" s="343" t="s">
        <v>451</v>
      </c>
      <c r="E39" s="186">
        <v>1.1794629999999999</v>
      </c>
      <c r="F39" s="91" t="s">
        <v>455</v>
      </c>
      <c r="G39" s="228">
        <v>4.1461389999999998</v>
      </c>
    </row>
    <row r="40" spans="1:14" ht="13" customHeight="1">
      <c r="A40" s="145" t="s">
        <v>171</v>
      </c>
      <c r="D40" s="98" t="s">
        <v>294</v>
      </c>
      <c r="E40" s="77">
        <v>10.8</v>
      </c>
      <c r="F40" s="71" t="s">
        <v>293</v>
      </c>
      <c r="G40" s="230">
        <v>2.1</v>
      </c>
      <c r="H40" s="318" t="s">
        <v>292</v>
      </c>
      <c r="I40" s="367">
        <v>18.8</v>
      </c>
      <c r="J40" s="318" t="s">
        <v>303</v>
      </c>
      <c r="K40" s="79">
        <v>4.5999999999999996</v>
      </c>
      <c r="L40" s="73" t="s">
        <v>302</v>
      </c>
      <c r="M40" s="244" t="s">
        <v>410</v>
      </c>
    </row>
    <row r="41" spans="1:14" ht="13" customHeight="1">
      <c r="A41" s="145" t="s">
        <v>171</v>
      </c>
      <c r="D41" s="98" t="s">
        <v>295</v>
      </c>
      <c r="E41" s="77">
        <v>13.5</v>
      </c>
      <c r="F41" s="71" t="s">
        <v>186</v>
      </c>
      <c r="G41" s="230">
        <v>2.7</v>
      </c>
      <c r="M41" s="240"/>
    </row>
    <row r="42" spans="1:14" ht="13" customHeight="1">
      <c r="A42" s="137" t="s">
        <v>396</v>
      </c>
      <c r="B42" s="86" t="s">
        <v>397</v>
      </c>
      <c r="C42" s="45">
        <v>2.5</v>
      </c>
      <c r="H42" s="248" t="s">
        <v>147</v>
      </c>
      <c r="I42" s="362">
        <v>28.4</v>
      </c>
      <c r="M42" s="240"/>
    </row>
    <row r="43" spans="1:14" ht="13" customHeight="1">
      <c r="A43" s="137" t="s">
        <v>121</v>
      </c>
      <c r="F43" s="64" t="s">
        <v>165</v>
      </c>
      <c r="G43" s="225">
        <v>3.8</v>
      </c>
      <c r="H43" s="248" t="s">
        <v>166</v>
      </c>
      <c r="I43" s="362">
        <v>30.1</v>
      </c>
      <c r="J43" s="248" t="s">
        <v>166</v>
      </c>
      <c r="K43" s="37">
        <v>16.2</v>
      </c>
      <c r="L43" s="311" t="s">
        <v>121</v>
      </c>
      <c r="M43" s="312" t="s">
        <v>411</v>
      </c>
    </row>
    <row r="44" spans="1:14" ht="13" customHeight="1">
      <c r="A44" s="374" t="s">
        <v>54</v>
      </c>
      <c r="B44" s="64" t="s">
        <v>24</v>
      </c>
      <c r="C44" s="225">
        <v>7.6</v>
      </c>
      <c r="D44" s="88" t="s">
        <v>24</v>
      </c>
      <c r="E44" s="39">
        <v>4.7</v>
      </c>
      <c r="H44" s="248" t="s">
        <v>71</v>
      </c>
      <c r="I44" s="362">
        <v>29.1</v>
      </c>
      <c r="L44" s="67" t="s">
        <v>36</v>
      </c>
      <c r="M44" s="241" t="s">
        <v>412</v>
      </c>
    </row>
    <row r="45" spans="1:14" ht="13" customHeight="1">
      <c r="A45" s="375"/>
      <c r="B45" s="63" t="s">
        <v>9</v>
      </c>
      <c r="C45" s="178">
        <v>2.6</v>
      </c>
      <c r="D45" s="87" t="s">
        <v>9</v>
      </c>
      <c r="E45" s="7">
        <v>14.1</v>
      </c>
      <c r="N45" s="220"/>
    </row>
    <row r="46" spans="1:14" s="118" customFormat="1" ht="13" customHeight="1">
      <c r="A46" s="137" t="s">
        <v>46</v>
      </c>
      <c r="B46" s="63" t="s">
        <v>138</v>
      </c>
      <c r="C46" s="227">
        <v>3.7</v>
      </c>
      <c r="D46" s="317"/>
      <c r="E46" s="42"/>
      <c r="F46" s="131"/>
      <c r="G46" s="229"/>
      <c r="H46" s="248" t="s">
        <v>140</v>
      </c>
      <c r="I46" s="362">
        <v>20</v>
      </c>
      <c r="J46" s="248" t="s">
        <v>140</v>
      </c>
      <c r="K46" s="37">
        <v>4.5999999999999996</v>
      </c>
      <c r="L46" s="111"/>
      <c r="M46" s="240"/>
      <c r="N46" s="126"/>
    </row>
    <row r="47" spans="1:14" ht="13" customHeight="1">
      <c r="A47" s="374" t="s">
        <v>41</v>
      </c>
      <c r="B47" s="64" t="s">
        <v>99</v>
      </c>
      <c r="C47" s="225">
        <v>8.9</v>
      </c>
      <c r="D47" s="346" t="s">
        <v>99</v>
      </c>
      <c r="E47" s="61">
        <v>0.8</v>
      </c>
      <c r="H47" s="321" t="s">
        <v>100</v>
      </c>
      <c r="I47" s="338">
        <v>18.600000000000001</v>
      </c>
      <c r="J47" s="248" t="s">
        <v>100</v>
      </c>
      <c r="K47" s="37">
        <v>5.7</v>
      </c>
    </row>
    <row r="48" spans="1:14" ht="13" customHeight="1">
      <c r="A48" s="375"/>
      <c r="D48" s="253" t="s">
        <v>101</v>
      </c>
      <c r="E48" s="43">
        <v>15.8</v>
      </c>
    </row>
    <row r="49" spans="1:17" ht="13" customHeight="1">
      <c r="A49" s="137" t="s">
        <v>49</v>
      </c>
      <c r="D49" s="350"/>
      <c r="E49" s="44"/>
      <c r="H49" s="248" t="s">
        <v>153</v>
      </c>
      <c r="I49" s="362">
        <v>28.4</v>
      </c>
    </row>
    <row r="50" spans="1:17" ht="13" customHeight="1">
      <c r="A50" s="137" t="s">
        <v>45</v>
      </c>
      <c r="D50" s="87" t="s">
        <v>135</v>
      </c>
      <c r="E50" s="38">
        <v>10.199999999999999</v>
      </c>
      <c r="F50" s="63" t="s">
        <v>135</v>
      </c>
      <c r="G50" s="227">
        <v>2.9</v>
      </c>
      <c r="L50" s="64" t="s">
        <v>136</v>
      </c>
      <c r="M50" s="125" t="s">
        <v>413</v>
      </c>
      <c r="O50" s="222"/>
      <c r="P50" s="223"/>
      <c r="Q50" s="223"/>
    </row>
    <row r="51" spans="1:17" ht="13" customHeight="1">
      <c r="A51" s="137" t="s">
        <v>48</v>
      </c>
      <c r="D51" s="87" t="s">
        <v>149</v>
      </c>
      <c r="E51" s="7">
        <v>14.3</v>
      </c>
      <c r="J51" s="248" t="s">
        <v>150</v>
      </c>
      <c r="K51" s="37">
        <v>15.3</v>
      </c>
      <c r="P51" s="224"/>
    </row>
    <row r="52" spans="1:17" ht="13" customHeight="1">
      <c r="A52" s="374" t="s">
        <v>43</v>
      </c>
      <c r="B52" s="64" t="s">
        <v>158</v>
      </c>
      <c r="C52" s="225">
        <v>10.9</v>
      </c>
      <c r="D52" s="348" t="s">
        <v>399</v>
      </c>
      <c r="E52" s="40">
        <v>6.8</v>
      </c>
      <c r="H52" s="248" t="s">
        <v>163</v>
      </c>
      <c r="I52" s="362">
        <v>29.9</v>
      </c>
      <c r="J52" s="248" t="s">
        <v>161</v>
      </c>
      <c r="K52" s="37">
        <v>16.3</v>
      </c>
      <c r="L52" s="64" t="s">
        <v>314</v>
      </c>
      <c r="M52" s="125" t="s">
        <v>414</v>
      </c>
      <c r="P52" s="132"/>
    </row>
    <row r="53" spans="1:17" ht="13" customHeight="1">
      <c r="A53" s="376"/>
      <c r="B53" s="64" t="s">
        <v>158</v>
      </c>
      <c r="C53" s="225">
        <v>14.3</v>
      </c>
      <c r="D53" s="88" t="s">
        <v>313</v>
      </c>
      <c r="E53" s="225">
        <v>7.3</v>
      </c>
      <c r="H53" s="248" t="s">
        <v>159</v>
      </c>
      <c r="I53" s="362">
        <v>31.3</v>
      </c>
      <c r="J53" s="248" t="s">
        <v>163</v>
      </c>
      <c r="K53" s="37">
        <v>16.399999999999999</v>
      </c>
      <c r="M53" s="236"/>
      <c r="P53" s="132"/>
    </row>
    <row r="54" spans="1:17" ht="13" customHeight="1">
      <c r="A54" s="376"/>
      <c r="D54" s="88" t="s">
        <v>160</v>
      </c>
      <c r="E54" s="39">
        <v>7.3</v>
      </c>
      <c r="J54" s="248" t="s">
        <v>164</v>
      </c>
      <c r="K54" s="37">
        <v>16.399999999999999</v>
      </c>
      <c r="M54" s="236"/>
      <c r="O54" s="132"/>
      <c r="P54" s="132"/>
    </row>
    <row r="55" spans="1:17" ht="13" customHeight="1">
      <c r="A55" s="375"/>
      <c r="D55" s="348" t="s">
        <v>398</v>
      </c>
      <c r="E55" s="40">
        <v>16.100000000000001</v>
      </c>
      <c r="M55" s="236"/>
      <c r="P55" s="132"/>
    </row>
    <row r="56" spans="1:17" ht="13" customHeight="1">
      <c r="A56" s="374" t="s">
        <v>400</v>
      </c>
      <c r="D56" s="253" t="s">
        <v>360</v>
      </c>
      <c r="E56" s="43">
        <v>3.2</v>
      </c>
      <c r="F56" s="63" t="s">
        <v>104</v>
      </c>
      <c r="G56" s="227">
        <v>0.6</v>
      </c>
      <c r="J56" s="248" t="s">
        <v>106</v>
      </c>
      <c r="K56" s="37">
        <v>17.54</v>
      </c>
      <c r="L56" s="166" t="s">
        <v>106</v>
      </c>
      <c r="M56" s="245" t="s">
        <v>415</v>
      </c>
      <c r="P56" s="132"/>
    </row>
    <row r="57" spans="1:17" ht="13" customHeight="1">
      <c r="A57" s="376"/>
      <c r="D57" s="253" t="s">
        <v>360</v>
      </c>
      <c r="E57" s="43">
        <v>10.8</v>
      </c>
      <c r="F57" s="64" t="s">
        <v>105</v>
      </c>
      <c r="G57" s="225">
        <v>2.7</v>
      </c>
      <c r="P57" s="132"/>
    </row>
    <row r="58" spans="1:17" ht="13" customHeight="1">
      <c r="A58" s="375"/>
      <c r="F58" s="156" t="s">
        <v>105</v>
      </c>
      <c r="G58" s="48">
        <v>3.8</v>
      </c>
    </row>
    <row r="59" spans="1:17" ht="13" customHeight="1">
      <c r="A59" s="374" t="s">
        <v>0</v>
      </c>
      <c r="B59" s="86" t="s">
        <v>401</v>
      </c>
      <c r="C59" s="45">
        <v>12.6</v>
      </c>
      <c r="D59" s="348" t="s">
        <v>399</v>
      </c>
      <c r="E59" s="40">
        <v>10.1</v>
      </c>
      <c r="M59" s="240"/>
    </row>
    <row r="60" spans="1:17" ht="13" customHeight="1">
      <c r="A60" s="375"/>
      <c r="B60" s="156" t="s">
        <v>109</v>
      </c>
      <c r="C60" s="48">
        <v>8.8000000000000007</v>
      </c>
      <c r="D60" s="253" t="s">
        <v>111</v>
      </c>
      <c r="E60" s="43">
        <v>15.9</v>
      </c>
      <c r="F60" s="156" t="s">
        <v>109</v>
      </c>
      <c r="G60" s="48">
        <v>4.0999999999999996</v>
      </c>
      <c r="H60" s="248" t="s">
        <v>315</v>
      </c>
      <c r="I60" s="362">
        <v>18.399999999999999</v>
      </c>
      <c r="L60" s="67" t="s">
        <v>111</v>
      </c>
      <c r="M60" s="241" t="s">
        <v>416</v>
      </c>
    </row>
    <row r="61" spans="1:17" ht="13" customHeight="1">
      <c r="A61" s="137" t="s">
        <v>89</v>
      </c>
      <c r="B61" s="63" t="s">
        <v>10</v>
      </c>
      <c r="C61" s="178">
        <f>4907492/1000000</f>
        <v>4.9074920000000004</v>
      </c>
      <c r="D61" s="253" t="s">
        <v>61</v>
      </c>
      <c r="E61" s="226">
        <f>15900070/1000000</f>
        <v>15.900069999999999</v>
      </c>
      <c r="F61" s="208"/>
      <c r="G61" s="365"/>
      <c r="H61" s="357"/>
      <c r="I61" s="364"/>
      <c r="J61" s="360"/>
      <c r="K61" s="215"/>
      <c r="L61" s="33"/>
      <c r="M61" s="236"/>
    </row>
    <row r="62" spans="1:17" ht="13" customHeight="1">
      <c r="A62" s="374" t="s">
        <v>57</v>
      </c>
      <c r="F62" s="64" t="s">
        <v>113</v>
      </c>
      <c r="G62" s="225">
        <v>3.6</v>
      </c>
      <c r="J62" s="248" t="s">
        <v>114</v>
      </c>
      <c r="K62" s="37">
        <v>5.5</v>
      </c>
    </row>
    <row r="63" spans="1:17" ht="13" customHeight="1">
      <c r="A63" s="375"/>
      <c r="F63" s="64" t="s">
        <v>113</v>
      </c>
      <c r="G63" s="225">
        <v>4.8</v>
      </c>
    </row>
    <row r="64" spans="1:17" ht="13" customHeight="1">
      <c r="A64" s="141" t="s">
        <v>90</v>
      </c>
      <c r="B64" s="64" t="s">
        <v>25</v>
      </c>
      <c r="C64" s="4">
        <f>10769471/1000000</f>
        <v>10.769470999999999</v>
      </c>
      <c r="D64" s="253" t="s">
        <v>62</v>
      </c>
      <c r="E64" s="43">
        <f>12383649/1000000</f>
        <v>12.383649</v>
      </c>
      <c r="F64" s="83"/>
      <c r="G64" s="366"/>
      <c r="H64" s="358"/>
      <c r="I64" s="366"/>
      <c r="J64" s="361"/>
      <c r="K64" s="216"/>
      <c r="L64" s="33"/>
      <c r="M64" s="236"/>
    </row>
    <row r="65" spans="1:13" ht="13" customHeight="1">
      <c r="A65" s="137" t="s">
        <v>91</v>
      </c>
      <c r="B65" s="83"/>
      <c r="C65" s="355"/>
      <c r="D65" s="88" t="s">
        <v>26</v>
      </c>
      <c r="E65" s="39">
        <f>3557195/1000000</f>
        <v>3.5571950000000001</v>
      </c>
      <c r="F65" s="64" t="s">
        <v>27</v>
      </c>
      <c r="G65" s="225">
        <f>2520261/1000000</f>
        <v>2.5202610000000001</v>
      </c>
      <c r="H65" s="248" t="s">
        <v>82</v>
      </c>
      <c r="I65" s="362">
        <f>20026722/1000000</f>
        <v>20.026721999999999</v>
      </c>
      <c r="J65" s="361"/>
      <c r="K65" s="216"/>
      <c r="L65" s="67" t="s">
        <v>63</v>
      </c>
      <c r="M65" s="241" t="s">
        <v>417</v>
      </c>
    </row>
    <row r="66" spans="1:13" ht="13" customHeight="1">
      <c r="A66" s="374" t="s">
        <v>58</v>
      </c>
      <c r="D66" s="253" t="s">
        <v>117</v>
      </c>
      <c r="E66" s="43">
        <v>10.8</v>
      </c>
      <c r="F66" s="86"/>
      <c r="G66" s="45">
        <v>4.6399999999999997</v>
      </c>
      <c r="H66" s="248" t="s">
        <v>116</v>
      </c>
      <c r="I66" s="362">
        <v>28.7</v>
      </c>
      <c r="J66" s="248" t="s">
        <v>116</v>
      </c>
      <c r="K66" s="37">
        <v>15.36</v>
      </c>
      <c r="L66" s="64" t="s">
        <v>118</v>
      </c>
      <c r="M66" s="125" t="s">
        <v>418</v>
      </c>
    </row>
    <row r="67" spans="1:13" ht="13" customHeight="1">
      <c r="A67" s="376"/>
      <c r="L67" s="301" t="s">
        <v>119</v>
      </c>
      <c r="M67" s="302" t="s">
        <v>419</v>
      </c>
    </row>
    <row r="68" spans="1:13" ht="13" customHeight="1">
      <c r="A68" s="376"/>
      <c r="L68" s="301" t="s">
        <v>119</v>
      </c>
      <c r="M68" s="302" t="s">
        <v>420</v>
      </c>
    </row>
    <row r="69" spans="1:13" ht="13" customHeight="1">
      <c r="A69" s="118"/>
      <c r="F69" s="129"/>
    </row>
    <row r="70" spans="1:13" ht="13" customHeight="1">
      <c r="A70" s="118"/>
      <c r="F70" s="129"/>
      <c r="H70" s="330"/>
    </row>
    <row r="71" spans="1:13" ht="13" customHeight="1">
      <c r="F71" s="129"/>
      <c r="H71" s="330"/>
    </row>
    <row r="72" spans="1:13" ht="13" customHeight="1">
      <c r="F72" s="129"/>
      <c r="H72" s="330"/>
    </row>
    <row r="73" spans="1:13" ht="13" customHeight="1">
      <c r="H73" s="317" t="s">
        <v>385</v>
      </c>
    </row>
    <row r="75" spans="1:13" ht="13" customHeight="1">
      <c r="B75" s="131"/>
    </row>
    <row r="77" spans="1:13" ht="13" customHeight="1">
      <c r="B77" s="159"/>
    </row>
  </sheetData>
  <sortState ref="A2:N69">
    <sortCondition ref="A2:A69"/>
    <sortCondition ref="E2:E69"/>
  </sortState>
  <mergeCells count="21">
    <mergeCell ref="L1:M1"/>
    <mergeCell ref="B1:C1"/>
    <mergeCell ref="D1:E1"/>
    <mergeCell ref="F1:G1"/>
    <mergeCell ref="H1:I1"/>
    <mergeCell ref="J1:K1"/>
    <mergeCell ref="A2:A3"/>
    <mergeCell ref="A5:A7"/>
    <mergeCell ref="A8:A10"/>
    <mergeCell ref="A25:A26"/>
    <mergeCell ref="A30:A32"/>
    <mergeCell ref="A33:A34"/>
    <mergeCell ref="A35:A37"/>
    <mergeCell ref="A38:A39"/>
    <mergeCell ref="A44:A45"/>
    <mergeCell ref="A47:A48"/>
    <mergeCell ref="A52:A55"/>
    <mergeCell ref="A56:A58"/>
    <mergeCell ref="A59:A60"/>
    <mergeCell ref="A62:A63"/>
    <mergeCell ref="A66:A68"/>
  </mergeCells>
  <phoneticPr fontId="2" type="noConversion"/>
  <pageMargins left="0.71" right="0.71" top="0.75000000000000011" bottom="0.75000000000000011" header="0.31" footer="0.31"/>
  <pageSetup paperSize="9" scale="81" fitToHeight="2" orientation="landscape"/>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Human</vt:lpstr>
      <vt:lpstr>Chicken</vt:lpstr>
      <vt:lpstr>Spotted gar</vt:lpstr>
      <vt:lpstr>Zebrafish</vt:lpstr>
      <vt:lpstr>Stickleback</vt:lpstr>
    </vt:vector>
  </TitlesOfParts>
  <Company>Uppsala university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Lagman</dc:creator>
  <cp:lastModifiedBy>Daniel Ocampo Daza</cp:lastModifiedBy>
  <cp:lastPrinted>2013-05-20T16:14:50Z</cp:lastPrinted>
  <dcterms:created xsi:type="dcterms:W3CDTF">2012-08-13T13:01:47Z</dcterms:created>
  <dcterms:modified xsi:type="dcterms:W3CDTF">2013-06-27T14:13:29Z</dcterms:modified>
</cp:coreProperties>
</file>