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5315" windowHeight="7995"/>
  </bookViews>
  <sheets>
    <sheet name="L1" sheetId="1" r:id="rId1"/>
    <sheet name="L1sense" sheetId="4" r:id="rId2"/>
    <sheet name="L1antisense" sheetId="5" r:id="rId3"/>
  </sheets>
  <calcPr calcId="125725"/>
</workbook>
</file>

<file path=xl/calcChain.xml><?xml version="1.0" encoding="utf-8"?>
<calcChain xmlns="http://schemas.openxmlformats.org/spreadsheetml/2006/main">
  <c r="M3" i="5"/>
  <c r="S3"/>
  <c r="M4"/>
  <c r="S4"/>
  <c r="M5"/>
  <c r="S5"/>
  <c r="M6"/>
  <c r="S6"/>
  <c r="M7"/>
  <c r="S7"/>
  <c r="M8"/>
  <c r="S8"/>
  <c r="M9"/>
  <c r="S9"/>
  <c r="M10"/>
  <c r="S10"/>
  <c r="M11"/>
  <c r="S11"/>
  <c r="M12"/>
  <c r="S12"/>
  <c r="M13"/>
  <c r="S13"/>
  <c r="M14"/>
  <c r="S14"/>
  <c r="M15"/>
  <c r="S15"/>
  <c r="M16"/>
  <c r="S16"/>
  <c r="M17"/>
  <c r="S17"/>
  <c r="M18"/>
  <c r="S18"/>
  <c r="M19"/>
  <c r="S19"/>
  <c r="M20"/>
  <c r="S20"/>
  <c r="M21"/>
  <c r="S21"/>
  <c r="M22"/>
  <c r="S22"/>
  <c r="M23"/>
  <c r="S23"/>
  <c r="M24"/>
  <c r="S24"/>
  <c r="M25"/>
  <c r="S25"/>
  <c r="M26"/>
  <c r="S26"/>
  <c r="M27"/>
  <c r="S27"/>
  <c r="M28"/>
  <c r="S28"/>
  <c r="M29"/>
  <c r="S29"/>
  <c r="M30"/>
  <c r="S30"/>
  <c r="S31"/>
  <c r="M32"/>
  <c r="S32"/>
  <c r="M33"/>
  <c r="S33"/>
  <c r="M34"/>
  <c r="S34"/>
  <c r="M35"/>
  <c r="S35"/>
  <c r="M36"/>
  <c r="S36"/>
  <c r="M37"/>
  <c r="S37"/>
  <c r="M38"/>
  <c r="S38"/>
  <c r="M39"/>
  <c r="S39"/>
  <c r="M40"/>
  <c r="S40"/>
  <c r="M41"/>
  <c r="S41"/>
  <c r="M42"/>
  <c r="S42"/>
  <c r="M43"/>
  <c r="S43"/>
  <c r="M44"/>
  <c r="S44"/>
  <c r="M45"/>
  <c r="S45"/>
  <c r="M46"/>
  <c r="S46"/>
  <c r="M47"/>
  <c r="S47"/>
  <c r="M48"/>
  <c r="S48"/>
  <c r="M49"/>
  <c r="S49"/>
  <c r="M50"/>
  <c r="S50"/>
  <c r="M51"/>
  <c r="S51"/>
  <c r="M52"/>
  <c r="S52"/>
  <c r="M53"/>
  <c r="S53"/>
  <c r="M54"/>
  <c r="S54"/>
  <c r="M55"/>
  <c r="S55"/>
  <c r="M56"/>
  <c r="S56"/>
  <c r="M57"/>
  <c r="M58"/>
  <c r="S58"/>
  <c r="M59"/>
  <c r="S59"/>
  <c r="M60"/>
  <c r="S60"/>
  <c r="M61"/>
  <c r="S61"/>
  <c r="M62"/>
  <c r="S62"/>
  <c r="M63"/>
  <c r="S63"/>
  <c r="M64"/>
  <c r="S64"/>
  <c r="M65"/>
  <c r="S65"/>
  <c r="M66"/>
  <c r="S66"/>
  <c r="M67"/>
  <c r="S67"/>
  <c r="M68"/>
  <c r="S68"/>
  <c r="M69"/>
  <c r="S69"/>
  <c r="M70"/>
  <c r="S70"/>
  <c r="M71"/>
  <c r="S71"/>
  <c r="M72"/>
  <c r="S72"/>
  <c r="M73"/>
  <c r="S73"/>
  <c r="M74"/>
  <c r="S74"/>
  <c r="M75"/>
  <c r="S75"/>
  <c r="M76"/>
  <c r="S76"/>
  <c r="M77"/>
  <c r="S77"/>
  <c r="M78"/>
  <c r="S78"/>
  <c r="M79"/>
  <c r="S79"/>
  <c r="M80"/>
  <c r="S80"/>
  <c r="M81"/>
  <c r="S81"/>
  <c r="M82"/>
  <c r="S82"/>
  <c r="M83"/>
  <c r="S83"/>
  <c r="M84"/>
  <c r="S84"/>
  <c r="M85"/>
  <c r="S85"/>
  <c r="M86"/>
  <c r="S86"/>
  <c r="M87"/>
  <c r="S87"/>
  <c r="M88"/>
  <c r="S88"/>
  <c r="M89"/>
  <c r="S89"/>
  <c r="M90"/>
  <c r="S90"/>
  <c r="M91"/>
  <c r="S91"/>
  <c r="M92"/>
  <c r="S92"/>
  <c r="M93"/>
  <c r="S93"/>
  <c r="M94"/>
  <c r="S94"/>
  <c r="M95"/>
  <c r="S95"/>
  <c r="M96"/>
  <c r="S96"/>
  <c r="M97"/>
  <c r="S97"/>
  <c r="M98"/>
  <c r="S98"/>
  <c r="M99"/>
  <c r="S99"/>
  <c r="M100"/>
  <c r="S100"/>
  <c r="M101"/>
  <c r="S101"/>
  <c r="M102"/>
  <c r="S102"/>
  <c r="M103"/>
  <c r="S103"/>
  <c r="M104"/>
  <c r="S104"/>
  <c r="M105"/>
  <c r="S105"/>
  <c r="M106"/>
  <c r="S106"/>
  <c r="M107"/>
  <c r="S107"/>
  <c r="M108"/>
  <c r="S108"/>
  <c r="M109"/>
  <c r="S109"/>
  <c r="M110"/>
  <c r="S110"/>
  <c r="M111"/>
  <c r="S111"/>
  <c r="M112"/>
  <c r="S112"/>
  <c r="M113"/>
  <c r="S113"/>
  <c r="M114"/>
  <c r="S114"/>
  <c r="M115"/>
  <c r="S115"/>
  <c r="M116"/>
  <c r="S116"/>
  <c r="M117"/>
  <c r="S117"/>
  <c r="M118"/>
  <c r="S118"/>
  <c r="M119"/>
  <c r="S119"/>
  <c r="M120"/>
  <c r="S120"/>
  <c r="M121"/>
  <c r="S121"/>
  <c r="M122"/>
  <c r="S122"/>
  <c r="M123"/>
  <c r="S123"/>
  <c r="M124"/>
  <c r="S124"/>
  <c r="M125"/>
  <c r="S125"/>
  <c r="M126"/>
  <c r="S126"/>
  <c r="M127"/>
  <c r="S127"/>
  <c r="M128"/>
  <c r="S128"/>
  <c r="S129"/>
  <c r="M130"/>
  <c r="S130"/>
  <c r="M131"/>
  <c r="S131"/>
  <c r="M132"/>
  <c r="S132"/>
  <c r="M133"/>
  <c r="S133"/>
  <c r="M134"/>
  <c r="S134"/>
  <c r="M135"/>
  <c r="S135"/>
  <c r="M136"/>
  <c r="S136"/>
  <c r="M137"/>
  <c r="S137"/>
  <c r="M138"/>
  <c r="S138"/>
  <c r="M139"/>
  <c r="S139"/>
  <c r="M140"/>
  <c r="S140"/>
  <c r="M141"/>
  <c r="S141"/>
  <c r="M142"/>
  <c r="S142"/>
  <c r="M143"/>
  <c r="S143"/>
  <c r="M144"/>
  <c r="S144"/>
  <c r="M145"/>
  <c r="S145"/>
  <c r="M146"/>
  <c r="S146"/>
  <c r="M147"/>
  <c r="S147"/>
  <c r="M148"/>
  <c r="S148"/>
  <c r="M149"/>
  <c r="S149"/>
  <c r="M150"/>
  <c r="S150"/>
  <c r="M151"/>
  <c r="S151"/>
  <c r="M152"/>
  <c r="S152"/>
  <c r="M153"/>
  <c r="S153"/>
  <c r="M154"/>
  <c r="S154"/>
  <c r="M155"/>
  <c r="S155"/>
  <c r="M156"/>
  <c r="S156"/>
  <c r="M157"/>
  <c r="S157"/>
  <c r="M158"/>
  <c r="S158"/>
  <c r="M159"/>
  <c r="S159"/>
  <c r="M160"/>
  <c r="S160"/>
  <c r="M161"/>
  <c r="S161"/>
  <c r="M162"/>
  <c r="S162"/>
  <c r="M163"/>
  <c r="S163"/>
  <c r="M164"/>
  <c r="S164"/>
  <c r="M165"/>
  <c r="S165"/>
  <c r="M166"/>
  <c r="S166"/>
  <c r="M167"/>
  <c r="S167"/>
  <c r="M168"/>
  <c r="S168"/>
  <c r="M169"/>
  <c r="S169"/>
  <c r="M170"/>
  <c r="S170"/>
  <c r="M171"/>
  <c r="S171"/>
  <c r="M172"/>
  <c r="S172"/>
  <c r="M173"/>
  <c r="S173"/>
  <c r="M174"/>
  <c r="S174"/>
  <c r="M175"/>
  <c r="S175"/>
  <c r="M176"/>
  <c r="S176"/>
  <c r="M177"/>
  <c r="S177"/>
  <c r="M178"/>
  <c r="M179"/>
  <c r="S179"/>
  <c r="M180"/>
  <c r="S180"/>
  <c r="M181"/>
  <c r="S181"/>
  <c r="M182"/>
  <c r="S182"/>
  <c r="M183"/>
  <c r="M184"/>
  <c r="S184"/>
  <c r="M185"/>
  <c r="S185"/>
  <c r="M186"/>
  <c r="S186"/>
  <c r="M187"/>
  <c r="S187"/>
  <c r="M188"/>
  <c r="S188"/>
  <c r="M189"/>
  <c r="S189"/>
  <c r="M190"/>
  <c r="S190"/>
  <c r="M191"/>
  <c r="S191"/>
  <c r="M192"/>
  <c r="S192"/>
  <c r="M193"/>
  <c r="S193"/>
  <c r="M194"/>
  <c r="S194"/>
  <c r="M195"/>
  <c r="S195"/>
  <c r="M196"/>
  <c r="S196"/>
  <c r="M197"/>
  <c r="S197"/>
  <c r="M198"/>
  <c r="S198"/>
  <c r="S199"/>
  <c r="M201"/>
  <c r="S201"/>
  <c r="M202"/>
  <c r="S202"/>
  <c r="M203"/>
  <c r="S203"/>
  <c r="M204"/>
  <c r="S204"/>
  <c r="M205"/>
  <c r="S205"/>
  <c r="S206"/>
  <c r="S207"/>
  <c r="M208"/>
  <c r="S208"/>
  <c r="M209"/>
  <c r="S209"/>
  <c r="M210"/>
  <c r="S210"/>
  <c r="M211"/>
  <c r="S211"/>
  <c r="M212"/>
  <c r="S212"/>
  <c r="M213"/>
  <c r="S213"/>
  <c r="M214"/>
  <c r="S214"/>
  <c r="M215"/>
  <c r="S215"/>
  <c r="M216"/>
  <c r="S216"/>
  <c r="M217"/>
  <c r="S217"/>
  <c r="M218"/>
  <c r="S218"/>
  <c r="M219"/>
  <c r="S219"/>
  <c r="M220"/>
  <c r="S220"/>
  <c r="M221"/>
  <c r="S221"/>
  <c r="M222"/>
  <c r="S222"/>
  <c r="M223"/>
  <c r="M224"/>
  <c r="S224"/>
  <c r="M225"/>
  <c r="S225"/>
  <c r="M226"/>
  <c r="S226"/>
  <c r="M227"/>
  <c r="M228"/>
  <c r="S228"/>
  <c r="M229"/>
  <c r="S229"/>
  <c r="M230"/>
  <c r="S230"/>
  <c r="M231"/>
  <c r="S231"/>
  <c r="M232"/>
  <c r="S232"/>
  <c r="M233"/>
  <c r="S233"/>
  <c r="M234"/>
  <c r="S234"/>
  <c r="M235"/>
  <c r="S235"/>
  <c r="M236"/>
  <c r="S236"/>
  <c r="M237"/>
  <c r="S237"/>
  <c r="M238"/>
  <c r="S238"/>
  <c r="M239"/>
  <c r="S239"/>
  <c r="M240"/>
  <c r="S240"/>
  <c r="M241"/>
  <c r="S241"/>
  <c r="M242"/>
  <c r="S242"/>
  <c r="M243"/>
  <c r="S243"/>
  <c r="S244"/>
  <c r="S245"/>
  <c r="S246"/>
  <c r="S247"/>
  <c r="S248"/>
  <c r="S249"/>
  <c r="M250"/>
  <c r="S250"/>
  <c r="M251"/>
  <c r="S251"/>
  <c r="M252"/>
  <c r="S252"/>
  <c r="M253"/>
  <c r="S253"/>
  <c r="M254"/>
  <c r="S254"/>
  <c r="M255"/>
  <c r="M256"/>
  <c r="S256"/>
  <c r="M257"/>
  <c r="S257"/>
  <c r="M258"/>
  <c r="S258"/>
  <c r="M259"/>
  <c r="S259"/>
  <c r="M260"/>
  <c r="S260"/>
  <c r="M261"/>
  <c r="S261"/>
  <c r="M262"/>
  <c r="S262"/>
  <c r="M263"/>
  <c r="S263"/>
  <c r="M264"/>
  <c r="S264"/>
  <c r="M265"/>
  <c r="S265"/>
  <c r="M266"/>
  <c r="S266"/>
  <c r="M267"/>
  <c r="S267"/>
  <c r="M268"/>
  <c r="S268"/>
  <c r="M269"/>
  <c r="S269"/>
  <c r="M270"/>
  <c r="S270"/>
  <c r="M271"/>
  <c r="S271"/>
  <c r="M272"/>
  <c r="S272"/>
  <c r="M273"/>
  <c r="S273"/>
  <c r="M274"/>
  <c r="S274"/>
  <c r="M275"/>
  <c r="S275"/>
  <c r="M276"/>
  <c r="S276"/>
  <c r="M277"/>
  <c r="S277"/>
  <c r="M278"/>
  <c r="S278"/>
  <c r="M279"/>
  <c r="S279"/>
  <c r="M280"/>
  <c r="S280"/>
  <c r="M281"/>
  <c r="S281"/>
  <c r="M282"/>
  <c r="S282"/>
  <c r="M283"/>
  <c r="S283"/>
  <c r="M284"/>
  <c r="S284"/>
  <c r="M285"/>
  <c r="S285"/>
  <c r="M286"/>
  <c r="S286"/>
  <c r="M287"/>
  <c r="S287"/>
  <c r="M288"/>
  <c r="S288"/>
  <c r="M289"/>
  <c r="S289"/>
  <c r="M290"/>
  <c r="S290"/>
  <c r="M291"/>
  <c r="S291"/>
  <c r="M292"/>
  <c r="S292"/>
  <c r="M293"/>
  <c r="S293"/>
  <c r="M294"/>
  <c r="S294"/>
  <c r="M295"/>
  <c r="S295"/>
  <c r="M296"/>
  <c r="S296"/>
  <c r="M297"/>
  <c r="S297"/>
  <c r="M298"/>
  <c r="S298"/>
  <c r="M299"/>
  <c r="S299"/>
  <c r="M300"/>
  <c r="S300"/>
  <c r="M301"/>
  <c r="S301"/>
  <c r="M302"/>
  <c r="S302"/>
  <c r="M303"/>
  <c r="S303"/>
  <c r="M304"/>
  <c r="S304"/>
  <c r="M305"/>
  <c r="S305"/>
  <c r="S306"/>
  <c r="S308"/>
  <c r="S309"/>
  <c r="M310"/>
  <c r="S310"/>
  <c r="M311"/>
  <c r="S311"/>
  <c r="M312"/>
  <c r="S312"/>
  <c r="M313"/>
  <c r="S313"/>
  <c r="M314"/>
  <c r="S314"/>
  <c r="M315"/>
  <c r="S315"/>
  <c r="M316"/>
  <c r="S316"/>
  <c r="M317"/>
  <c r="S317"/>
  <c r="M318"/>
  <c r="S318"/>
  <c r="M319"/>
  <c r="S319"/>
  <c r="M320"/>
  <c r="S320"/>
  <c r="M321"/>
  <c r="S321"/>
  <c r="M322"/>
  <c r="S322"/>
  <c r="M323"/>
  <c r="S323"/>
  <c r="M324"/>
  <c r="S324"/>
  <c r="M325"/>
  <c r="S325"/>
  <c r="M326"/>
  <c r="S326"/>
  <c r="M327"/>
  <c r="S327"/>
  <c r="M328"/>
  <c r="S328"/>
  <c r="M329"/>
  <c r="S329"/>
  <c r="M330"/>
  <c r="S330"/>
  <c r="M331"/>
  <c r="S331"/>
  <c r="M332"/>
  <c r="S332"/>
  <c r="M333"/>
  <c r="S333"/>
  <c r="M334"/>
  <c r="S334"/>
  <c r="M335"/>
  <c r="S335"/>
  <c r="M336"/>
  <c r="S336"/>
  <c r="M337"/>
  <c r="S337"/>
  <c r="M338"/>
  <c r="S338"/>
  <c r="M339"/>
  <c r="S339"/>
  <c r="M340"/>
  <c r="S340"/>
  <c r="M341"/>
  <c r="S341"/>
  <c r="M342"/>
  <c r="S342"/>
  <c r="M343"/>
  <c r="S343"/>
  <c r="M344"/>
  <c r="S344"/>
  <c r="M345"/>
  <c r="S345"/>
  <c r="M346"/>
  <c r="S346"/>
  <c r="M347"/>
  <c r="S347"/>
  <c r="M348"/>
  <c r="S348"/>
  <c r="M349"/>
  <c r="S349"/>
  <c r="M350"/>
  <c r="S350"/>
  <c r="M351"/>
  <c r="S351"/>
  <c r="M352"/>
  <c r="S352"/>
  <c r="M353"/>
  <c r="S353"/>
  <c r="M354"/>
  <c r="S354"/>
  <c r="M355"/>
  <c r="S355"/>
  <c r="M356"/>
  <c r="S356"/>
  <c r="M357"/>
  <c r="S357"/>
  <c r="M358"/>
  <c r="S358"/>
  <c r="M359"/>
  <c r="S359"/>
  <c r="M360"/>
  <c r="S360"/>
  <c r="M361"/>
  <c r="S361"/>
  <c r="M362"/>
  <c r="S362"/>
  <c r="M363"/>
  <c r="S363"/>
  <c r="M364"/>
  <c r="S364"/>
  <c r="M365"/>
  <c r="S365"/>
  <c r="M366"/>
  <c r="S366"/>
  <c r="M367"/>
  <c r="S367"/>
  <c r="M368"/>
  <c r="S368"/>
  <c r="M369"/>
  <c r="M370"/>
  <c r="S370"/>
  <c r="M371"/>
  <c r="S371"/>
  <c r="M372"/>
  <c r="S372"/>
  <c r="M373"/>
  <c r="S373"/>
  <c r="M374"/>
  <c r="S374"/>
  <c r="M375"/>
  <c r="S375"/>
  <c r="M376"/>
  <c r="S376"/>
  <c r="M377"/>
  <c r="S377"/>
  <c r="M378"/>
  <c r="S378"/>
  <c r="M379"/>
  <c r="S379"/>
  <c r="M380"/>
  <c r="S380"/>
  <c r="M381"/>
  <c r="S381"/>
  <c r="M382"/>
  <c r="S382"/>
  <c r="M383"/>
  <c r="S383"/>
  <c r="M384"/>
  <c r="S384"/>
  <c r="M385"/>
  <c r="S385"/>
  <c r="M386"/>
  <c r="S386"/>
  <c r="M387"/>
  <c r="S387"/>
  <c r="M388"/>
  <c r="S388"/>
  <c r="M389"/>
  <c r="S389"/>
  <c r="M390"/>
  <c r="S390"/>
  <c r="M391"/>
  <c r="S391"/>
  <c r="M392"/>
  <c r="S392"/>
  <c r="M393"/>
  <c r="S393"/>
  <c r="M394"/>
  <c r="S394"/>
  <c r="M395"/>
  <c r="S395"/>
  <c r="M396"/>
  <c r="S396"/>
  <c r="M397"/>
  <c r="S397"/>
  <c r="M398"/>
  <c r="S398"/>
  <c r="M399"/>
  <c r="S399"/>
  <c r="M400"/>
  <c r="S400"/>
  <c r="M401"/>
  <c r="S401"/>
  <c r="M402"/>
  <c r="S402"/>
  <c r="M403"/>
  <c r="S403"/>
  <c r="M404"/>
  <c r="S404"/>
  <c r="M405"/>
  <c r="S405"/>
  <c r="M406"/>
  <c r="S406"/>
  <c r="M407"/>
  <c r="S407"/>
  <c r="M408"/>
  <c r="S408"/>
  <c r="M409"/>
  <c r="S409"/>
  <c r="M410"/>
  <c r="S410"/>
  <c r="M411"/>
  <c r="S411"/>
  <c r="M412"/>
  <c r="S412"/>
  <c r="M413"/>
  <c r="S413"/>
  <c r="M414"/>
  <c r="S414"/>
  <c r="M415"/>
  <c r="S415"/>
  <c r="M416"/>
  <c r="S416"/>
  <c r="M417"/>
  <c r="S417"/>
  <c r="M418"/>
  <c r="S418"/>
  <c r="M419"/>
  <c r="S419"/>
  <c r="M420"/>
  <c r="S420"/>
  <c r="M421"/>
  <c r="S421"/>
  <c r="M422"/>
  <c r="S422"/>
  <c r="M423"/>
  <c r="S423"/>
  <c r="M424"/>
  <c r="S424"/>
  <c r="M425"/>
  <c r="S425"/>
  <c r="M426"/>
  <c r="S426"/>
  <c r="S427"/>
  <c r="S428"/>
  <c r="M429"/>
  <c r="S429"/>
  <c r="M430"/>
  <c r="S430"/>
  <c r="M431"/>
  <c r="S431"/>
  <c r="M432"/>
  <c r="S432"/>
  <c r="M433"/>
  <c r="S433"/>
  <c r="M434"/>
  <c r="S434"/>
  <c r="M435"/>
  <c r="S435"/>
  <c r="M436"/>
  <c r="S436"/>
  <c r="M437"/>
  <c r="S437"/>
  <c r="M438"/>
  <c r="S438"/>
  <c r="M439"/>
  <c r="S439"/>
  <c r="M440"/>
  <c r="S440"/>
  <c r="M441"/>
  <c r="S441"/>
  <c r="M442"/>
  <c r="S442"/>
  <c r="M443"/>
  <c r="S443"/>
  <c r="M444"/>
  <c r="S444"/>
  <c r="M445"/>
  <c r="S445"/>
  <c r="M446"/>
  <c r="S446"/>
  <c r="M447"/>
  <c r="S447"/>
  <c r="M448"/>
  <c r="S448"/>
  <c r="M449"/>
  <c r="S449"/>
  <c r="M450"/>
  <c r="S450"/>
  <c r="M451"/>
  <c r="S451"/>
  <c r="M452"/>
  <c r="S452"/>
  <c r="M453"/>
  <c r="S453"/>
  <c r="M454"/>
  <c r="S454"/>
  <c r="M455"/>
  <c r="S455"/>
  <c r="M456"/>
  <c r="S456"/>
  <c r="M457"/>
  <c r="S457"/>
  <c r="M458"/>
  <c r="S458"/>
  <c r="M459"/>
  <c r="S459"/>
  <c r="M460"/>
  <c r="S460"/>
  <c r="M461"/>
  <c r="S461"/>
  <c r="M462"/>
  <c r="S462"/>
  <c r="M463"/>
  <c r="S463"/>
  <c r="M464"/>
  <c r="S464"/>
  <c r="M465"/>
  <c r="S465"/>
  <c r="M466"/>
  <c r="S466"/>
  <c r="M467"/>
  <c r="S467"/>
  <c r="M468"/>
  <c r="S468"/>
  <c r="M469"/>
  <c r="S469"/>
  <c r="M470"/>
  <c r="S470"/>
  <c r="M471"/>
  <c r="S471"/>
  <c r="M472"/>
  <c r="S472"/>
  <c r="M473"/>
  <c r="S473"/>
  <c r="M474"/>
  <c r="S474"/>
  <c r="M475"/>
  <c r="S475"/>
  <c r="M476"/>
  <c r="S476"/>
  <c r="M477"/>
  <c r="S477"/>
  <c r="M478"/>
  <c r="S478"/>
  <c r="M479"/>
  <c r="S479"/>
  <c r="M480"/>
  <c r="S480"/>
  <c r="M481"/>
  <c r="S481"/>
  <c r="M482"/>
  <c r="S482"/>
  <c r="M483"/>
  <c r="S483"/>
  <c r="M484"/>
  <c r="S484"/>
  <c r="M485"/>
  <c r="S485"/>
  <c r="M486"/>
  <c r="S486"/>
  <c r="M487"/>
  <c r="S487"/>
  <c r="M488"/>
  <c r="S488"/>
  <c r="M489"/>
  <c r="S489"/>
  <c r="M490"/>
  <c r="S490"/>
  <c r="M491"/>
  <c r="S491"/>
  <c r="M492"/>
  <c r="S492"/>
  <c r="M493"/>
  <c r="S493"/>
  <c r="M494"/>
  <c r="S494"/>
  <c r="M495"/>
  <c r="S495"/>
  <c r="M496"/>
  <c r="S496"/>
  <c r="M497"/>
  <c r="S497"/>
  <c r="M498"/>
  <c r="S498"/>
  <c r="M499"/>
  <c r="S499"/>
  <c r="M500"/>
  <c r="S500"/>
  <c r="M501"/>
  <c r="S501"/>
  <c r="M502"/>
  <c r="S502"/>
  <c r="M503"/>
  <c r="S503"/>
  <c r="M504"/>
  <c r="M505"/>
  <c r="S505"/>
  <c r="M506"/>
  <c r="S506"/>
  <c r="M507"/>
  <c r="S507"/>
  <c r="M508"/>
  <c r="S508"/>
  <c r="M509"/>
  <c r="S509"/>
  <c r="M510"/>
  <c r="S510"/>
  <c r="M511"/>
  <c r="S511"/>
  <c r="M512"/>
  <c r="S512"/>
  <c r="M513"/>
  <c r="S513"/>
  <c r="M514"/>
  <c r="S514"/>
  <c r="M515"/>
  <c r="S515"/>
  <c r="M516"/>
  <c r="S516"/>
  <c r="M517"/>
  <c r="S517"/>
  <c r="M518"/>
  <c r="S518"/>
  <c r="M3" i="4"/>
  <c r="S3"/>
  <c r="M4"/>
  <c r="S4"/>
  <c r="M5"/>
  <c r="S5"/>
  <c r="M6"/>
  <c r="S6"/>
  <c r="M7"/>
  <c r="S7"/>
  <c r="M8"/>
  <c r="S8"/>
  <c r="M9"/>
  <c r="S9"/>
  <c r="M10"/>
  <c r="S10"/>
  <c r="M11"/>
  <c r="S11"/>
  <c r="M12"/>
  <c r="S12"/>
  <c r="M13"/>
  <c r="S13"/>
  <c r="M14"/>
  <c r="S14"/>
  <c r="M15"/>
  <c r="S15"/>
  <c r="M16"/>
  <c r="S16"/>
  <c r="M17"/>
  <c r="S17"/>
  <c r="M18"/>
  <c r="S18"/>
  <c r="M19"/>
  <c r="S19"/>
  <c r="M20"/>
  <c r="S20"/>
  <c r="M21"/>
  <c r="S21"/>
  <c r="M22"/>
  <c r="S22"/>
  <c r="M23"/>
  <c r="S23"/>
  <c r="M24"/>
  <c r="S24"/>
  <c r="M25"/>
  <c r="S25"/>
  <c r="M26"/>
  <c r="S26"/>
  <c r="M27"/>
  <c r="S27"/>
  <c r="M28"/>
  <c r="S28"/>
  <c r="M29"/>
  <c r="S29"/>
  <c r="M30"/>
  <c r="S30"/>
  <c r="M31"/>
  <c r="S31"/>
  <c r="M32"/>
  <c r="S32"/>
  <c r="M33"/>
  <c r="S33"/>
  <c r="M34"/>
  <c r="S34"/>
  <c r="M35"/>
  <c r="S35"/>
  <c r="M36"/>
  <c r="S36"/>
  <c r="M37"/>
  <c r="S37"/>
  <c r="M38"/>
  <c r="S38"/>
  <c r="M39"/>
  <c r="S39"/>
  <c r="M40"/>
  <c r="S40"/>
  <c r="M41"/>
  <c r="S41"/>
  <c r="M42"/>
  <c r="S42"/>
  <c r="M43"/>
  <c r="S43"/>
  <c r="M44"/>
  <c r="S44"/>
  <c r="M45"/>
  <c r="S45"/>
  <c r="M46"/>
  <c r="S46"/>
  <c r="M47"/>
  <c r="S47"/>
  <c r="M48"/>
  <c r="S48"/>
  <c r="M49"/>
  <c r="S49"/>
  <c r="M50"/>
  <c r="S50"/>
  <c r="M51"/>
  <c r="S51"/>
  <c r="M52"/>
  <c r="S52"/>
  <c r="M53"/>
  <c r="S53"/>
  <c r="M54"/>
  <c r="S54"/>
  <c r="M55"/>
  <c r="S55"/>
  <c r="M56"/>
  <c r="S56"/>
  <c r="M57"/>
  <c r="S57"/>
  <c r="M58"/>
  <c r="S58"/>
  <c r="M59"/>
  <c r="S59"/>
  <c r="M60"/>
  <c r="S60"/>
  <c r="M61"/>
  <c r="S61"/>
  <c r="M62"/>
  <c r="S62"/>
  <c r="M63"/>
  <c r="S63"/>
  <c r="M64"/>
  <c r="S64"/>
  <c r="M65"/>
  <c r="S65"/>
  <c r="M66"/>
  <c r="S66"/>
  <c r="M67"/>
  <c r="S67"/>
  <c r="M68"/>
  <c r="S68"/>
  <c r="M69"/>
  <c r="S69"/>
  <c r="M70"/>
  <c r="S70"/>
  <c r="M71"/>
  <c r="S71"/>
  <c r="M72"/>
  <c r="S72"/>
  <c r="M73"/>
  <c r="S73"/>
  <c r="M74"/>
  <c r="S74"/>
  <c r="M75"/>
  <c r="S75"/>
  <c r="M76"/>
  <c r="S76"/>
  <c r="M77"/>
  <c r="S77"/>
  <c r="M78"/>
  <c r="S78"/>
  <c r="M79"/>
  <c r="S79"/>
  <c r="M80"/>
  <c r="S80"/>
  <c r="M81"/>
  <c r="S81"/>
  <c r="M82"/>
  <c r="S82"/>
  <c r="M83"/>
  <c r="S83"/>
  <c r="M84"/>
  <c r="S84"/>
  <c r="M85"/>
  <c r="S85"/>
  <c r="M86"/>
  <c r="S86"/>
  <c r="M87"/>
  <c r="S87"/>
  <c r="M88"/>
  <c r="S88"/>
  <c r="M89"/>
  <c r="S89"/>
  <c r="M90"/>
  <c r="S90"/>
  <c r="M91"/>
  <c r="S91"/>
  <c r="M92"/>
  <c r="S92"/>
  <c r="M93"/>
  <c r="S93"/>
  <c r="M94"/>
  <c r="S94"/>
  <c r="M95"/>
  <c r="S95"/>
  <c r="M96"/>
  <c r="S96"/>
  <c r="M97"/>
  <c r="S97"/>
  <c r="M98"/>
  <c r="S98"/>
  <c r="M99"/>
  <c r="S99"/>
  <c r="M100"/>
  <c r="S100"/>
  <c r="M101"/>
  <c r="S101"/>
  <c r="M102"/>
  <c r="S102"/>
  <c r="M103"/>
  <c r="S103"/>
  <c r="M104"/>
  <c r="S104"/>
  <c r="M105"/>
  <c r="S105"/>
  <c r="M106"/>
  <c r="S106"/>
  <c r="M107"/>
  <c r="S107"/>
  <c r="M108"/>
  <c r="S108"/>
  <c r="M109"/>
  <c r="S109"/>
  <c r="M110"/>
  <c r="S110"/>
  <c r="M111"/>
  <c r="S111"/>
  <c r="M112"/>
  <c r="S112"/>
  <c r="M113"/>
  <c r="S113"/>
  <c r="M114"/>
  <c r="S114"/>
  <c r="M115"/>
  <c r="S115"/>
  <c r="M116"/>
  <c r="S116"/>
  <c r="M117"/>
  <c r="S117"/>
  <c r="M118"/>
  <c r="S118"/>
  <c r="M119"/>
  <c r="S119"/>
  <c r="M120"/>
  <c r="S120"/>
  <c r="M121"/>
  <c r="S121"/>
  <c r="M122"/>
  <c r="S122"/>
  <c r="M123"/>
  <c r="S123"/>
  <c r="M124"/>
  <c r="S124"/>
  <c r="M125"/>
  <c r="S125"/>
  <c r="M126"/>
  <c r="S126"/>
  <c r="M127"/>
  <c r="S127"/>
  <c r="M128"/>
  <c r="S128"/>
  <c r="S129"/>
  <c r="M130"/>
  <c r="S130"/>
  <c r="M131"/>
  <c r="S131"/>
  <c r="M132"/>
  <c r="S132"/>
  <c r="M133"/>
  <c r="S133"/>
  <c r="M134"/>
  <c r="S134"/>
  <c r="M135"/>
  <c r="S135"/>
  <c r="M136"/>
  <c r="S136"/>
  <c r="M137"/>
  <c r="S137"/>
  <c r="M138"/>
  <c r="S138"/>
  <c r="M139"/>
  <c r="S139"/>
  <c r="M140"/>
  <c r="S140"/>
  <c r="M141"/>
  <c r="S141"/>
  <c r="M142"/>
  <c r="S142"/>
  <c r="M143"/>
  <c r="S143"/>
  <c r="M144"/>
  <c r="S144"/>
  <c r="M145"/>
  <c r="S145"/>
  <c r="M146"/>
  <c r="S146"/>
  <c r="M147"/>
  <c r="S147"/>
  <c r="M148"/>
  <c r="S148"/>
  <c r="M149"/>
  <c r="S149"/>
  <c r="M150"/>
  <c r="S150"/>
  <c r="M151"/>
  <c r="S151"/>
  <c r="M152"/>
  <c r="S152"/>
  <c r="M153"/>
  <c r="S153"/>
  <c r="M154"/>
  <c r="S154"/>
  <c r="M155"/>
  <c r="S155"/>
  <c r="M156"/>
  <c r="S156"/>
  <c r="M157"/>
  <c r="S157"/>
  <c r="M158"/>
  <c r="S158"/>
  <c r="M159"/>
  <c r="S159"/>
  <c r="M160"/>
  <c r="S160"/>
  <c r="M161"/>
  <c r="S161"/>
  <c r="M162"/>
  <c r="S162"/>
  <c r="M163"/>
  <c r="S163"/>
  <c r="M164"/>
  <c r="S164"/>
  <c r="M165"/>
  <c r="S165"/>
  <c r="M166"/>
  <c r="S166"/>
  <c r="M167"/>
  <c r="S167"/>
  <c r="M168"/>
  <c r="S168"/>
  <c r="M169"/>
  <c r="S169"/>
  <c r="M170"/>
  <c r="S170"/>
  <c r="M171"/>
  <c r="S171"/>
  <c r="M172"/>
  <c r="S172"/>
  <c r="M173"/>
  <c r="S173"/>
  <c r="M174"/>
  <c r="S174"/>
  <c r="M175"/>
  <c r="S175"/>
  <c r="M176"/>
  <c r="S176"/>
  <c r="M177"/>
  <c r="S177"/>
  <c r="M178"/>
  <c r="S178"/>
  <c r="M179"/>
  <c r="S179"/>
  <c r="M180"/>
  <c r="S180"/>
  <c r="M181"/>
  <c r="S181"/>
  <c r="M182"/>
  <c r="S182"/>
  <c r="M183"/>
  <c r="S183"/>
  <c r="M184"/>
  <c r="S184"/>
  <c r="M185"/>
  <c r="S185"/>
  <c r="M186"/>
  <c r="S186"/>
  <c r="M187"/>
  <c r="S187"/>
  <c r="M188"/>
  <c r="S188"/>
  <c r="M189"/>
  <c r="S189"/>
  <c r="M190"/>
  <c r="S190"/>
  <c r="M191"/>
  <c r="S191"/>
  <c r="M192"/>
  <c r="S192"/>
  <c r="M193"/>
  <c r="S193"/>
  <c r="M194"/>
  <c r="S194"/>
  <c r="M195"/>
  <c r="S195"/>
  <c r="M196"/>
  <c r="S196"/>
  <c r="M197"/>
  <c r="S197"/>
  <c r="M198"/>
  <c r="S198"/>
  <c r="M199"/>
  <c r="S199"/>
  <c r="M200"/>
  <c r="S200"/>
  <c r="M201"/>
  <c r="S201"/>
  <c r="M202"/>
  <c r="S202"/>
  <c r="M203"/>
  <c r="S203"/>
  <c r="M204"/>
  <c r="S204"/>
  <c r="M205"/>
  <c r="S205"/>
  <c r="M206"/>
  <c r="S206"/>
  <c r="M207"/>
  <c r="S207"/>
  <c r="M208"/>
  <c r="S208"/>
  <c r="M209"/>
  <c r="S209"/>
  <c r="M210"/>
  <c r="S210"/>
  <c r="M211"/>
  <c r="S211"/>
  <c r="M212"/>
  <c r="S212"/>
  <c r="M213"/>
  <c r="S213"/>
  <c r="M214"/>
  <c r="S214"/>
  <c r="M215"/>
  <c r="S215"/>
  <c r="M216"/>
  <c r="S216"/>
  <c r="M217"/>
  <c r="S217"/>
  <c r="M218"/>
  <c r="S218"/>
  <c r="M219"/>
  <c r="S219"/>
  <c r="M220"/>
  <c r="S220"/>
  <c r="M221"/>
  <c r="S221"/>
  <c r="M222"/>
  <c r="S222"/>
  <c r="M223"/>
  <c r="S223"/>
  <c r="M224"/>
  <c r="S224"/>
  <c r="M225"/>
  <c r="S225"/>
  <c r="M226"/>
  <c r="S226"/>
  <c r="M227"/>
  <c r="S227"/>
  <c r="M228"/>
  <c r="S228"/>
  <c r="M229"/>
  <c r="S229"/>
  <c r="M230"/>
  <c r="S230"/>
  <c r="M231"/>
  <c r="S231"/>
  <c r="M232"/>
  <c r="S232"/>
  <c r="M233"/>
  <c r="S233"/>
  <c r="M234"/>
  <c r="S234"/>
  <c r="M235"/>
  <c r="S235"/>
  <c r="M236"/>
  <c r="S236"/>
  <c r="M237"/>
  <c r="S237"/>
  <c r="M238"/>
  <c r="S238"/>
  <c r="M239"/>
  <c r="S239"/>
  <c r="M240"/>
  <c r="S240"/>
  <c r="M241"/>
  <c r="S241"/>
  <c r="M242"/>
  <c r="S242"/>
  <c r="M243"/>
  <c r="S243"/>
  <c r="M244"/>
  <c r="S244"/>
  <c r="M245"/>
  <c r="S245"/>
  <c r="M246"/>
  <c r="S246"/>
  <c r="M247"/>
  <c r="S247"/>
  <c r="M248"/>
  <c r="S248"/>
  <c r="M249"/>
  <c r="S249"/>
  <c r="M250"/>
  <c r="S250"/>
  <c r="M251"/>
  <c r="S251"/>
  <c r="M252"/>
  <c r="S252"/>
  <c r="M253"/>
  <c r="S253"/>
  <c r="M254"/>
  <c r="S254"/>
  <c r="M255"/>
  <c r="S255"/>
  <c r="M256"/>
  <c r="S256"/>
  <c r="M257"/>
  <c r="S257"/>
  <c r="M258"/>
  <c r="S258"/>
  <c r="M259"/>
  <c r="S259"/>
  <c r="M260"/>
  <c r="S260"/>
  <c r="M261"/>
  <c r="S261"/>
  <c r="M262"/>
  <c r="S262"/>
  <c r="M263"/>
  <c r="S263"/>
  <c r="M264"/>
  <c r="S264"/>
  <c r="M265"/>
  <c r="S265"/>
  <c r="M266"/>
  <c r="S266"/>
  <c r="M267"/>
  <c r="S267"/>
  <c r="M268"/>
  <c r="S268"/>
  <c r="M269"/>
  <c r="S269"/>
  <c r="M270"/>
  <c r="S270"/>
  <c r="M271"/>
  <c r="S271"/>
  <c r="M272"/>
  <c r="S272"/>
  <c r="M273"/>
  <c r="S273"/>
  <c r="M274"/>
  <c r="S274"/>
  <c r="M275"/>
  <c r="S275"/>
  <c r="M276"/>
  <c r="S276"/>
  <c r="M277"/>
  <c r="S277"/>
  <c r="M278"/>
  <c r="S278"/>
  <c r="M279"/>
  <c r="S279"/>
  <c r="M280"/>
  <c r="S280"/>
  <c r="M281"/>
  <c r="S281"/>
  <c r="M282"/>
  <c r="S282"/>
  <c r="M283"/>
  <c r="S283"/>
  <c r="M284"/>
  <c r="S284"/>
  <c r="M285"/>
  <c r="S285"/>
  <c r="M286"/>
  <c r="S286"/>
  <c r="M287"/>
  <c r="S287"/>
  <c r="M288"/>
  <c r="S288"/>
  <c r="M289"/>
  <c r="S289"/>
  <c r="M290"/>
  <c r="S290"/>
  <c r="M291"/>
  <c r="S291"/>
  <c r="M292"/>
  <c r="S292"/>
  <c r="M293"/>
  <c r="S293"/>
  <c r="M294"/>
  <c r="S294"/>
  <c r="M295"/>
  <c r="S295"/>
  <c r="M296"/>
  <c r="S296"/>
  <c r="M297"/>
  <c r="S297"/>
  <c r="M298"/>
  <c r="S298"/>
  <c r="M299"/>
  <c r="S299"/>
  <c r="M300"/>
  <c r="S300"/>
  <c r="M301"/>
  <c r="S301"/>
  <c r="M302"/>
  <c r="S302"/>
  <c r="M303"/>
  <c r="S303"/>
  <c r="M304"/>
  <c r="S304"/>
  <c r="M305"/>
  <c r="S305"/>
  <c r="S306"/>
  <c r="M308"/>
  <c r="S308"/>
  <c r="S309"/>
  <c r="M310"/>
  <c r="S310"/>
  <c r="M311"/>
  <c r="S311"/>
  <c r="M312"/>
  <c r="S312"/>
  <c r="M313"/>
  <c r="S313"/>
  <c r="M314"/>
  <c r="S314"/>
  <c r="M315"/>
  <c r="S315"/>
  <c r="M316"/>
  <c r="S316"/>
  <c r="M317"/>
  <c r="S317"/>
  <c r="M318"/>
  <c r="S318"/>
  <c r="M319"/>
  <c r="S319"/>
  <c r="M320"/>
  <c r="S320"/>
  <c r="M321"/>
  <c r="S321"/>
  <c r="M322"/>
  <c r="S322"/>
  <c r="M323"/>
  <c r="S323"/>
  <c r="M324"/>
  <c r="S324"/>
  <c r="M325"/>
  <c r="S325"/>
  <c r="M326"/>
  <c r="S326"/>
  <c r="M327"/>
  <c r="S327"/>
  <c r="M328"/>
  <c r="S328"/>
  <c r="M329"/>
  <c r="S329"/>
  <c r="M330"/>
  <c r="S330"/>
  <c r="M331"/>
  <c r="S331"/>
  <c r="M332"/>
  <c r="S332"/>
  <c r="M333"/>
  <c r="S333"/>
  <c r="M334"/>
  <c r="S334"/>
  <c r="M335"/>
  <c r="S335"/>
  <c r="M336"/>
  <c r="S336"/>
  <c r="M337"/>
  <c r="S337"/>
  <c r="M338"/>
  <c r="S338"/>
  <c r="M339"/>
  <c r="S339"/>
  <c r="M340"/>
  <c r="S340"/>
  <c r="M341"/>
  <c r="S341"/>
  <c r="M342"/>
  <c r="S342"/>
  <c r="M343"/>
  <c r="S343"/>
  <c r="M344"/>
  <c r="S344"/>
  <c r="M345"/>
  <c r="S345"/>
  <c r="M346"/>
  <c r="S346"/>
  <c r="M347"/>
  <c r="S347"/>
  <c r="M348"/>
  <c r="S348"/>
  <c r="M349"/>
  <c r="S349"/>
  <c r="M350"/>
  <c r="S350"/>
  <c r="M351"/>
  <c r="S351"/>
  <c r="M352"/>
  <c r="S352"/>
  <c r="M353"/>
  <c r="S353"/>
  <c r="M354"/>
  <c r="S354"/>
  <c r="M355"/>
  <c r="S355"/>
  <c r="M356"/>
  <c r="S356"/>
  <c r="M357"/>
  <c r="S357"/>
  <c r="M358"/>
  <c r="S358"/>
  <c r="M359"/>
  <c r="S359"/>
  <c r="M360"/>
  <c r="S360"/>
  <c r="M361"/>
  <c r="S361"/>
  <c r="M362"/>
  <c r="S362"/>
  <c r="M363"/>
  <c r="S363"/>
  <c r="M364"/>
  <c r="S364"/>
  <c r="M365"/>
  <c r="S365"/>
  <c r="M366"/>
  <c r="S366"/>
  <c r="M367"/>
  <c r="S367"/>
  <c r="M368"/>
  <c r="S368"/>
  <c r="M369"/>
  <c r="S369"/>
  <c r="M370"/>
  <c r="S370"/>
  <c r="M371"/>
  <c r="S371"/>
  <c r="M372"/>
  <c r="S372"/>
  <c r="M373"/>
  <c r="S373"/>
  <c r="M374"/>
  <c r="S374"/>
  <c r="M375"/>
  <c r="S375"/>
  <c r="M376"/>
  <c r="S376"/>
  <c r="M377"/>
  <c r="S377"/>
  <c r="M378"/>
  <c r="S378"/>
  <c r="M379"/>
  <c r="S379"/>
  <c r="M380"/>
  <c r="S380"/>
  <c r="M381"/>
  <c r="S381"/>
  <c r="M382"/>
  <c r="S382"/>
  <c r="M383"/>
  <c r="S383"/>
  <c r="M384"/>
  <c r="S384"/>
  <c r="M385"/>
  <c r="S385"/>
  <c r="M386"/>
  <c r="S386"/>
  <c r="M387"/>
  <c r="S387"/>
  <c r="M388"/>
  <c r="S388"/>
  <c r="M389"/>
  <c r="S389"/>
  <c r="M390"/>
  <c r="S390"/>
  <c r="M391"/>
  <c r="S391"/>
  <c r="M392"/>
  <c r="S392"/>
  <c r="M393"/>
  <c r="S393"/>
  <c r="M394"/>
  <c r="S394"/>
  <c r="M395"/>
  <c r="S395"/>
  <c r="M396"/>
  <c r="S396"/>
  <c r="M397"/>
  <c r="S397"/>
  <c r="M398"/>
  <c r="S398"/>
  <c r="M399"/>
  <c r="S399"/>
  <c r="M400"/>
  <c r="S400"/>
  <c r="M401"/>
  <c r="S401"/>
  <c r="M402"/>
  <c r="S402"/>
  <c r="M403"/>
  <c r="S403"/>
  <c r="M404"/>
  <c r="S404"/>
  <c r="M405"/>
  <c r="S405"/>
  <c r="M406"/>
  <c r="S406"/>
  <c r="M407"/>
  <c r="S407"/>
  <c r="M408"/>
  <c r="S408"/>
  <c r="M409"/>
  <c r="S409"/>
  <c r="M410"/>
  <c r="S410"/>
  <c r="M411"/>
  <c r="S411"/>
  <c r="M412"/>
  <c r="S412"/>
  <c r="M413"/>
  <c r="S413"/>
  <c r="M414"/>
  <c r="S414"/>
  <c r="M415"/>
  <c r="S415"/>
  <c r="M416"/>
  <c r="S416"/>
  <c r="M417"/>
  <c r="S417"/>
  <c r="M418"/>
  <c r="S418"/>
  <c r="M419"/>
  <c r="S419"/>
  <c r="M420"/>
  <c r="S420"/>
  <c r="M421"/>
  <c r="S421"/>
  <c r="M422"/>
  <c r="S422"/>
  <c r="M423"/>
  <c r="S423"/>
  <c r="M424"/>
  <c r="S424"/>
  <c r="M425"/>
  <c r="S425"/>
  <c r="M426"/>
  <c r="S426"/>
  <c r="M427"/>
  <c r="S427"/>
  <c r="M428"/>
  <c r="S428"/>
  <c r="M429"/>
  <c r="S429"/>
  <c r="M430"/>
  <c r="S430"/>
  <c r="M431"/>
  <c r="S431"/>
  <c r="M432"/>
  <c r="S432"/>
  <c r="M433"/>
  <c r="S433"/>
  <c r="M434"/>
  <c r="S434"/>
  <c r="M435"/>
  <c r="S435"/>
  <c r="M436"/>
  <c r="S436"/>
  <c r="M437"/>
  <c r="S437"/>
  <c r="M438"/>
  <c r="S438"/>
  <c r="M439"/>
  <c r="S439"/>
  <c r="M440"/>
  <c r="S440"/>
  <c r="M441"/>
  <c r="S441"/>
  <c r="M442"/>
  <c r="S442"/>
  <c r="M443"/>
  <c r="S443"/>
  <c r="M444"/>
  <c r="S444"/>
  <c r="M445"/>
  <c r="S445"/>
  <c r="M446"/>
  <c r="S446"/>
  <c r="M447"/>
  <c r="S447"/>
  <c r="M448"/>
  <c r="S448"/>
  <c r="M449"/>
  <c r="S449"/>
  <c r="M450"/>
  <c r="S450"/>
  <c r="M451"/>
  <c r="S451"/>
  <c r="M452"/>
  <c r="S452"/>
  <c r="M453"/>
  <c r="S453"/>
  <c r="M454"/>
  <c r="S454"/>
  <c r="M455"/>
  <c r="S455"/>
  <c r="M456"/>
  <c r="S456"/>
  <c r="M457"/>
  <c r="S457"/>
  <c r="M458"/>
  <c r="S458"/>
  <c r="M459"/>
  <c r="S459"/>
  <c r="M460"/>
  <c r="S460"/>
  <c r="M461"/>
  <c r="S461"/>
  <c r="M462"/>
  <c r="S462"/>
  <c r="M463"/>
  <c r="S463"/>
  <c r="M464"/>
  <c r="S464"/>
  <c r="M465"/>
  <c r="S465"/>
  <c r="M466"/>
  <c r="S466"/>
  <c r="M467"/>
  <c r="S467"/>
  <c r="M468"/>
  <c r="S468"/>
  <c r="M469"/>
  <c r="S469"/>
  <c r="M470"/>
  <c r="S470"/>
  <c r="M471"/>
  <c r="S471"/>
  <c r="M472"/>
  <c r="S472"/>
  <c r="M473"/>
  <c r="S473"/>
  <c r="M474"/>
  <c r="S474"/>
  <c r="M475"/>
  <c r="S475"/>
  <c r="M476"/>
  <c r="S476"/>
  <c r="M477"/>
  <c r="S477"/>
  <c r="M478"/>
  <c r="S478"/>
  <c r="M479"/>
  <c r="S479"/>
  <c r="M480"/>
  <c r="S480"/>
  <c r="M481"/>
  <c r="S481"/>
  <c r="M482"/>
  <c r="S482"/>
  <c r="M483"/>
  <c r="S483"/>
  <c r="M484"/>
  <c r="S484"/>
  <c r="M485"/>
  <c r="S485"/>
  <c r="M486"/>
  <c r="S486"/>
  <c r="M487"/>
  <c r="S487"/>
  <c r="M488"/>
  <c r="S488"/>
  <c r="M489"/>
  <c r="S489"/>
  <c r="M490"/>
  <c r="S490"/>
  <c r="M491"/>
  <c r="S491"/>
  <c r="M492"/>
  <c r="S492"/>
  <c r="M493"/>
  <c r="S493"/>
  <c r="M494"/>
  <c r="S494"/>
  <c r="M495"/>
  <c r="S495"/>
  <c r="M496"/>
  <c r="S496"/>
  <c r="M497"/>
  <c r="S497"/>
  <c r="M498"/>
  <c r="S498"/>
  <c r="M499"/>
  <c r="S499"/>
  <c r="M500"/>
  <c r="S500"/>
  <c r="M501"/>
  <c r="S501"/>
  <c r="M502"/>
  <c r="S502"/>
  <c r="M503"/>
  <c r="S503"/>
  <c r="M504"/>
  <c r="S504"/>
  <c r="M505"/>
  <c r="S505"/>
  <c r="M506"/>
  <c r="S506"/>
  <c r="M507"/>
  <c r="S507"/>
  <c r="M508"/>
  <c r="S508"/>
  <c r="M509"/>
  <c r="S509"/>
  <c r="M510"/>
  <c r="S510"/>
  <c r="M511"/>
  <c r="S511"/>
  <c r="M512"/>
  <c r="S512"/>
  <c r="M513"/>
  <c r="S513"/>
  <c r="M514"/>
  <c r="S514"/>
  <c r="M515"/>
  <c r="S515"/>
  <c r="M516"/>
  <c r="S516"/>
  <c r="M517"/>
  <c r="S517"/>
  <c r="M518"/>
  <c r="S518"/>
  <c r="M3" i="1"/>
  <c r="S3"/>
  <c r="M4"/>
  <c r="S4"/>
  <c r="M5"/>
  <c r="S5"/>
  <c r="M6"/>
  <c r="S6"/>
  <c r="M7"/>
  <c r="S7"/>
  <c r="M8"/>
  <c r="S8"/>
  <c r="M9"/>
  <c r="S9"/>
  <c r="M10"/>
  <c r="S10"/>
  <c r="M11"/>
  <c r="S11"/>
  <c r="M12"/>
  <c r="S12"/>
  <c r="M13"/>
  <c r="S13"/>
  <c r="M14"/>
  <c r="S14"/>
  <c r="M15"/>
  <c r="S15"/>
  <c r="M16"/>
  <c r="S16"/>
  <c r="M17"/>
  <c r="S17"/>
  <c r="M18"/>
  <c r="S18"/>
  <c r="M19"/>
  <c r="S19"/>
  <c r="M20"/>
  <c r="S20"/>
  <c r="M21"/>
  <c r="S21"/>
  <c r="M22"/>
  <c r="S22"/>
  <c r="M23"/>
  <c r="S23"/>
  <c r="M24"/>
  <c r="S24"/>
  <c r="M25"/>
  <c r="S25"/>
  <c r="M26"/>
  <c r="S26"/>
  <c r="M27"/>
  <c r="S27"/>
  <c r="M28"/>
  <c r="S28"/>
  <c r="M29"/>
  <c r="S29"/>
  <c r="M30"/>
  <c r="S30"/>
  <c r="M31"/>
  <c r="S31"/>
  <c r="M32"/>
  <c r="S32"/>
  <c r="M33"/>
  <c r="S33"/>
  <c r="M34"/>
  <c r="S34"/>
  <c r="M35"/>
  <c r="S35"/>
  <c r="M36"/>
  <c r="S36"/>
  <c r="M37"/>
  <c r="S37"/>
  <c r="M38"/>
  <c r="S38"/>
  <c r="M39"/>
  <c r="S39"/>
  <c r="M40"/>
  <c r="S40"/>
  <c r="M41"/>
  <c r="S41"/>
  <c r="M42"/>
  <c r="S42"/>
  <c r="M43"/>
  <c r="S43"/>
  <c r="M44"/>
  <c r="S44"/>
  <c r="M45"/>
  <c r="S45"/>
  <c r="M46"/>
  <c r="S46"/>
  <c r="M47"/>
  <c r="S47"/>
  <c r="M48"/>
  <c r="S48"/>
  <c r="M49"/>
  <c r="S49"/>
  <c r="M50"/>
  <c r="S50"/>
  <c r="M51"/>
  <c r="S51"/>
  <c r="M52"/>
  <c r="S52"/>
  <c r="M53"/>
  <c r="S53"/>
  <c r="M54"/>
  <c r="S54"/>
  <c r="M55"/>
  <c r="S55"/>
  <c r="M56"/>
  <c r="S56"/>
  <c r="M57"/>
  <c r="M58"/>
  <c r="S58"/>
  <c r="M59"/>
  <c r="S59"/>
  <c r="M60"/>
  <c r="S60"/>
  <c r="M61"/>
  <c r="S61"/>
  <c r="M62"/>
  <c r="S62"/>
  <c r="M63"/>
  <c r="S63"/>
  <c r="M64"/>
  <c r="S64"/>
  <c r="M65"/>
  <c r="S65"/>
  <c r="M66"/>
  <c r="S66"/>
  <c r="M67"/>
  <c r="S67"/>
  <c r="M68"/>
  <c r="S68"/>
  <c r="M69"/>
  <c r="S69"/>
  <c r="M70"/>
  <c r="S70"/>
  <c r="M71"/>
  <c r="S71"/>
  <c r="M72"/>
  <c r="S72"/>
  <c r="M73"/>
  <c r="S73"/>
  <c r="M74"/>
  <c r="S74"/>
  <c r="M75"/>
  <c r="S75"/>
  <c r="M76"/>
  <c r="S76"/>
  <c r="M77"/>
  <c r="S77"/>
  <c r="M78"/>
  <c r="S78"/>
  <c r="M79"/>
  <c r="S79"/>
  <c r="M80"/>
  <c r="S80"/>
  <c r="M81"/>
  <c r="S81"/>
  <c r="M82"/>
  <c r="S82"/>
  <c r="M83"/>
  <c r="S83"/>
  <c r="M84"/>
  <c r="S84"/>
  <c r="M85"/>
  <c r="S85"/>
  <c r="M86"/>
  <c r="S86"/>
  <c r="M87"/>
  <c r="S87"/>
  <c r="M88"/>
  <c r="S88"/>
  <c r="M89"/>
  <c r="S89"/>
  <c r="M90"/>
  <c r="S90"/>
  <c r="M91"/>
  <c r="S91"/>
  <c r="M92"/>
  <c r="S92"/>
  <c r="M93"/>
  <c r="S93"/>
  <c r="M94"/>
  <c r="S94"/>
  <c r="M95"/>
  <c r="S95"/>
  <c r="M96"/>
  <c r="S96"/>
  <c r="M97"/>
  <c r="S97"/>
  <c r="M98"/>
  <c r="S98"/>
  <c r="M99"/>
  <c r="S99"/>
  <c r="M100"/>
  <c r="S100"/>
  <c r="M101"/>
  <c r="S101"/>
  <c r="M102"/>
  <c r="S102"/>
  <c r="M103"/>
  <c r="S103"/>
  <c r="M104"/>
  <c r="S104"/>
  <c r="M105"/>
  <c r="S105"/>
  <c r="M106"/>
  <c r="S106"/>
  <c r="M107"/>
  <c r="S107"/>
  <c r="M108"/>
  <c r="S108"/>
  <c r="M109"/>
  <c r="S109"/>
  <c r="M110"/>
  <c r="S110"/>
  <c r="M111"/>
  <c r="S111"/>
  <c r="M112"/>
  <c r="S112"/>
  <c r="M113"/>
  <c r="S113"/>
  <c r="M114"/>
  <c r="S114"/>
  <c r="M115"/>
  <c r="S115"/>
  <c r="M116"/>
  <c r="S116"/>
  <c r="M117"/>
  <c r="S117"/>
  <c r="M118"/>
  <c r="S118"/>
  <c r="M119"/>
  <c r="S119"/>
  <c r="M120"/>
  <c r="S120"/>
  <c r="M121"/>
  <c r="S121"/>
  <c r="M122"/>
  <c r="S122"/>
  <c r="M123"/>
  <c r="S123"/>
  <c r="M124"/>
  <c r="S124"/>
  <c r="M125"/>
  <c r="S125"/>
  <c r="M126"/>
  <c r="S126"/>
  <c r="M127"/>
  <c r="S127"/>
  <c r="M128"/>
  <c r="S128"/>
  <c r="S129"/>
  <c r="M130"/>
  <c r="S130"/>
  <c r="M131"/>
  <c r="S131"/>
  <c r="M132"/>
  <c r="S132"/>
  <c r="M133"/>
  <c r="S133"/>
  <c r="M134"/>
  <c r="S134"/>
  <c r="M135"/>
  <c r="S135"/>
  <c r="M136"/>
  <c r="S136"/>
  <c r="M137"/>
  <c r="S137"/>
  <c r="M138"/>
  <c r="S138"/>
  <c r="M139"/>
  <c r="S139"/>
  <c r="M140"/>
  <c r="S140"/>
  <c r="M141"/>
  <c r="S141"/>
  <c r="M142"/>
  <c r="S142"/>
  <c r="M143"/>
  <c r="S143"/>
  <c r="M144"/>
  <c r="S144"/>
  <c r="M145"/>
  <c r="S145"/>
  <c r="M146"/>
  <c r="S146"/>
  <c r="M147"/>
  <c r="S147"/>
  <c r="M148"/>
  <c r="S148"/>
  <c r="M149"/>
  <c r="S149"/>
  <c r="M150"/>
  <c r="S150"/>
  <c r="M151"/>
  <c r="S151"/>
  <c r="M152"/>
  <c r="S152"/>
  <c r="M153"/>
  <c r="S153"/>
  <c r="M154"/>
  <c r="S154"/>
  <c r="M155"/>
  <c r="S155"/>
  <c r="M156"/>
  <c r="S156"/>
  <c r="M157"/>
  <c r="S157"/>
  <c r="M158"/>
  <c r="S158"/>
  <c r="M159"/>
  <c r="S159"/>
  <c r="M160"/>
  <c r="S160"/>
  <c r="M161"/>
  <c r="S161"/>
  <c r="M162"/>
  <c r="S162"/>
  <c r="M163"/>
  <c r="S163"/>
  <c r="M164"/>
  <c r="S164"/>
  <c r="M165"/>
  <c r="S165"/>
  <c r="M166"/>
  <c r="S166"/>
  <c r="M167"/>
  <c r="S167"/>
  <c r="M168"/>
  <c r="S168"/>
  <c r="M169"/>
  <c r="S169"/>
  <c r="M170"/>
  <c r="S170"/>
  <c r="M171"/>
  <c r="S171"/>
  <c r="M172"/>
  <c r="S172"/>
  <c r="M173"/>
  <c r="S173"/>
  <c r="M174"/>
  <c r="S174"/>
  <c r="M175"/>
  <c r="S175"/>
  <c r="M176"/>
  <c r="S176"/>
  <c r="M177"/>
  <c r="S177"/>
  <c r="M178"/>
  <c r="M179"/>
  <c r="S179"/>
  <c r="M180"/>
  <c r="S180"/>
  <c r="M181"/>
  <c r="S181"/>
  <c r="M182"/>
  <c r="S182"/>
  <c r="M183"/>
  <c r="M184"/>
  <c r="S184"/>
  <c r="M185"/>
  <c r="S185"/>
  <c r="M186"/>
  <c r="S186"/>
  <c r="M187"/>
  <c r="S187"/>
  <c r="M188"/>
  <c r="S188"/>
  <c r="M189"/>
  <c r="S189"/>
  <c r="M190"/>
  <c r="S190"/>
  <c r="M191"/>
  <c r="S191"/>
  <c r="M192"/>
  <c r="S192"/>
  <c r="M193"/>
  <c r="S193"/>
  <c r="M194"/>
  <c r="S194"/>
  <c r="M195"/>
  <c r="S195"/>
  <c r="M196"/>
  <c r="S196"/>
  <c r="M197"/>
  <c r="S197"/>
  <c r="M198"/>
  <c r="S198"/>
  <c r="S201"/>
  <c r="M202"/>
  <c r="S202"/>
  <c r="M203"/>
  <c r="S203"/>
  <c r="M204"/>
  <c r="S204"/>
  <c r="M205"/>
  <c r="S205"/>
  <c r="S206"/>
  <c r="S208"/>
  <c r="M209"/>
  <c r="M210"/>
  <c r="S210"/>
  <c r="M211"/>
  <c r="S211"/>
  <c r="M212"/>
  <c r="S212"/>
  <c r="M213"/>
  <c r="S213"/>
  <c r="M214"/>
  <c r="S214"/>
  <c r="M215"/>
  <c r="S215"/>
  <c r="M216"/>
  <c r="S216"/>
  <c r="M217"/>
  <c r="S217"/>
  <c r="M218"/>
  <c r="S218"/>
  <c r="M219"/>
  <c r="S219"/>
  <c r="M220"/>
  <c r="S220"/>
  <c r="M221"/>
  <c r="S221"/>
  <c r="M222"/>
  <c r="S222"/>
  <c r="M223"/>
  <c r="M224"/>
  <c r="S224"/>
  <c r="M225"/>
  <c r="S225"/>
  <c r="M226"/>
  <c r="S226"/>
  <c r="M227"/>
  <c r="M228"/>
  <c r="S228"/>
  <c r="M229"/>
  <c r="S229"/>
  <c r="M230"/>
  <c r="S230"/>
  <c r="M231"/>
  <c r="S231"/>
  <c r="M232"/>
  <c r="M233"/>
  <c r="S233"/>
  <c r="M234"/>
  <c r="S234"/>
  <c r="M235"/>
  <c r="S235"/>
  <c r="M236"/>
  <c r="S236"/>
  <c r="M237"/>
  <c r="S237"/>
  <c r="M238"/>
  <c r="S238"/>
  <c r="M239"/>
  <c r="S239"/>
  <c r="M240"/>
  <c r="S240"/>
  <c r="M241"/>
  <c r="S241"/>
  <c r="M242"/>
  <c r="S242"/>
  <c r="M243"/>
  <c r="S243"/>
  <c r="M244"/>
  <c r="S244"/>
  <c r="M245"/>
  <c r="S245"/>
  <c r="S246"/>
  <c r="M247"/>
  <c r="S247"/>
  <c r="S248"/>
  <c r="S249"/>
  <c r="M250"/>
  <c r="S250"/>
  <c r="M251"/>
  <c r="S251"/>
  <c r="M252"/>
  <c r="S252"/>
  <c r="M253"/>
  <c r="S253"/>
  <c r="M254"/>
  <c r="S254"/>
  <c r="M255"/>
  <c r="M256"/>
  <c r="S256"/>
  <c r="M257"/>
  <c r="S257"/>
  <c r="M258"/>
  <c r="S258"/>
  <c r="M259"/>
  <c r="S259"/>
  <c r="M260"/>
  <c r="S260"/>
  <c r="M261"/>
  <c r="S261"/>
  <c r="M262"/>
  <c r="S262"/>
  <c r="M263"/>
  <c r="S263"/>
  <c r="M264"/>
  <c r="S264"/>
  <c r="M265"/>
  <c r="S265"/>
  <c r="M266"/>
  <c r="S266"/>
  <c r="M267"/>
  <c r="S267"/>
  <c r="M268"/>
  <c r="S268"/>
  <c r="M269"/>
  <c r="S269"/>
  <c r="M270"/>
  <c r="S270"/>
  <c r="M271"/>
  <c r="S271"/>
  <c r="M272"/>
  <c r="S272"/>
  <c r="M273"/>
  <c r="S273"/>
  <c r="M274"/>
  <c r="S274"/>
  <c r="M275"/>
  <c r="S275"/>
  <c r="M276"/>
  <c r="S276"/>
  <c r="M277"/>
  <c r="S277"/>
  <c r="M278"/>
  <c r="S278"/>
  <c r="M279"/>
  <c r="S279"/>
  <c r="M280"/>
  <c r="S280"/>
  <c r="M281"/>
  <c r="S281"/>
  <c r="M282"/>
  <c r="S282"/>
  <c r="M283"/>
  <c r="S283"/>
  <c r="M284"/>
  <c r="S284"/>
  <c r="M285"/>
  <c r="S285"/>
  <c r="M286"/>
  <c r="S286"/>
  <c r="M287"/>
  <c r="S287"/>
  <c r="M288"/>
  <c r="S288"/>
  <c r="M289"/>
  <c r="S289"/>
  <c r="M290"/>
  <c r="S290"/>
  <c r="M291"/>
  <c r="S291"/>
  <c r="M292"/>
  <c r="S292"/>
  <c r="M293"/>
  <c r="S293"/>
  <c r="M294"/>
  <c r="S294"/>
  <c r="M295"/>
  <c r="S295"/>
  <c r="M296"/>
  <c r="S296"/>
  <c r="M297"/>
  <c r="S297"/>
  <c r="M298"/>
  <c r="S298"/>
  <c r="M299"/>
  <c r="S299"/>
  <c r="M300"/>
  <c r="S300"/>
  <c r="M301"/>
  <c r="S301"/>
  <c r="M302"/>
  <c r="S302"/>
  <c r="M303"/>
  <c r="S303"/>
  <c r="M304"/>
  <c r="S304"/>
  <c r="M305"/>
  <c r="S305"/>
  <c r="S306"/>
  <c r="S308"/>
  <c r="S309"/>
  <c r="M310"/>
  <c r="S310"/>
  <c r="M311"/>
  <c r="S311"/>
  <c r="M312"/>
  <c r="S312"/>
  <c r="M313"/>
  <c r="S313"/>
  <c r="M314"/>
  <c r="S314"/>
  <c r="M315"/>
  <c r="S315"/>
  <c r="M316"/>
  <c r="S316"/>
  <c r="M317"/>
  <c r="S317"/>
  <c r="M318"/>
  <c r="S318"/>
  <c r="M319"/>
  <c r="S319"/>
  <c r="M320"/>
  <c r="S320"/>
  <c r="M321"/>
  <c r="S321"/>
  <c r="M322"/>
  <c r="S322"/>
  <c r="M323"/>
  <c r="S323"/>
  <c r="S324"/>
  <c r="M325"/>
  <c r="S325"/>
  <c r="M326"/>
  <c r="S326"/>
  <c r="M327"/>
  <c r="S327"/>
  <c r="M328"/>
  <c r="S328"/>
  <c r="M329"/>
  <c r="S329"/>
  <c r="M330"/>
  <c r="S330"/>
  <c r="M331"/>
  <c r="S331"/>
  <c r="M332"/>
  <c r="S332"/>
  <c r="M333"/>
  <c r="S333"/>
  <c r="M334"/>
  <c r="S334"/>
  <c r="M335"/>
  <c r="S335"/>
  <c r="M336"/>
  <c r="S336"/>
  <c r="M337"/>
  <c r="S337"/>
  <c r="M338"/>
  <c r="S338"/>
  <c r="M339"/>
  <c r="S339"/>
  <c r="M340"/>
  <c r="S340"/>
  <c r="M341"/>
  <c r="S341"/>
  <c r="M342"/>
  <c r="S342"/>
  <c r="M343"/>
  <c r="S343"/>
  <c r="M344"/>
  <c r="S344"/>
  <c r="M345"/>
  <c r="S345"/>
  <c r="M346"/>
  <c r="S346"/>
  <c r="M347"/>
  <c r="S347"/>
  <c r="M348"/>
  <c r="S348"/>
  <c r="M349"/>
  <c r="S349"/>
  <c r="M350"/>
  <c r="S350"/>
  <c r="M351"/>
  <c r="S351"/>
  <c r="M352"/>
  <c r="S352"/>
  <c r="M353"/>
  <c r="S353"/>
  <c r="M354"/>
  <c r="S354"/>
  <c r="M355"/>
  <c r="S355"/>
  <c r="M356"/>
  <c r="S356"/>
  <c r="M357"/>
  <c r="S357"/>
  <c r="M358"/>
  <c r="S358"/>
  <c r="M359"/>
  <c r="S359"/>
  <c r="M360"/>
  <c r="S360"/>
  <c r="M361"/>
  <c r="S361"/>
  <c r="M362"/>
  <c r="S362"/>
  <c r="M363"/>
  <c r="S363"/>
  <c r="M364"/>
  <c r="S364"/>
  <c r="M365"/>
  <c r="S365"/>
  <c r="M366"/>
  <c r="S366"/>
  <c r="M367"/>
  <c r="S367"/>
  <c r="M368"/>
  <c r="S368"/>
  <c r="M369"/>
  <c r="M370"/>
  <c r="S370"/>
  <c r="M371"/>
  <c r="S371"/>
  <c r="M372"/>
  <c r="S372"/>
  <c r="M373"/>
  <c r="S373"/>
  <c r="M374"/>
  <c r="S374"/>
  <c r="M375"/>
  <c r="S375"/>
  <c r="M376"/>
  <c r="S376"/>
  <c r="M377"/>
  <c r="S377"/>
  <c r="M378"/>
  <c r="S378"/>
  <c r="M379"/>
  <c r="S379"/>
  <c r="M380"/>
  <c r="M381"/>
  <c r="S381"/>
  <c r="M382"/>
  <c r="S382"/>
  <c r="M383"/>
  <c r="S383"/>
  <c r="M384"/>
  <c r="S384"/>
  <c r="M385"/>
  <c r="S385"/>
  <c r="M386"/>
  <c r="S386"/>
  <c r="M387"/>
  <c r="S387"/>
  <c r="M388"/>
  <c r="S388"/>
  <c r="M389"/>
  <c r="M390"/>
  <c r="S390"/>
  <c r="M391"/>
  <c r="S391"/>
  <c r="M392"/>
  <c r="S392"/>
  <c r="M393"/>
  <c r="S393"/>
  <c r="M394"/>
  <c r="S394"/>
  <c r="M395"/>
  <c r="S395"/>
  <c r="M396"/>
  <c r="S396"/>
  <c r="M397"/>
  <c r="S397"/>
  <c r="M398"/>
  <c r="S398"/>
  <c r="M399"/>
  <c r="S399"/>
  <c r="M400"/>
  <c r="S400"/>
  <c r="M401"/>
  <c r="S401"/>
  <c r="M402"/>
  <c r="S402"/>
  <c r="M403"/>
  <c r="S403"/>
  <c r="M404"/>
  <c r="S404"/>
  <c r="M405"/>
  <c r="S405"/>
  <c r="M406"/>
  <c r="S406"/>
  <c r="M407"/>
  <c r="S407"/>
  <c r="M408"/>
  <c r="S408"/>
  <c r="M409"/>
  <c r="S409"/>
  <c r="M410"/>
  <c r="S410"/>
  <c r="M411"/>
  <c r="S411"/>
  <c r="M412"/>
  <c r="S412"/>
  <c r="M413"/>
  <c r="S413"/>
  <c r="M414"/>
  <c r="S414"/>
  <c r="M415"/>
  <c r="S415"/>
  <c r="M416"/>
  <c r="S416"/>
  <c r="M417"/>
  <c r="S417"/>
  <c r="M418"/>
  <c r="S418"/>
  <c r="M419"/>
  <c r="S419"/>
  <c r="M420"/>
  <c r="S420"/>
  <c r="M421"/>
  <c r="S421"/>
  <c r="M422"/>
  <c r="S422"/>
  <c r="M423"/>
  <c r="S423"/>
  <c r="M424"/>
  <c r="S424"/>
  <c r="M425"/>
  <c r="S425"/>
  <c r="M426"/>
  <c r="S426"/>
  <c r="S427"/>
  <c r="S428"/>
  <c r="M429"/>
  <c r="S429"/>
  <c r="M430"/>
  <c r="S430"/>
  <c r="M431"/>
  <c r="S431"/>
  <c r="M432"/>
  <c r="S432"/>
  <c r="M433"/>
  <c r="S433"/>
  <c r="M434"/>
  <c r="S434"/>
  <c r="M435"/>
  <c r="S435"/>
  <c r="M436"/>
  <c r="S436"/>
  <c r="M437"/>
  <c r="S437"/>
  <c r="M438"/>
  <c r="S438"/>
  <c r="M439"/>
  <c r="S439"/>
  <c r="M440"/>
  <c r="S440"/>
  <c r="M441"/>
  <c r="M442"/>
  <c r="S442"/>
  <c r="M443"/>
  <c r="S443"/>
  <c r="M444"/>
  <c r="S444"/>
  <c r="M445"/>
  <c r="S445"/>
  <c r="M446"/>
  <c r="S446"/>
  <c r="M447"/>
  <c r="S447"/>
  <c r="M448"/>
  <c r="S448"/>
  <c r="M449"/>
  <c r="S449"/>
  <c r="M450"/>
  <c r="S450"/>
  <c r="M451"/>
  <c r="S451"/>
  <c r="M452"/>
  <c r="S452"/>
  <c r="M453"/>
  <c r="S453"/>
  <c r="M454"/>
  <c r="S454"/>
  <c r="M455"/>
  <c r="S455"/>
  <c r="S456"/>
  <c r="M457"/>
  <c r="S457"/>
  <c r="M458"/>
  <c r="S458"/>
  <c r="M459"/>
  <c r="S459"/>
  <c r="M460"/>
  <c r="S460"/>
  <c r="M461"/>
  <c r="S461"/>
  <c r="M462"/>
  <c r="M463"/>
  <c r="S463"/>
  <c r="M464"/>
  <c r="S464"/>
  <c r="M465"/>
  <c r="S465"/>
  <c r="M466"/>
  <c r="S466"/>
  <c r="M467"/>
  <c r="S467"/>
  <c r="S468"/>
  <c r="M469"/>
  <c r="S469"/>
  <c r="M470"/>
  <c r="S470"/>
  <c r="M471"/>
  <c r="S471"/>
  <c r="M472"/>
  <c r="S472"/>
  <c r="M473"/>
  <c r="S473"/>
  <c r="M474"/>
  <c r="S474"/>
  <c r="M475"/>
  <c r="S475"/>
  <c r="M476"/>
  <c r="S476"/>
  <c r="M477"/>
  <c r="S477"/>
  <c r="M478"/>
  <c r="S478"/>
  <c r="M479"/>
  <c r="S479"/>
  <c r="M480"/>
  <c r="S480"/>
  <c r="M481"/>
  <c r="S481"/>
  <c r="M482"/>
  <c r="S482"/>
  <c r="M483"/>
  <c r="S483"/>
  <c r="M484"/>
  <c r="S484"/>
  <c r="M485"/>
  <c r="S485"/>
  <c r="M486"/>
  <c r="S486"/>
  <c r="M487"/>
  <c r="S487"/>
  <c r="M488"/>
  <c r="S488"/>
  <c r="M489"/>
  <c r="S489"/>
  <c r="M490"/>
  <c r="S490"/>
  <c r="M491"/>
  <c r="S491"/>
  <c r="M492"/>
  <c r="S492"/>
  <c r="M493"/>
  <c r="S493"/>
  <c r="M494"/>
  <c r="S494"/>
  <c r="M495"/>
  <c r="S495"/>
  <c r="M496"/>
  <c r="S496"/>
  <c r="M497"/>
  <c r="S497"/>
  <c r="M498"/>
  <c r="S498"/>
  <c r="M499"/>
  <c r="S499"/>
  <c r="M500"/>
  <c r="S500"/>
  <c r="M501"/>
  <c r="S501"/>
  <c r="M502"/>
  <c r="S502"/>
  <c r="M503"/>
  <c r="S503"/>
  <c r="M504"/>
  <c r="M505"/>
  <c r="S505"/>
  <c r="M506"/>
  <c r="S506"/>
  <c r="M507"/>
  <c r="S507"/>
  <c r="M508"/>
  <c r="S508"/>
  <c r="M509"/>
  <c r="S509"/>
  <c r="M510"/>
  <c r="S510"/>
  <c r="M511"/>
  <c r="S511"/>
  <c r="M512"/>
  <c r="S512"/>
  <c r="M513"/>
  <c r="S513"/>
  <c r="M514"/>
  <c r="S514"/>
  <c r="M515"/>
  <c r="S515"/>
  <c r="M516"/>
  <c r="S516"/>
  <c r="M517"/>
  <c r="S517"/>
  <c r="M518"/>
  <c r="S518"/>
</calcChain>
</file>

<file path=xl/sharedStrings.xml><?xml version="1.0" encoding="utf-8"?>
<sst xmlns="http://schemas.openxmlformats.org/spreadsheetml/2006/main" count="18712" uniqueCount="8270">
  <si>
    <t>Filename</t>
  </si>
  <si>
    <t>GSE Accession</t>
  </si>
  <si>
    <t>Title</t>
  </si>
  <si>
    <t>Case</t>
  </si>
  <si>
    <t>Description</t>
  </si>
  <si>
    <t>Control</t>
  </si>
  <si>
    <t>a:b:c:d</t>
  </si>
  <si>
    <t>OR</t>
  </si>
  <si>
    <t>CI</t>
  </si>
  <si>
    <t>Chi-square
p-value</t>
  </si>
  <si>
    <t>Permuted
p-value</t>
  </si>
  <si>
    <t>Dn (t-test p-value threshold = 0.01)</t>
  </si>
  <si>
    <t>Up (t-test p-value threshold = 0.01)</t>
  </si>
  <si>
    <t>GSE10061.xlsx</t>
  </si>
  <si>
    <t>GSE10061</t>
  </si>
  <si>
    <t>Expression data of MCF7 cells following short-term E deprivation, ER-alpha siRNA knockdown and oxidant treatments</t>
  </si>
  <si>
    <t>GSM254301,GSM254302,</t>
  </si>
  <si>
    <t>72hr antiERalpha siRNA-1,72hr antiERalpha siRNA-2,</t>
  </si>
  <si>
    <t>GSM254297,GSM254298,</t>
  </si>
  <si>
    <t>Untreated MCF7 RNA-1,Untreated MCF7 RNA-2,</t>
  </si>
  <si>
    <t>22 : 890 : 209 : 11,972</t>
  </si>
  <si>
    <t>0.91_2.21</t>
  </si>
  <si>
    <t>23 : 889 : 261 : 11,920</t>
  </si>
  <si>
    <t>0.77_1.82</t>
  </si>
  <si>
    <t>GSE10232.xlsx</t>
  </si>
  <si>
    <t>GSE10232</t>
  </si>
  <si>
    <t>CTDG in PMA-activated Jurkat cells</t>
  </si>
  <si>
    <t>GSM257471,GSM257660,</t>
  </si>
  <si>
    <t>Jurkat cyclin T1 knockdown PMA treated 1,Jurkat cyclin T1 knockdown PMA treated 2,</t>
  </si>
  <si>
    <t>GSM257472,GSM257661,</t>
  </si>
  <si>
    <t>Jurkat control shRNA PMA treated 1,Jurkat control shRNA PMA treated 2,</t>
  </si>
  <si>
    <t>22 : 1,318 : 236 : 18,798</t>
  </si>
  <si>
    <t>0.86_2.07</t>
  </si>
  <si>
    <t>27 : 1,313 : 276 : 18,758</t>
  </si>
  <si>
    <t>0.94_2.08</t>
  </si>
  <si>
    <t>GSE10233.xlsx</t>
  </si>
  <si>
    <t>GSE10233</t>
  </si>
  <si>
    <t>CTDG in PMA-activated MM6 cells</t>
  </si>
  <si>
    <t>GSM257589,GSM257591,GSM257593,</t>
  </si>
  <si>
    <t>MM6 cyclin T1 knockdown PMA treated 1,MM6 cyclin T1 knockdown PMA treated 2,MM6 cyclin T1 knockdown PMA treated 3,</t>
  </si>
  <si>
    <t>GSM257617,GSM257620,GSM257622,</t>
  </si>
  <si>
    <t>MM6 control shRNA PMA treated 1,MM6 control shRNA PMA treated 2,MM6 control shRNA PMA treated 3,</t>
  </si>
  <si>
    <t>41 : 1,299 : 478 : 18,556</t>
  </si>
  <si>
    <t>0.89_1.69</t>
  </si>
  <si>
    <t>27 : 1,313 : 586 : 18,448</t>
  </si>
  <si>
    <t>0.44_0.96</t>
  </si>
  <si>
    <t>GSE10234.xlsx</t>
  </si>
  <si>
    <t>GSE10234</t>
  </si>
  <si>
    <t>CTDG in LPS-activated MM6 cells</t>
  </si>
  <si>
    <t>GSM257640,GSM257656,</t>
  </si>
  <si>
    <t>MM6 cyclin T1 knockdown LPS treated 1,MM6 cyclin T1 knockdown LPS treated 2,</t>
  </si>
  <si>
    <t>GSM257657,GSM257659,</t>
  </si>
  <si>
    <t>MM6 control shRNA LPS treated 1,MM6 control shRNA LPS treated 2,</t>
  </si>
  <si>
    <t>16 : 1,324 : 223 : 18,811</t>
  </si>
  <si>
    <t>0.61_1.70</t>
  </si>
  <si>
    <t>12 : 1,328 : 295 : 18,739</t>
  </si>
  <si>
    <t>0.32_1.03</t>
  </si>
  <si>
    <t>GSE10241.xlsx</t>
  </si>
  <si>
    <t>GSE10241</t>
  </si>
  <si>
    <t>A Global Genomic View of MIF Knockdown Cell</t>
  </si>
  <si>
    <t>GSM258515,GSM258530,</t>
  </si>
  <si>
    <t>HEK293_MIF siRNA 1#_24h_Illumina,HEK293_MIF siRNA 2#_24h_Illumina,</t>
  </si>
  <si>
    <t>GSM258516,GSM258517,</t>
  </si>
  <si>
    <t>HEK293_Normal_24h_Illumina,HEK293_Control RNA_24h_Illumina,</t>
  </si>
  <si>
    <t>13 : 1,320 : 253 : 23,028</t>
  </si>
  <si>
    <t>0.51_1.57</t>
  </si>
  <si>
    <t>15 : 1,318 : 188 : 23,093</t>
  </si>
  <si>
    <t>0.82_2.37</t>
  </si>
  <si>
    <t>GSE10289.xlsx</t>
  </si>
  <si>
    <t>GSE10289</t>
  </si>
  <si>
    <t>Cells silenced for SDHB expression and tumor phenotype</t>
  </si>
  <si>
    <t>GSM259834,GSM259835,GSM259836,</t>
  </si>
  <si>
    <t>D20_A,D20_B,D20_C,</t>
  </si>
  <si>
    <t>GSM259831,GSM259832,GSM259833,</t>
  </si>
  <si>
    <t>pU62_A,pU62_B,pU62_C,</t>
  </si>
  <si>
    <t>96 : 1,244 : 1,470 : 17,564</t>
  </si>
  <si>
    <t>0.74_1.14</t>
  </si>
  <si>
    <t>135 : 1,205 : 1,523 : 17,511</t>
  </si>
  <si>
    <t>1.07_1.55</t>
  </si>
  <si>
    <t>GSE10737.xlsx</t>
  </si>
  <si>
    <t>GSE10737</t>
  </si>
  <si>
    <t>CTDG in non-activated Jurkat cells</t>
  </si>
  <si>
    <t>GSM254985,GSM257468,</t>
  </si>
  <si>
    <t>Jurkat cyclin T1 knockdown Mock treated 2,Jurkat cyclin T1 knockdown Mock treated 1,</t>
  </si>
  <si>
    <t>GSM257469,GSM257470,</t>
  </si>
  <si>
    <t>Jurkat control shRNA Mock treated 1,Jurkat control shRNA Mock treated 2,</t>
  </si>
  <si>
    <t>17 : 1,323 : 166 : 18,868</t>
  </si>
  <si>
    <t>0.88_2.41</t>
  </si>
  <si>
    <t>8 : 1,332 : 151 : 18,883</t>
  </si>
  <si>
    <t>0.37_1.53</t>
  </si>
  <si>
    <t>GSE10738.xlsx</t>
  </si>
  <si>
    <t>GSE10738</t>
  </si>
  <si>
    <t>CTDG in non-activated MM6 cells</t>
  </si>
  <si>
    <t>GSM257586,GSM257588,</t>
  </si>
  <si>
    <t>MM6 cyclin T1 knockdown Mock treated 1,MM6 cyclin T1 knockdown Mock treated 2,</t>
  </si>
  <si>
    <t>GSM257614,GSM257616,</t>
  </si>
  <si>
    <t>MM6 control shRNA Mock treated 1,MM6 control shRNA Mock treated 2,</t>
  </si>
  <si>
    <t>15 : 1,325 : 239 : 18,795</t>
  </si>
  <si>
    <t>0.53_1.50</t>
  </si>
  <si>
    <t>11 : 1,329 : 218 : 18,816</t>
  </si>
  <si>
    <t>0.39_1.31</t>
  </si>
  <si>
    <t>GSE10890_1.xlsx</t>
  </si>
  <si>
    <t>GSE10890</t>
  </si>
  <si>
    <t>mRNA Breast Cancer Cell Line Profiles</t>
  </si>
  <si>
    <t>GSM276083,GSM276084,GSM276085,</t>
  </si>
  <si>
    <t>Replicate 1 for MCF7siRNAESR1_72h breast cell line,Replicate 2 for MCF7siRNAESR1_72h breast cell line,Replicate 3 for MCF7siRNAESR1_72h breast cell line,</t>
  </si>
  <si>
    <t>GSM276080,GSM276081,GSM276082,</t>
  </si>
  <si>
    <t>Replicate 1 for MCF7siRNActr72h breast cell line,Replicate 2 for MCF7siRNActr72h breast cell line,Replicate 3 for MCF7siRNActr72h breast cell line,</t>
  </si>
  <si>
    <t>56 : 1,284 : 706 : 18,328</t>
  </si>
  <si>
    <t>0.86_1.49</t>
  </si>
  <si>
    <t>48 : 1,292 : 886 : 18,148</t>
  </si>
  <si>
    <t>0.57_1.02</t>
  </si>
  <si>
    <t>GSE10890_2.xlsx</t>
  </si>
  <si>
    <t>GSM276058,GSM276059,</t>
  </si>
  <si>
    <t>Replicate 1 for MCF7siRNAESR1 breast cell line,Replicate 2 for MCF7siRNAESR1 breast cell line,</t>
  </si>
  <si>
    <t>GSM276055,GSM276056,GSM276057,</t>
  </si>
  <si>
    <t>Replicate 1 for MCF7siRNActr breast cell line,Replicate 2 for MCF7siRNActr breast cell line,Replicate 3 for MCF7siRNActr breast cell line,</t>
  </si>
  <si>
    <t>16 : 1,324 : 205 : 18,829</t>
  </si>
  <si>
    <t>0.67_1.85</t>
  </si>
  <si>
    <t>20 : 1,320 : 225 : 18,809</t>
  </si>
  <si>
    <t>0.80_2.01</t>
  </si>
  <si>
    <t>GSE11011_1.xlsx</t>
  </si>
  <si>
    <t>GSE11011</t>
  </si>
  <si>
    <t>eIF4GI Links Nutrient Sensing by mTOR to Cell Proliferation and  Inhibition of Autophagy</t>
  </si>
  <si>
    <t>GSM278478,GSM278479,GSM278480,</t>
  </si>
  <si>
    <t>human_MCF10A_siRNA-eIF4GI_polysomal RNA_R1,human_MCF10A_siRNA-eIF4GI_polysomal RNA_R2,human_MCF10A_siRNA-eIF4GI_polysomal RNA_R3,</t>
  </si>
  <si>
    <t>GSM278481,GSM278482,GSM278483,</t>
  </si>
  <si>
    <t>human_MCF10A_siRNA-control_polysomal RNA_R1,human_MCF10A_siRNA-control_polysomal RNA_R2,human_MCF10A_siRNA-control_polysomal RNA_R3,</t>
  </si>
  <si>
    <t>26 : 871 : 315 : 11,674</t>
  </si>
  <si>
    <t>0.74_1.66</t>
  </si>
  <si>
    <t>15 : 882 : 196 : 11,793</t>
  </si>
  <si>
    <t>0.60_1.74</t>
  </si>
  <si>
    <t>GSE11011_2.xlsx</t>
  </si>
  <si>
    <t>GSM278484,GSM278485,GSM278486,</t>
  </si>
  <si>
    <t>human_MCF10A_siRNA-eIF4GI_total RNA_R1,human_MCF10A_siRNA-eIF4GI_total RNA_R2,human_MCF10A_siRNA-eIF4GI_total RNA_R3,</t>
  </si>
  <si>
    <t>GSM278487,GSM278488,GSM278489,</t>
  </si>
  <si>
    <t>human_MCF10A_siRNA-control_total RNA_R1,human_MCF10A_siRNA-control_total RNA_R2,human_MCF10A_siRNA-control_total RNA_R3,</t>
  </si>
  <si>
    <t>21 : 859 : 364 : 11,559</t>
  </si>
  <si>
    <t>0.50_1.21</t>
  </si>
  <si>
    <t>20 : 860 : 303 : 11,620</t>
  </si>
  <si>
    <t>0.56_1.41</t>
  </si>
  <si>
    <t>GSE11422.xlsx</t>
  </si>
  <si>
    <t>GSE11422</t>
  </si>
  <si>
    <t>Genes differentially expressed upon CHD8 knockdown</t>
  </si>
  <si>
    <t>GSM288248,GSM288249,GSM288260,</t>
  </si>
  <si>
    <t>C33KD2_with doxycycline_1,C33KD2_with doxycycline_2,C33KD2_with doxycycline_3,</t>
  </si>
  <si>
    <t>GSM287516,GSM288241,GSM288243,</t>
  </si>
  <si>
    <t>C33KD2_without doxycycline_1,C33KD2_without doxycycline_2,C33KD2_without doxycycline_3,</t>
  </si>
  <si>
    <t>9 : 1,232 : 106 : 17,319</t>
  </si>
  <si>
    <t>0.60_2.36</t>
  </si>
  <si>
    <t>9 : 1,232 : 122 : 17,303</t>
  </si>
  <si>
    <t>0.53_2.04</t>
  </si>
  <si>
    <t>GSE11428_1.xlsx</t>
  </si>
  <si>
    <t>GSE11428</t>
  </si>
  <si>
    <t>Expression data from LNCaP and abl cells</t>
  </si>
  <si>
    <t>GSM288299,GSM288300,GSM288301,</t>
  </si>
  <si>
    <t>LNCaP siAR, biological replicate 1,LNCaP siAR, biological replicate 2,LNCaP siAR, biological replicate 3,</t>
  </si>
  <si>
    <t>GSM288293,GSM288294,GSM288295,</t>
  </si>
  <si>
    <t>LNCaP siControl, biological replicate 1,LNCaP siControl, biological replicate 2,LNCaP siControl, biological replicate 3,</t>
  </si>
  <si>
    <t>6 : 1,334 : 67 : 18,967</t>
  </si>
  <si>
    <t>0.55_2.94</t>
  </si>
  <si>
    <t>9 : 1,331 : 80 : 18,954</t>
  </si>
  <si>
    <t>0.80_3.20</t>
  </si>
  <si>
    <t>GSE11428_2.xlsx</t>
  </si>
  <si>
    <t>GSM288302,GSM288303,GSM288304,</t>
  </si>
  <si>
    <t>abl siAR, biological replicate 1,abl siAR, biological replicate 2,abl siAR, biological replicate 3,</t>
  </si>
  <si>
    <t>GSM288296,GSM288297,GSM288298,</t>
  </si>
  <si>
    <t>abl siControl, biological replicate 1,abl siControl, biological replicate 2,abl siControl, biological replicate 3,</t>
  </si>
  <si>
    <t>9 : 1,331 : 91 : 18,942</t>
  </si>
  <si>
    <t>0.71_2.80</t>
  </si>
  <si>
    <t>14 : 1,326 : 108 : 18,925</t>
  </si>
  <si>
    <t>1.06_3.24</t>
  </si>
  <si>
    <t>GSE11581.xlsx</t>
  </si>
  <si>
    <t>GSE11581</t>
  </si>
  <si>
    <t>Role of FAK, dominant-negative FAK, FAK-CD and FAKsiRNA in MCF-7 human breast cancer cell tumorigenesis</t>
  </si>
  <si>
    <t>GSM292136,GSM292137,GSM318854,GSM318855,</t>
  </si>
  <si>
    <t>FAKsiRNA#1,FAKsiRNA#2,FAKsiRNA#1,FAKsiRNA#2,</t>
  </si>
  <si>
    <t>GSM292139,GSM318859,GSM318856,</t>
  </si>
  <si>
    <t>MCF-7-Vector,MCF-7-Vector,MCF7 siRNA control,</t>
  </si>
  <si>
    <t>4 : 1,336 : 99 : 18,935</t>
  </si>
  <si>
    <t>0.21_1.56</t>
  </si>
  <si>
    <t>17 : 1,323 : 181 : 18,853</t>
  </si>
  <si>
    <t>0.81_2.21</t>
  </si>
  <si>
    <t>GSE11618_1.xlsx</t>
  </si>
  <si>
    <t>GSE11618</t>
  </si>
  <si>
    <t>Stable XIAP knockdown in HCT116 colon cancer cells</t>
  </si>
  <si>
    <t>GSM294806,GSM294807,GSM294808,GSM294809,</t>
  </si>
  <si>
    <t>X_p4_rep1,X_p4_rep2,X_p4_rep3,X_p4_rep4,</t>
  </si>
  <si>
    <t>GSM294802,GSM294803,GSM294804,GSM294805,</t>
  </si>
  <si>
    <t>L_p4_rep1,L_p4_rep2,L_p4_rep3,L_p4_rep4,</t>
  </si>
  <si>
    <t>26 : 1,314 : 185 : 18,849</t>
  </si>
  <si>
    <t>1.33_3.05</t>
  </si>
  <si>
    <t>26 : 1,314 : 272 : 18,762</t>
  </si>
  <si>
    <t>0.91_2.05</t>
  </si>
  <si>
    <t>GSE11618_2.xlsx</t>
  </si>
  <si>
    <t>GSM294810,GSM294811,GSM294812,GSM294813,</t>
  </si>
  <si>
    <t>X_p8_rep1,X_p8_rep2,X_p8_rep3,X_p8_rep4,</t>
  </si>
  <si>
    <t>GSM294814,GSM294815,GSM294816,GSM294817,</t>
  </si>
  <si>
    <t>L_p8_rep1,L_p8_rep2,L_p8_rep3,L_p8_rep4,</t>
  </si>
  <si>
    <t>28 : 1,312 : 169 : 18,865</t>
  </si>
  <si>
    <t>1.59_3.57</t>
  </si>
  <si>
    <t>23 : 1,317 : 282 : 18,752</t>
  </si>
  <si>
    <t>0.76_1.78</t>
  </si>
  <si>
    <t>GSE11865.xlsx</t>
  </si>
  <si>
    <t>GSE11865</t>
  </si>
  <si>
    <t>Downstreams of hnRNP A2 in Colo16 cells</t>
  </si>
  <si>
    <t>GSM299449,GSM299450,</t>
  </si>
  <si>
    <t>Colo16 cells_hnRNP A2 shRNA_rep1,Colo16 cells_hnRNP A2 shRNA_rep2,</t>
  </si>
  <si>
    <t>GSM299447,GSM299448,</t>
  </si>
  <si>
    <t>Colo16 cells_nonspecific shRNA-rep1,Colo16 cells_nonspecific shRNA_rep2,</t>
  </si>
  <si>
    <t>4 : 915 : 110 : 12,029</t>
  </si>
  <si>
    <t>0.18_1.30</t>
  </si>
  <si>
    <t>5 : 914 : 104 : 12,035</t>
  </si>
  <si>
    <t>0.26_1.56</t>
  </si>
  <si>
    <t>GSE11915-GPL6102_1.xlsx</t>
  </si>
  <si>
    <t>GSE11915</t>
  </si>
  <si>
    <t>SOX4 effect on LNCaP prostate cancer cells</t>
  </si>
  <si>
    <t>GSM301110,GSM301111,GSM301112,</t>
  </si>
  <si>
    <t>LNCaP SOX4 hybridization 2 Replicate 1,LNCaP SOX4 hybridization 2 Replicate 2,LNCaP SOX4 hybridization 2 Replicate 3,</t>
  </si>
  <si>
    <t>GSM301116,GSM301117,GSM301118,</t>
  </si>
  <si>
    <t>LNCaP GFP hybridization 2 Replicate 1,LNCaP GFP hybridization 2 Replicate 2,LNCaP GFP hybridization 2 Replicate 3,</t>
  </si>
  <si>
    <t>9 : 1,324 : 241 : 23,040</t>
  </si>
  <si>
    <t>0.33_1.27</t>
  </si>
  <si>
    <t>20 : 1,313 : 356 : 22,925</t>
  </si>
  <si>
    <t>0.62_1.54</t>
  </si>
  <si>
    <t>GSE11915-GPL6102_2.xlsx</t>
  </si>
  <si>
    <t>GSM301107,GSM301108,GSM301109,</t>
  </si>
  <si>
    <t>LNCaP SOX4 hybridization 1 Replicate 1,LNCaP SOX4 hybridization 1 Replicate 2,LNCaP SOX4 hybridization 1 Replicate 3,</t>
  </si>
  <si>
    <t>GSM301113,GSM301114,GSM301115,</t>
  </si>
  <si>
    <t>LNCaP GFP hybridization 1 Replicate 1,LNCaP GFP hybridization 1 Replicate 2,LNCaP GFP hybridization 1 Replicate 3,</t>
  </si>
  <si>
    <t>11 : 1,322 : 198 : 23,083</t>
  </si>
  <si>
    <t>0.53_1.78</t>
  </si>
  <si>
    <t>23 : 1,310 : 297 : 22,984</t>
  </si>
  <si>
    <t>0.89_2.08</t>
  </si>
  <si>
    <t>GSE12056.xlsx</t>
  </si>
  <si>
    <t>GSE12056</t>
  </si>
  <si>
    <t>Expression Profile of CREB knockdown in Myeloid Leukemia Cells</t>
  </si>
  <si>
    <t>GSM304487,GSM304488,GSM304489,GSM304490,GSM304491,GSM304492,GSM304493,GSM304494,GSM304495,GSM304496,</t>
  </si>
  <si>
    <t>K562 cells CREB Knock-out replicate 1,K562 cells CREB Knock-out replicate 2,K562 cells CREB Knock-out replicate 3,K562 cells CREB Knock-out replicate 4,K562 cells CREB Knock-out replicate 5,K562 cells CREB Knock-out replicate 6,K562 cells CREB Knock-out replicate 7,K562 cells CREB Knock-out replicate 8,K562 cells CREB Knock-out replicate 9,K562 cells CREB Knock-out replicate 10,</t>
  </si>
  <si>
    <t>GSM304303,GSM304304,GSM304479,GSM304498,GSM304480,GSM304481,GSM304482,GSM304483,GSM304484,GSM304486,</t>
  </si>
  <si>
    <t>K562 cells control replicate 1,K562 cells control replicate 2,K562 cells control replicate 3,K562 cells control replicate 4,K562 cells control replicate 5,K562 cells control replicate 6,K562 cells control replicate 7,K562 cells control replicate 8,K562 cells control replicate 9,K562 cells control replicate 10,</t>
  </si>
  <si>
    <t>92 : 1,248 : 1,341 : 17,693</t>
  </si>
  <si>
    <t>0.78_1.21</t>
  </si>
  <si>
    <t>148 : 1,192 : 1,808 : 17,226</t>
  </si>
  <si>
    <t>0.99_1.41</t>
  </si>
  <si>
    <t>GSE12064.xlsx</t>
  </si>
  <si>
    <t>GSE12064</t>
  </si>
  <si>
    <t>BMI-1 promotes Ewing sarcoma tumorigenicity independent of CDKN2a-repression</t>
  </si>
  <si>
    <t>GSM304650,GSM304651,GSM304652,</t>
  </si>
  <si>
    <t>siBmi-1, biological rep1,siBmi-1, biological rep2,siBmi-1, biological rep3,</t>
  </si>
  <si>
    <t>GSM304647,GSM304648,GSM304649,</t>
  </si>
  <si>
    <t>siControl, biological rep1,siControl, biological rep2,siControl, biological rep3,</t>
  </si>
  <si>
    <t>9 : 1,168 : 120 : 14,889</t>
  </si>
  <si>
    <t>0.48_1.89</t>
  </si>
  <si>
    <t>9 : 1,168 : 247 : 14,762</t>
  </si>
  <si>
    <t>0.24_0.90</t>
  </si>
  <si>
    <t>GSE12242.xlsx</t>
  </si>
  <si>
    <t>GSE12242</t>
  </si>
  <si>
    <t>Gene expression profiling in p53 and p73 double knockdown HCT116-3(6) cells</t>
  </si>
  <si>
    <t>GSM307630,GSM307631,GSM307632,GSM307633,GSM307634,GSM307635,GSM307636,GSM307637,</t>
  </si>
  <si>
    <t>p53 and p73 siRNA transfected HCT116-3(6), replicate 1,p53 and p73 siRNA transfected HCT116-3(6), replicate 2,p53 and p73 siRNA transfected HCT116-3(6), replicate 3,p53 and p73 siRNA transfected HCT116-3(6), replicate 4,p53 and p73 siRNA transfected HCT116-3(6), replicate 5,p53 and p73 siRNA transfected HCT116-3(6), replicate 6,p53 and p73 siRNA transfected HCT116-3(6), replicate 7,p53 and p73 siRNA transfected HCT116-3(6), replicate 8,</t>
  </si>
  <si>
    <t>GSM307286,GSM307287,GSM307591,GSM307600,GSM307626,GSM307627,GSM307628,GSM307629,</t>
  </si>
  <si>
    <t>lacZ siRNA transfected HCT116-3(6), replicate 1,lacZ siRNA transfected HCT116-3(6), replicate 2,lacZ transfected HCT116-3(6), replicate 3,lacZ transfected HCT116-3(6), replicate 4,lacZ transfected HCT116-3(6), replicate 5,lacZ transfected HCT116-3(6), replicate 6,lacZ transfected HCT116-3(6), replicate 7,lacZ transfected HCT116-3(6), replicate 8,</t>
  </si>
  <si>
    <t>1 : 1,246 : 39 : 14,300</t>
  </si>
  <si>
    <t>0.04_2.14</t>
  </si>
  <si>
    <t>7 : 1,240 : 81 : 14,258</t>
  </si>
  <si>
    <t>0.46_2.16</t>
  </si>
  <si>
    <t>GSE12320_1.xlsx</t>
  </si>
  <si>
    <t>GSE12320</t>
  </si>
  <si>
    <t>Differential gene expression in GBS6 cells after EWS-POU5F1 knockdown</t>
  </si>
  <si>
    <t>GSM309616,GSM468450,GSM468451,</t>
  </si>
  <si>
    <t>GBS6 cells transfected with POU5F1 siRNA-1 (1st),GBS6 cells transfected with POU5F1 siRNA-1 (2nd),GBS6 cells transfected with POU5F1 siRNA-1 (3rd),</t>
  </si>
  <si>
    <t>GSM309615,GSM468448,GSM468449,</t>
  </si>
  <si>
    <t>GBS6 cells transfected with negative control siRNA (1st),GBS6 cells transfected with negative control siRNA (2nd),GBS6 cells transfected with negative control siRNA (3rd),</t>
  </si>
  <si>
    <t>27 : 1,313 : 275 : 18,758</t>
  </si>
  <si>
    <t>0.94_2.09</t>
  </si>
  <si>
    <t>16 : 1,324 : 241 : 18,792</t>
  </si>
  <si>
    <t>0.57_1.57</t>
  </si>
  <si>
    <t>GSE12320_2.xlsx</t>
  </si>
  <si>
    <t>GSM309617,GSM468452,GSM468453,</t>
  </si>
  <si>
    <t>GBS6 cells transfected with POU5F1 siRNA-2 (1st),GBS6 cells transfected with POU5F1 siRNA-2 (2nd),GBS6 cells transfected with POU5F1 siRNA-2 (3rd),</t>
  </si>
  <si>
    <t>17 : 1,323 : 304 : 18,729</t>
  </si>
  <si>
    <t>0.48_1.29</t>
  </si>
  <si>
    <t>26 : 1,314 : 277 : 18,756</t>
  </si>
  <si>
    <t>0.89_2.01</t>
  </si>
  <si>
    <t>GSE12444.xlsx</t>
  </si>
  <si>
    <t>GSE12444</t>
  </si>
  <si>
    <t>FOXF2-regulated genes in human primary prostate stromal cells</t>
  </si>
  <si>
    <t>GSM312558,GSM312670,GSM312674,</t>
  </si>
  <si>
    <t>PrSC, FOXF2 siRNA, array A,PrSC, FOXF2 siRNA, array B,PrSC, FOXF2 siRNA, array C,</t>
  </si>
  <si>
    <t>GSM312562,GSM312672,GSM312556,</t>
  </si>
  <si>
    <t>PrSC, control siRNA, array A,PrSC, control siRNA, array B,PrSC, control siRNA, array C,</t>
  </si>
  <si>
    <t>6 : 1,334 : 167 : 18,867</t>
  </si>
  <si>
    <t>0.22_1.15</t>
  </si>
  <si>
    <t>28 : 1,312 : 239 : 18,795</t>
  </si>
  <si>
    <t>1.13_2.49</t>
  </si>
  <si>
    <t>GSE12692.xlsx</t>
  </si>
  <si>
    <t>GSE12692</t>
  </si>
  <si>
    <t>EZH2 is a mediator of EWS-FLI1 driven tumor growth blocking endothelial and neuro-ectodermal differentiation</t>
  </si>
  <si>
    <t>GSM318631,GSM318635,</t>
  </si>
  <si>
    <t>A673 cells treated with ezh2 siRNA no.2, biological rep2,A673 cells treated with ezh2 siRNA no.2, biological rep1,</t>
  </si>
  <si>
    <t>GSM318628,GSM318632,</t>
  </si>
  <si>
    <t>A673 cells treated with control siRNA, biological rep2,A673 cells treated with control siRNA, biological rep1,</t>
  </si>
  <si>
    <t>3 : 916 : 65 : 12,074</t>
  </si>
  <si>
    <t>0.19_1.94</t>
  </si>
  <si>
    <t>13 : 906 : 132 : 12,007</t>
  </si>
  <si>
    <t>0.74_2.32</t>
  </si>
  <si>
    <t>GSE12762_1.xlsx</t>
  </si>
  <si>
    <t>GSE12762</t>
  </si>
  <si>
    <t>Effect of 4-Hydroxynonenal on gene expression. Comparison of HSF1-siRNA silenced vs control cells</t>
  </si>
  <si>
    <t>GSM320168,GSM320169,GSM320170,</t>
  </si>
  <si>
    <t>RKO_HSF1siRNA_6hHNE_REP1,RKO_HSF1siRNA_6hHNE_REP2,RKO_HSF1siRNA_6hHNE_REP3,</t>
  </si>
  <si>
    <t>GSM320086,GSM320087,GSM320144,</t>
  </si>
  <si>
    <t>RKO_NEGsiRNA_6hHNE_REP1,RKO_NEGsiRNA_6hHNE_REP2,RKO_NEGsiRNA_6hHNE_REP3,</t>
  </si>
  <si>
    <t>88 : 1,249 : 771 : 18,348</t>
  </si>
  <si>
    <t>1.34_2.11</t>
  </si>
  <si>
    <t>34 : 1,303 : 518 : 18,601</t>
  </si>
  <si>
    <t>0.66_1.33</t>
  </si>
  <si>
    <t>GSE12762_2.xlsx</t>
  </si>
  <si>
    <t>GSM320165,GSM320166,GSM320167,</t>
  </si>
  <si>
    <t>RKO_HSF1siRNA_6hDMSO_REP1,RKO_HSF1siRNA_6hDMSO_REP2,RKO_HSF1siRNA_6hDMSO_REP3,</t>
  </si>
  <si>
    <t>GSM320083,GSM320084,GSM320085,</t>
  </si>
  <si>
    <t>RKO_NEGsiRNA_6hDMSO_REP1,RKO_NEGsiRNA_6hDMSO_REP2,RKO_NEGsiRNA_6hDMSO_REP3,</t>
  </si>
  <si>
    <t>26 : 1,311 : 291 : 18,828</t>
  </si>
  <si>
    <t>0.86_1.92</t>
  </si>
  <si>
    <t>16 : 1,321 : 329 : 18,790</t>
  </si>
  <si>
    <t>0.42_1.15</t>
  </si>
  <si>
    <t>GSE12886.xlsx</t>
  </si>
  <si>
    <t>GSE12886</t>
  </si>
  <si>
    <t>Effect of the silencing of WT1 expression on HCC transcriptome</t>
  </si>
  <si>
    <t>GSM323069,GSM323070,GSM323071,</t>
  </si>
  <si>
    <t>siWT-1,siWT-2,siWT-3,</t>
  </si>
  <si>
    <t>GSM323066,GSM323067,GSM323068,</t>
  </si>
  <si>
    <t>siGL-1,siGL-2,siGL-3,</t>
  </si>
  <si>
    <t>46 : 1,294 : 792 : 18,242</t>
  </si>
  <si>
    <t>0.61_1.11</t>
  </si>
  <si>
    <t>57 : 1,283 : 908 : 18,126</t>
  </si>
  <si>
    <t>0.67_1.17</t>
  </si>
  <si>
    <t>GSE13284.xlsx</t>
  </si>
  <si>
    <t>GSE13284</t>
  </si>
  <si>
    <t>Human CD34-derived erythroid progenitors treated with BCL11A siRNAs</t>
  </si>
  <si>
    <t>GSM335328,GSM335329,GSM335330,GSM335331,GSM335332,GSM335333,</t>
  </si>
  <si>
    <t>B1,B2,B3,B4,B5,B6,</t>
  </si>
  <si>
    <t>GSM335322,GSM335323,GSM335324,GSM335325,GSM335326,GSM335327,</t>
  </si>
  <si>
    <t>N1,N2,N3,N4,N5,N6,</t>
  </si>
  <si>
    <t>66 : 1,274 : 767 : 18,253</t>
  </si>
  <si>
    <t>0.95_1.60</t>
  </si>
  <si>
    <t>21 : 1,319 : 288 : 18,732</t>
  </si>
  <si>
    <t>0.66_1.62</t>
  </si>
  <si>
    <t>GSE13285-GPL570.xlsx</t>
  </si>
  <si>
    <t>GSE13285</t>
  </si>
  <si>
    <t>Human Fetal Hemoglobin Expression is Regulated by the Developmental Stage-Specific Repressor BCL11A</t>
  </si>
  <si>
    <t>GSE13332.xlsx</t>
  </si>
  <si>
    <t>GSE13332</t>
  </si>
  <si>
    <t>Gene Expression in Castration-Resistant C4-2 Cells after AR Knockdown</t>
  </si>
  <si>
    <t>GSM336349,GSM336361,GSM336378,</t>
  </si>
  <si>
    <t>C4-2 AR knock down using shRNA +DOX, replicate 1,C4-2 AR knock down using shRNA +DOX, replicate 2,C4-2 AR knock down using shRNA +DOX, replicate 3,</t>
  </si>
  <si>
    <t>GSM336383,GSM336384,GSM336387,</t>
  </si>
  <si>
    <t>C4-2 scrambled shRNA control +DOX, replicate 1,C4-2 scrambled shRNA control +DOX, replicate 2,C4-2 scrambled shRNA control +DOX, replicate 3,</t>
  </si>
  <si>
    <t>4 : 805 : 95 : 15,594</t>
  </si>
  <si>
    <t>0.30_2.22</t>
  </si>
  <si>
    <t>6 : 803 : 115 : 15,574</t>
  </si>
  <si>
    <t>0.44_2.31</t>
  </si>
  <si>
    <t>GSE13449.xlsx</t>
  </si>
  <si>
    <t>GSE13449</t>
  </si>
  <si>
    <t>Expression analysis upon NAMPT knockdown in MCF-7 cells</t>
  </si>
  <si>
    <t>GSM339271,GSM339272,GSM339273,</t>
  </si>
  <si>
    <t>MCF-7 cells_NAMPT knockdown_replicate 1,MCF-7 cells_NAMPT knockdown_replicate 2,MCF-7 cells_NAMPT knockdown_replicate 3,</t>
  </si>
  <si>
    <t>GSM339268,GSM339269,GSM339270,</t>
  </si>
  <si>
    <t>MCF-7 cells_luciferase matching NAMPT_replicate 1,MCF-7 cells_luciferase matching NAMPT_replicate 2,MCF-7 cells_luciferase matching NAMPT_replicate 3,</t>
  </si>
  <si>
    <t>14 : 905 : 149 : 11,990</t>
  </si>
  <si>
    <t>0.72_2.16</t>
  </si>
  <si>
    <t>6 : 913 : 113 : 12,026</t>
  </si>
  <si>
    <t>0.31_1.59</t>
  </si>
  <si>
    <t>GSE13458-GPL571_1.xlsx</t>
  </si>
  <si>
    <t>GSE13458</t>
  </si>
  <si>
    <t>Expression analysis upon NMNAT1 knockdown in MCF-7 cells</t>
  </si>
  <si>
    <t>GSM339417,GSM339418,</t>
  </si>
  <si>
    <t>MCF-7 cells_NMNAT1 knockdown_control_replicate 1,MCF-7 cells_NMNAT1 knockdown_control_replicate 3,</t>
  </si>
  <si>
    <t>GSM339381,GSM339382,</t>
  </si>
  <si>
    <t>MCF-7 cells_luciferase knockdown_control_replicate 1,MCF-7 cells_luciferase knockdown_control_replicate 3,</t>
  </si>
  <si>
    <t>10 : 909 : 122 : 12,016</t>
  </si>
  <si>
    <t>0.57_2.07</t>
  </si>
  <si>
    <t>7 : 912 : 97 : 12,041</t>
  </si>
  <si>
    <t>0.44_2.06</t>
  </si>
  <si>
    <t>GSE13458-GPL571_2.xlsx</t>
  </si>
  <si>
    <t>GSM339419,GSM339420,</t>
  </si>
  <si>
    <t>MCF-7 cells_NMNAT1 knockdown_E2_replicate 1,MCF-7 cells_NMNAT1 knockdown_E2_replicate 3,</t>
  </si>
  <si>
    <t>GSM339383,GSM339411,</t>
  </si>
  <si>
    <t>MCF-7 cells_luciferase knockdown_E2_replicate 1,MCF-7 cells_luciferase knockdown_E2_replicate 3,</t>
  </si>
  <si>
    <t>13 : 906 : 78 : 12,061</t>
  </si>
  <si>
    <t>1.23_4.01</t>
  </si>
  <si>
    <t>9 : 910 : 108 : 12,031</t>
  </si>
  <si>
    <t>0.56_2.18</t>
  </si>
  <si>
    <t>GSE13459.xlsx</t>
  </si>
  <si>
    <t>GSE13459</t>
  </si>
  <si>
    <t>Expression analysis upon SIRT1 knockdown in MCF-7 cells</t>
  </si>
  <si>
    <t>GSM324900,GSM324901,GSM324902,</t>
  </si>
  <si>
    <t>MCF-7 SIRT1 Replicate 1,MCF-7 SIRT1 Replicate 2,MCF-7 SIRT1 Replicate 3,</t>
  </si>
  <si>
    <t>GSM324888,GSM324889,GSM324890,</t>
  </si>
  <si>
    <t>MCF-7 Luciferase Replicate 1,MCF-7 Luciferase Replicate 2,MCF-7 Luciferase Replicate 3,</t>
  </si>
  <si>
    <t>5 : 914 : 97 : 12,042</t>
  </si>
  <si>
    <t>0.28_1.67</t>
  </si>
  <si>
    <t>12 : 907 : 105 : 12,034</t>
  </si>
  <si>
    <t>0.83_2.77</t>
  </si>
  <si>
    <t>GSE13638_1.xlsx</t>
  </si>
  <si>
    <t>GSE13638</t>
  </si>
  <si>
    <t>Ago2 or Dicer knockdown effects on mRNA levels in HeLa</t>
  </si>
  <si>
    <t>GSM343390,GSM343391,</t>
  </si>
  <si>
    <t>HeLa_siAgo2_24_rep1,HeLa_siAgo2_24_rep2,</t>
  </si>
  <si>
    <t>GSM343388,GSM343389,</t>
  </si>
  <si>
    <t>HeLa_siGFP_24_rep1,HeLa_siGFP_24_rep2,</t>
  </si>
  <si>
    <t>6 : 1,331 : 100 : 19,019</t>
  </si>
  <si>
    <t>0.38_1.96</t>
  </si>
  <si>
    <t>3 : 1,334 : 139 : 18,980</t>
  </si>
  <si>
    <t>0.10_0.97</t>
  </si>
  <si>
    <t>GSE13638_2.xlsx</t>
  </si>
  <si>
    <t>GSM343392,GSM343393,</t>
  </si>
  <si>
    <t>HeLa_siDicer_24_rep1,HeLa_siDicer_24_rep2,</t>
  </si>
  <si>
    <t>8 : 1,329 : 117 : 19,002</t>
  </si>
  <si>
    <t>0.48_2.01</t>
  </si>
  <si>
    <t>14 : 1,323 : 131 : 18,988</t>
  </si>
  <si>
    <t>0.88_2.67</t>
  </si>
  <si>
    <t>GSE13638_3.xlsx</t>
  </si>
  <si>
    <t>GSM343396,GSM343397,</t>
  </si>
  <si>
    <t>HeLa_siAgo2_48_rep1,HeLa_siAgo2_48_rep2,</t>
  </si>
  <si>
    <t>GSM343394,GSM343395,</t>
  </si>
  <si>
    <t>HeLa_siGFP_48_rep1,HeLa_siGFP_48_rep2,</t>
  </si>
  <si>
    <t>5 : 1,332 : 88 : 19,031</t>
  </si>
  <si>
    <t>0.33_2.00</t>
  </si>
  <si>
    <t>6 : 1,331 : 104 : 19,015</t>
  </si>
  <si>
    <t>0.36_1.88</t>
  </si>
  <si>
    <t>GSE13638_4.xlsx</t>
  </si>
  <si>
    <t>GSM343398,GSM343399,</t>
  </si>
  <si>
    <t>HeLa_siDicer_48_rep1,HeLa_siDicer_48_rep2,</t>
  </si>
  <si>
    <t>2 : 1,335 : 145 : 18,974</t>
  </si>
  <si>
    <t>0.05_0.79</t>
  </si>
  <si>
    <t>6 : 1,331 : 132 : 18,987</t>
  </si>
  <si>
    <t>0.29_1.47</t>
  </si>
  <si>
    <t>GSE13639_1.xlsx</t>
  </si>
  <si>
    <t>GSE13639</t>
  </si>
  <si>
    <t>Drosha or DGCR8 knockdown effects on mRNA levels in HeLa</t>
  </si>
  <si>
    <t>GSM343407,GSM343408,</t>
  </si>
  <si>
    <t>HeLa_siDGCR8_24_rep1,HeLa_siDGCR8_24_rep2,</t>
  </si>
  <si>
    <t>GSM343401,GSM343405,</t>
  </si>
  <si>
    <t>HeLa_siGFP_24_rep1,HeLa_siGFP_24,</t>
  </si>
  <si>
    <t>19 : 1,319 : 158 : 18,871</t>
  </si>
  <si>
    <t>1.07_2.78</t>
  </si>
  <si>
    <t>9 : 1,329 : 129 : 18,900</t>
  </si>
  <si>
    <t>0.50_1.95</t>
  </si>
  <si>
    <t>GSE13639_2.xlsx</t>
  </si>
  <si>
    <t>GSM343412,GSM343411,</t>
  </si>
  <si>
    <t>HeLa_siDGCR8_48_rep2,HeLa_siDGCR8_48_rep1,</t>
  </si>
  <si>
    <t>GSM343409,GSM343403,</t>
  </si>
  <si>
    <t>HeLa_siGFP_48,HeLa_siGFP_48_rep1,</t>
  </si>
  <si>
    <t>13 : 1,327 : 175 : 18,851</t>
  </si>
  <si>
    <t>0.60_1.86</t>
  </si>
  <si>
    <t>14 : 1,326 : 181 : 18,845</t>
  </si>
  <si>
    <t>0.64_1.90</t>
  </si>
  <si>
    <t>GSE13639_3.xlsx</t>
  </si>
  <si>
    <t>GSM343402,GSM343406,</t>
  </si>
  <si>
    <t>HeLa_siDrosha_24_rep1,HeLa_siDrosha_24_rep2,</t>
  </si>
  <si>
    <t>14 : 1,326 : 208 : 18,816</t>
  </si>
  <si>
    <t>0.55_1.65</t>
  </si>
  <si>
    <t>9 : 1,331 : 153 : 18,871</t>
  </si>
  <si>
    <t>0.42_1.64</t>
  </si>
  <si>
    <t>GSE13639_4.xlsx</t>
  </si>
  <si>
    <t>GSM343410,GSM343404,</t>
  </si>
  <si>
    <t>HeLa_siDrosha_48_rep2,HeLa_siDrosha_48_rep1,</t>
  </si>
  <si>
    <t>15 : 1,324 : 204 : 18,819</t>
  </si>
  <si>
    <t>0.62_1.77</t>
  </si>
  <si>
    <t>14 : 1,325 : 167 : 18,856</t>
  </si>
  <si>
    <t>0.69_2.06</t>
  </si>
  <si>
    <t>GSE13640-GPL570_1.xlsx</t>
  </si>
  <si>
    <t>GSE13640</t>
  </si>
  <si>
    <t>Effect of miRNA biogenesis factors on mRNA levels</t>
  </si>
  <si>
    <t>GSE13640-GPL570_2.xlsx</t>
  </si>
  <si>
    <t>GSE13640-GPL570_3.xlsx</t>
  </si>
  <si>
    <t>GSM343404,GSM343410,</t>
  </si>
  <si>
    <t>HeLa_siDrosha_48_rep1,HeLa_siDrosha_48_rep2,</t>
  </si>
  <si>
    <t>GSM343403,GSM343409,</t>
  </si>
  <si>
    <t>HeLa_siGFP_48_rep1,HeLa_siGFP_48,</t>
  </si>
  <si>
    <t>GSE13640-GPL570_4.xlsx</t>
  </si>
  <si>
    <t>GSM343411,GSM343412,</t>
  </si>
  <si>
    <t>HeLa_siDGCR8_48_rep1,HeLa_siDGCR8_48_rep2,</t>
  </si>
  <si>
    <t>GSE13640-GPL6244_1.xlsx</t>
  </si>
  <si>
    <t>GSE13640-GPL6244_2.xlsx</t>
  </si>
  <si>
    <t>GSE13640-GPL6244_3.xlsx</t>
  </si>
  <si>
    <t>GSE13640-GPL6244_4.xlsx</t>
  </si>
  <si>
    <t>GSE13674_1.xlsx</t>
  </si>
  <si>
    <t>GSE13674</t>
  </si>
  <si>
    <t>microRNA-101 represses EZH2 in cancer</t>
  </si>
  <si>
    <t>GSM343878,GSM343879,GSM343880,</t>
  </si>
  <si>
    <t>miR-101 1 with UMUC3,miR-101 2 with UMUC3,miR-101 3 with UMUC3,</t>
  </si>
  <si>
    <t>GSM343848,GSM343876,GSM343877,</t>
  </si>
  <si>
    <t>Control miRNA 1 with UMUC3,Control miRNA 2 with UMUC3,Control miRNA 3 with UMUC3,</t>
  </si>
  <si>
    <t>34 : 1,213 : 1,005 : 22,949</t>
  </si>
  <si>
    <t>0.45_0.91</t>
  </si>
  <si>
    <t>92 : 1,155 : 944 : 23,010</t>
  </si>
  <si>
    <t>1.55_2.42</t>
  </si>
  <si>
    <t>&lt; 0.00001</t>
  </si>
  <si>
    <t>GSE13674_2.xlsx</t>
  </si>
  <si>
    <t>GSM343884,GSM343885,GSM343886,</t>
  </si>
  <si>
    <t>EZH2 siRNA 1 with UMUC3,EZH2 siRNA 2 with UMUC3,EZH2 siRNA 3 with UMUC3,</t>
  </si>
  <si>
    <t>GSM343881,GSM343882,GSM343883,</t>
  </si>
  <si>
    <t>control siRNA 1 with UMUC3,control siRNA 2 with UMUC3,control siRNA 3 with UMUC3,</t>
  </si>
  <si>
    <t>16 : 1,231 : 379 : 23,575</t>
  </si>
  <si>
    <t>0.49_1.34</t>
  </si>
  <si>
    <t>18 : 1,229 : 402 : 23,552</t>
  </si>
  <si>
    <t>0.53_1.38</t>
  </si>
  <si>
    <t>GSE13714_1.xlsx</t>
  </si>
  <si>
    <t>GSE13714</t>
  </si>
  <si>
    <t>HOXA9 is required for survival in human MLL rearranged acute leukemias</t>
  </si>
  <si>
    <t>GSM344801,GSM344802,GSM344803,</t>
  </si>
  <si>
    <t>MOLM14_1F3HOXA9sh_suppression_rep1,MOLM14_1F3HOXA9sh_suppression_rep2,MOLM14_1F3HOXA9sh_suppression_rep3,</t>
  </si>
  <si>
    <t>GSM344807,GSM344808,GSM344809,GSM344810,GSM344811,GSM344812,</t>
  </si>
  <si>
    <t>MOLM14_GFPcontrolsh_control_rep1,MOLM14_GFPcontrolsh_control_rep2,MOLM14_GFPcontrolsh_control_rep3,MOLM14_GFPcontrolsh_control_rep4,MOLM14_GFPcontrolsh_control_rep5,MOLM14_GFPcontrolsh_control_rep6,</t>
  </si>
  <si>
    <t>164 : 755 : 2,560 : 9,579</t>
  </si>
  <si>
    <t>0.68_0.97</t>
  </si>
  <si>
    <t>300 : 619 : 3,823 : 8,316</t>
  </si>
  <si>
    <t>0.91_1.22</t>
  </si>
  <si>
    <t>GSE13714_2.xlsx</t>
  </si>
  <si>
    <t>GSM344804,GSM344805,GSM344806,</t>
  </si>
  <si>
    <t>MOLM14_2A5HOXA9sh_suppression_rep1,MOLM14_2A5HOXA9sh_suppression_rep2,MOLM14_2A5HOXA9sh_suppression_rep3,</t>
  </si>
  <si>
    <t>184 : 735 : 2,537 : 9,602</t>
  </si>
  <si>
    <t>0.80_1.12</t>
  </si>
  <si>
    <t>297 : 622 : 3,886 : 8,253</t>
  </si>
  <si>
    <t>0.88_1.17</t>
  </si>
  <si>
    <t>GSE13763_1.xlsx</t>
  </si>
  <si>
    <t>GSE13763</t>
  </si>
  <si>
    <t>Gene expression profiling after RNA interference of CXCR4 in human ovarian cancer cell line IGROV-1.</t>
  </si>
  <si>
    <t>GSM346594,GSM346595,GSM346596,</t>
  </si>
  <si>
    <t>shCXCR4 (I) -1,shCXCR4 (I) -2,shCXCR4 (I) -3,</t>
  </si>
  <si>
    <t>GSM346603,GSM346604,GSM346605,</t>
  </si>
  <si>
    <t>IGROV - Mock -1,IGROV - Mock -2,IGROV - Mock -3,</t>
  </si>
  <si>
    <t>93 : 1,247 : 1,180 : 17,854</t>
  </si>
  <si>
    <t>0.91_1.40</t>
  </si>
  <si>
    <t>87 : 1,253 : 935 : 18,099</t>
  </si>
  <si>
    <t>1.07_1.69</t>
  </si>
  <si>
    <t>GSE13763_2.xlsx</t>
  </si>
  <si>
    <t>GSM346597,GSM346598,GSM346599,</t>
  </si>
  <si>
    <t>shCXCR4 (II) -1,shCXCR4 (II) -2,shCXCR4 (II) -3,</t>
  </si>
  <si>
    <t>97 : 1,243 : 1,005 : 18,029</t>
  </si>
  <si>
    <t>1.13_1.74</t>
  </si>
  <si>
    <t>45 : 1,295 : 535 : 18,499</t>
  </si>
  <si>
    <t>0.88_1.64</t>
  </si>
  <si>
    <t>GSE13857.xlsx</t>
  </si>
  <si>
    <t>GSE13857</t>
  </si>
  <si>
    <t>PSF regulates specific subsets of human mRNAs</t>
  </si>
  <si>
    <t>GSM348301,GSM348302,</t>
  </si>
  <si>
    <t>knockdown_1_1,knockdown_3_1,</t>
  </si>
  <si>
    <t>GSM348298,GSM348300,</t>
  </si>
  <si>
    <t>control_6_2,control_6_4,</t>
  </si>
  <si>
    <t>3 : 1,221 : 43 : 17,037</t>
  </si>
  <si>
    <t>0.30_3.14</t>
  </si>
  <si>
    <t>7 : 1,217 : 42 : 17,038</t>
  </si>
  <si>
    <t>1.05_5.20</t>
  </si>
  <si>
    <t>GSE14043_1.xlsx</t>
  </si>
  <si>
    <t>GSE14043</t>
  </si>
  <si>
    <t>Genome-wide impact of ART-27 loss on androgen-regulated transcription in prostate cancer cells</t>
  </si>
  <si>
    <t>GSM352571,GSM352572,</t>
  </si>
  <si>
    <t>LNCaP siART-27 plus R1881, rep1,LNCaP siART-27 plus R1881, rep2,</t>
  </si>
  <si>
    <t>GSM352567,GSM352568,</t>
  </si>
  <si>
    <t>LNCaP control plus R1881, rep1,LNCaP control plus R1881, rep2,</t>
  </si>
  <si>
    <t>11 : 908 : 211 : 11,903</t>
  </si>
  <si>
    <t>0.37_1.26</t>
  </si>
  <si>
    <t>11 : 908 : 129 : 11,985</t>
  </si>
  <si>
    <t>0.61_2.09</t>
  </si>
  <si>
    <t>GSE14043_2.xlsx</t>
  </si>
  <si>
    <t>GSM352569,GSM352570,</t>
  </si>
  <si>
    <t>LNCaP siART-27 plus ethanol, rep1,LNCaP siART-27 plus ethanol, rep2,</t>
  </si>
  <si>
    <t>GSM352565,GSM352566,</t>
  </si>
  <si>
    <t>LNCaP control plus ethanol, rep1,LNCaP control plus ethanol, rep2,</t>
  </si>
  <si>
    <t>15 : 904 : 216 : 11,904</t>
  </si>
  <si>
    <t>0.54_1.55</t>
  </si>
  <si>
    <t>21 : 898 : 191 : 11,929</t>
  </si>
  <si>
    <t>0.93_2.30</t>
  </si>
  <si>
    <t>GSE14428_1.xlsx</t>
  </si>
  <si>
    <t>GSE14428</t>
  </si>
  <si>
    <t>Physiological defects associated with short hairpin RNA-mediated silencing of PGC-1-related coactivator (PRC)</t>
  </si>
  <si>
    <t>GSM347895,GSM347896,GSM347897,</t>
  </si>
  <si>
    <t>U2OS_PRC_shRNA4_pLenti_1,U2OS_PRC_shRNA4_pLenti_2,U2OS_PRC_shRNA4_pLenti_3,</t>
  </si>
  <si>
    <t>GSM347892,GSM347893,GSM347894,</t>
  </si>
  <si>
    <t>U2OS_control_shRNA_pLenti_1,U2OS_control_shRNA_pLenti_2,U2OS_control_shRNA_pLenti_3,</t>
  </si>
  <si>
    <t>24 : 1,293 : 341 : 22,653</t>
  </si>
  <si>
    <t>0.81_1.87</t>
  </si>
  <si>
    <t>26 : 1,291 : 344 : 22,650</t>
  </si>
  <si>
    <t>0.89_1.98</t>
  </si>
  <si>
    <t>GSE14428_2.xlsx</t>
  </si>
  <si>
    <t>GSM347907,GSM347908,GSM347909,</t>
  </si>
  <si>
    <t>U2OS_PRC_shRNA1_pLenti_1_2007,U2OS_PRC_shRNA1_pLenti_2_2007,U2OS_PRC_shRNA1_pLenti_3_2007,</t>
  </si>
  <si>
    <t>GSM347904,GSM347905,GSM347906,</t>
  </si>
  <si>
    <t>U2OS_control_shRNA_pLenti_1_2007,U2OS_control_shRNA_pLenti_2_2007,U2OS_control_shRNA_pLenti_3_2007,</t>
  </si>
  <si>
    <t>72 : 1,261 : 991 : 22,289</t>
  </si>
  <si>
    <t>1.00_1.64</t>
  </si>
  <si>
    <t>74 : 1,259 : 916 : 22,364</t>
  </si>
  <si>
    <t>1.12_1.83</t>
  </si>
  <si>
    <t>GSE14680.xlsx</t>
  </si>
  <si>
    <t>GSE14680</t>
  </si>
  <si>
    <t>Expression data from multiple myeloma cells overexpressing CS1 versus CS1 knockdown</t>
  </si>
  <si>
    <t>GSM366607,GSM366608,GSM366609,GSM366610,</t>
  </si>
  <si>
    <t>OPM2 transfected with lentiviral CS1 shRNA, rep1,OPM2 transfected with lentiviral CS1 shRNA, rep2,OPM2 transfected with lentiviral CS1 shRNA, rep3,OPM2 transfected with lentiviral CS1 shRNA, rep4,</t>
  </si>
  <si>
    <t>GSM366605,GSM366606,</t>
  </si>
  <si>
    <t>OPM2 transfected with control vector, rep1,OPM2 transfected with control vector, rep2,</t>
  </si>
  <si>
    <t>98 : 1,242 : 1,478 : 17,556</t>
  </si>
  <si>
    <t>0.76_1.16</t>
  </si>
  <si>
    <t>97 : 1,243 : 1,909 : 17,125</t>
  </si>
  <si>
    <t>0.57_0.87</t>
  </si>
  <si>
    <t>GSE14801.xlsx</t>
  </si>
  <si>
    <t>GSE14801</t>
  </si>
  <si>
    <t>Expression data from ERG Si treated and Control HUVEC cells</t>
  </si>
  <si>
    <t>GSM370399,GSM370400,</t>
  </si>
  <si>
    <t>HUVEC treated with ERG SiRNA , biological rep1,HUVEC treated with ERG SiRNA , biological rep2,</t>
  </si>
  <si>
    <t>GSM370403,GSM370404,</t>
  </si>
  <si>
    <t>HUVEC infected with Control Vector , biological rep1,HUVEC infected with Control Vector,  biological rep2,</t>
  </si>
  <si>
    <t>29 : 1,305 : 293 : 18,719</t>
  </si>
  <si>
    <t>0.97_2.09</t>
  </si>
  <si>
    <t>28 : 1,306 : 267 : 18,745</t>
  </si>
  <si>
    <t>1.02_2.23</t>
  </si>
  <si>
    <t>GSE14847_1.xlsx</t>
  </si>
  <si>
    <t>GSE14847</t>
  </si>
  <si>
    <t>The effect of miRNA overexpression on gene expression profile of MCF-7 cells</t>
  </si>
  <si>
    <t>GSM371428,GSM371429,</t>
  </si>
  <si>
    <t>MCF7_18a24h_array1,MCF7_18a24h_array2,</t>
  </si>
  <si>
    <t>GSM371435,GSM371436,</t>
  </si>
  <si>
    <t>MCF7_scramble24h_array1,MCF7_scramble24h_array2,</t>
  </si>
  <si>
    <t>8 : 1,325 : 180 : 23,101</t>
  </si>
  <si>
    <t>0.38_1.58</t>
  </si>
  <si>
    <t>14 : 1,319 : 229 : 23,052</t>
  </si>
  <si>
    <t>0.62_1.84</t>
  </si>
  <si>
    <t>GSE14847_2.xlsx</t>
  </si>
  <si>
    <t>GSM371430,GSM371431,</t>
  </si>
  <si>
    <t>MCF7_193b24h_array1,MCF7_193b24h_array2,</t>
  </si>
  <si>
    <t>13 : 1,320 : 212 : 23,069</t>
  </si>
  <si>
    <t>0.61_1.88</t>
  </si>
  <si>
    <t>13 : 1,320 : 199 : 23,082</t>
  </si>
  <si>
    <t>0.65_2.01</t>
  </si>
  <si>
    <t>GSE14847_3.xlsx</t>
  </si>
  <si>
    <t>GSM371432,GSM371433,</t>
  </si>
  <si>
    <t>MCF7_302c24h_array1,MCF7_302c24h_array2,</t>
  </si>
  <si>
    <t>20 : 1,313 : 195 : 23,086</t>
  </si>
  <si>
    <t>1.13_2.87</t>
  </si>
  <si>
    <t>11 : 1,322 : 189 : 23,092</t>
  </si>
  <si>
    <t>0.55_1.87</t>
  </si>
  <si>
    <t>GSE14847_4.xlsx</t>
  </si>
  <si>
    <t>GSM371437,GSM371438,</t>
  </si>
  <si>
    <t>MCF7_siER24h_array1,MCF7_siER24h_array2,</t>
  </si>
  <si>
    <t>16 : 1,317 : 169 : 23,111</t>
  </si>
  <si>
    <t>0.99_2.78</t>
  </si>
  <si>
    <t>10 : 1,323 : 174 : 23,106</t>
  </si>
  <si>
    <t>0.53_1.90</t>
  </si>
  <si>
    <t>GSE14943_1.xlsx</t>
  </si>
  <si>
    <t>GSE14943</t>
  </si>
  <si>
    <t>Cadherin-11 depletion in aggressive MDA-MB-231 breast cancer cells.</t>
  </si>
  <si>
    <t>GSM373305,GSM373308,</t>
  </si>
  <si>
    <t>Cadherin-11 siRNA (RNAi 6A)_1of2,Cadherin-11 siRNA (RNAi 6A)_2of2,</t>
  </si>
  <si>
    <t>GSM373301,GSM373302,GSM373306,</t>
  </si>
  <si>
    <t>Empty vector control (RNAi 1B)_1of3,Empty vector control (RNAi 1B)_2of3,Empty vector control (RNAi 1B)_3of3,</t>
  </si>
  <si>
    <t>2 : 917 : 39 : 12,098</t>
  </si>
  <si>
    <t>0.16_2.81</t>
  </si>
  <si>
    <t>1 : 918 : 21 : 12,116</t>
  </si>
  <si>
    <t>0.08_4.68</t>
  </si>
  <si>
    <t>GSE14943_2.xlsx</t>
  </si>
  <si>
    <t>GSM373300,GSM373303,</t>
  </si>
  <si>
    <t>Cadherin-11 siRNA (RNAi 4A)_1of2,Cadherin-11 siRNA (RNAi 4A)_2of2,</t>
  </si>
  <si>
    <t>1 : 918 : 42 : 12,097</t>
  </si>
  <si>
    <t>0.04_2.28</t>
  </si>
  <si>
    <t>2 : 917 : 25 : 12,114</t>
  </si>
  <si>
    <t>0.25_4.47</t>
  </si>
  <si>
    <t>GSE14964_1.xlsx</t>
  </si>
  <si>
    <t>GSE14964</t>
  </si>
  <si>
    <t>Genome-wide analysis of YY2 versus YY1 target genes</t>
  </si>
  <si>
    <t>GSM373617,GSM373618,GSM373619,</t>
  </si>
  <si>
    <t>First shYY1,Second shYY1,Third shYY1,</t>
  </si>
  <si>
    <t>GSM373614,GSM373615,GSM373616,</t>
  </si>
  <si>
    <t>Vector control 1,Vector control 2,Vector control 3,</t>
  </si>
  <si>
    <t>15 : 1,325 : 273 : 18,761</t>
  </si>
  <si>
    <t>0.46_1.31</t>
  </si>
  <si>
    <t>39 : 1,301 : 383 : 18,651</t>
  </si>
  <si>
    <t>1.05_2.04</t>
  </si>
  <si>
    <t>GSE14964_2.xlsx</t>
  </si>
  <si>
    <t>GSM373620,GSM373621,GSM373622,GSM373623,</t>
  </si>
  <si>
    <t>First shYY2,Second shYY2,Third shYY2,Fourth shYY2,</t>
  </si>
  <si>
    <t>18 : 1,322 : 167 : 18,867</t>
  </si>
  <si>
    <t>0.94_2.51</t>
  </si>
  <si>
    <t>18 : 1,322 : 207 : 18,827</t>
  </si>
  <si>
    <t>0.76_2.01</t>
  </si>
  <si>
    <t>GSE14964_3.xlsx</t>
  </si>
  <si>
    <t>GSM373624,GSM373625,GSM373626,</t>
  </si>
  <si>
    <t>First shYY1 and shYY2,Second shYY1 and shYY2,Third shYY1 and shYY2,</t>
  </si>
  <si>
    <t>12 : 1,328 : 194 : 18,840</t>
  </si>
  <si>
    <t>0.49_1.58</t>
  </si>
  <si>
    <t>41 : 1,299 : 383 : 18,651</t>
  </si>
  <si>
    <t>1.11_2.13</t>
  </si>
  <si>
    <t>GSE15151_1.xlsx</t>
  </si>
  <si>
    <t>GSE15151</t>
  </si>
  <si>
    <t>Synthetic Lethal Interaction Between Oncogenic KRAS Dependency and Suppression of STK33 in Human Cancer Cells</t>
  </si>
  <si>
    <t>GSM378545,GSM378546,</t>
  </si>
  <si>
    <t>NOMO-1 STK33-2077,NOMO-1 STK33-2081,</t>
  </si>
  <si>
    <t>GSM378547,GSM378548,</t>
  </si>
  <si>
    <t>NOMO-1 control 1,NOMO-1 control 2,</t>
  </si>
  <si>
    <t>15 : 1,325 : 205 : 18,829</t>
  </si>
  <si>
    <t>0.61_1.76</t>
  </si>
  <si>
    <t>8 : 1,332 : 181 : 18,853</t>
  </si>
  <si>
    <t>0.31_1.27</t>
  </si>
  <si>
    <t>GSE15151_2.xlsx</t>
  </si>
  <si>
    <t>GSM378549,GSM378550,</t>
  </si>
  <si>
    <t>SKM-1 STK33-2077,SKM-1 STK33-2081,</t>
  </si>
  <si>
    <t>GSM378551,GSM378552,</t>
  </si>
  <si>
    <t>SKM-1 control 1,SKM-1 control 2,</t>
  </si>
  <si>
    <t>23 : 1,317 : 209 : 18,825</t>
  </si>
  <si>
    <t>1.02_2.43</t>
  </si>
  <si>
    <t>12 : 1,328 : 149 : 18,885</t>
  </si>
  <si>
    <t>0.63_2.07</t>
  </si>
  <si>
    <t>GSE15417_1.xlsx</t>
  </si>
  <si>
    <t>GSE15417</t>
  </si>
  <si>
    <t>Depletion of Erk1 and Erk2 MAP kinases in primary human keratinocytes</t>
  </si>
  <si>
    <t>GSM386971,GSM386972,GSM386973,</t>
  </si>
  <si>
    <t>Keratinocytes_Erk1andErk2siRNA-A_rep1,Keratinocytes_Erk1andErk2siRNA-A_rep2,Keratinocytes_Erk1andErk2siRNA-A_rep3,</t>
  </si>
  <si>
    <t>GSM386967,GSM386969,GSM386970,</t>
  </si>
  <si>
    <t>Keratinocytes_scrambledsiRNA_rep1,Keratinocytes_scrambledsiRNA_rep2,Keratinocytes_scrambledsiRNA_rep3,</t>
  </si>
  <si>
    <t>30 : 889 : 655 : 11,484</t>
  </si>
  <si>
    <t>0.41_0.86</t>
  </si>
  <si>
    <t>38 : 881 : 866 : 11,273</t>
  </si>
  <si>
    <t>0.40_0.78</t>
  </si>
  <si>
    <t>GSE15417_2.xlsx</t>
  </si>
  <si>
    <t>GSM386975,GSM386976,GSM386977,</t>
  </si>
  <si>
    <t>Keratinocytes_Erk1andErk2siRNA-B_rep1,Keratinocytes_Erk1andErk2siRNA-B_rep2,Keratinocytes_Erk1andErk2siRNA-B_rep3,</t>
  </si>
  <si>
    <t>50 : 869 : 1,060 : 11,079</t>
  </si>
  <si>
    <t>0.45_0.81</t>
  </si>
  <si>
    <t>79 : 840 : 1,023 : 11,116</t>
  </si>
  <si>
    <t>0.80_1.30</t>
  </si>
  <si>
    <t>GSE15481_1.xlsx</t>
  </si>
  <si>
    <t>GSE15481</t>
  </si>
  <si>
    <t>Gene expression data from AP-2?? silenced MCF-7 cells</t>
  </si>
  <si>
    <t>GSM388424,GSM388425,GSM388426,</t>
  </si>
  <si>
    <t>AP-2 gamma targetting siRNA 1: AAUGAGAUGGCAGCUAGGAAG Technical Replicate 1,AP-2 gamma targetting siRNA 1: AAUGAGAUGGCAGCUAGGAAG Technical Replicate 2,AP-2 gamma targetting siRNA 1: AAUGAGAUGGCAGCUAGGAAG Technical Replicate 3,</t>
  </si>
  <si>
    <t>GSM388433,GSM388434,GSM388435,</t>
  </si>
  <si>
    <t>Non-silencing control siRNA: AAUUCUCCGAACGUGUCACGU Technical Replicate 1,Non-silencing control siRNA: AAUUCUCCGAACGUGUCACGU Technical Replicate 2,Non-silencing control siRNA: AAUUCUCCGAACGUGUCACGU Technical Replicate 3,</t>
  </si>
  <si>
    <t>30 : 1,310 : 638 : 18,396</t>
  </si>
  <si>
    <t>0.46_0.96</t>
  </si>
  <si>
    <t>26 : 1,314 : 222 : 18,812</t>
  </si>
  <si>
    <t>1.11_2.53</t>
  </si>
  <si>
    <t>GSE15481_2.xlsx</t>
  </si>
  <si>
    <t>GSM388427,GSM388428,GSM388429,</t>
  </si>
  <si>
    <t>AP-2 gamma targetting siRNA 2: GCGGCCCAGCAACUGUGUAAA Technical Replicate 1,AP-2 gamma targetting siRNA 2: GCGGCCCAGCAACUGUGUAAA Technical Replicate 2,AP-2 gamma targetting siRNA 2: GCGGCCCAGCAACUGUGUAAA Technical Replicate 3,</t>
  </si>
  <si>
    <t>52 : 1,288 : 603 : 18,431</t>
  </si>
  <si>
    <t>0.92_1.65</t>
  </si>
  <si>
    <t>27 : 1,313 : 426 : 18,608</t>
  </si>
  <si>
    <t>0.61_1.33</t>
  </si>
  <si>
    <t>GSE15481_3.xlsx</t>
  </si>
  <si>
    <t>GSM388430,GSM388431,GSM388432,</t>
  </si>
  <si>
    <t>AP-2 gamma targetting siRNA 3: CCACACUGGAGUCGCCGAAUA Technical Replicate 1,AP-2 gamma targetting siRNA 3: CCACACUGGAGUCGCCGAAUA Technical Replicate 2,AP-2 gamma targetting siRNA 3: CCACACUGGAGUCGCCGAAUA Technical Replicate 3,</t>
  </si>
  <si>
    <t>33 : 1,307 : 451 : 18,583</t>
  </si>
  <si>
    <t>0.73_1.49</t>
  </si>
  <si>
    <t>33 : 1,307 : 443 : 18,591</t>
  </si>
  <si>
    <t>0.74_1.52</t>
  </si>
  <si>
    <t>GSE15483_1.xlsx</t>
  </si>
  <si>
    <t>GSE15483</t>
  </si>
  <si>
    <t>The effect of fenofibrate on endothelial cells</t>
  </si>
  <si>
    <t>GSM388452,GSM388453,GSM388454,</t>
  </si>
  <si>
    <t>fenofibrate_treated_HUVEC_2hr-1,fenofibrate_treated_HUVEC_2hr-2,fenofibrate_treated_HUVEC_2hr-3,</t>
  </si>
  <si>
    <t>GSM388448,GSM388449,GSM388450,GSM388451,</t>
  </si>
  <si>
    <t>fenofibrate_untreated_HUVEC_1,fenofibrate_untreated_HUVEC_2,fenofibrate_untreated_HUVEC_3,fenofibrate_untreated_HUVEC_4,</t>
  </si>
  <si>
    <t>1 : 1,016 : 91 : 12,996</t>
  </si>
  <si>
    <t>0.02_1.01</t>
  </si>
  <si>
    <t>9 : 1,008 : 131 : 12,956</t>
  </si>
  <si>
    <t>0.45_1.74</t>
  </si>
  <si>
    <t>GSE15483_2.xlsx</t>
  </si>
  <si>
    <t>GSM388455,GSM388456,GSM388457,</t>
  </si>
  <si>
    <t>fenofibrate_treated_HUVEC_4hr-1,fenofibrate_treated_HUVEC_4hr-2,fenofibrate_treated_HUVEC_4hr-3,</t>
  </si>
  <si>
    <t>4 : 1,013 : 65 : 13,022</t>
  </si>
  <si>
    <t>0.29_2.18</t>
  </si>
  <si>
    <t>0 : 1,017 : 35 : 13,052</t>
  </si>
  <si>
    <t>#NUM!_#NUM!</t>
  </si>
  <si>
    <t>GSE15483_3.xlsx</t>
  </si>
  <si>
    <t>GSM388458,GSM388459,GSM388460,</t>
  </si>
  <si>
    <t>fenofibrate_treated_HUVEC_6hr-1,fenofibrate_treated_HUVEC_6hr-2,fenofibrate_treated_HUVEC_6hr-3,</t>
  </si>
  <si>
    <t>10 : 1,007 : 238 : 12,849</t>
  </si>
  <si>
    <t>0.28_1.01</t>
  </si>
  <si>
    <t>10 : 1,007 : 183 : 12,904</t>
  </si>
  <si>
    <t>0.37_1.33</t>
  </si>
  <si>
    <t>GSE15483_4.xlsx</t>
  </si>
  <si>
    <t>GSM388461,GSM388462,GSM388463,</t>
  </si>
  <si>
    <t>fenofibrate_treated_HUVEC_8hr-1,fenofibrate_treated_HUVEC_8hr-2,fenofibrate_treated_HUVEC_8hr-3,</t>
  </si>
  <si>
    <t>14 : 1,003 : 386 : 12,700</t>
  </si>
  <si>
    <t>0.27_0.79</t>
  </si>
  <si>
    <t>22 : 995 : 170 : 12,916</t>
  </si>
  <si>
    <t>1.07_2.63</t>
  </si>
  <si>
    <t>GSE15483_5.xlsx</t>
  </si>
  <si>
    <t>GSM388464,GSM388465,GSM388466,</t>
  </si>
  <si>
    <t>fenofibrate_treated_HUVEC_18hr-1,fenofibrate_treated_HUVEC_18hr-2,fenofibrate_treated_HUVEC_18hr-3,</t>
  </si>
  <si>
    <t>17 : 1,000 : 503 : 12,582</t>
  </si>
  <si>
    <t>0.26_0.69</t>
  </si>
  <si>
    <t>37 : 980 : 306 : 12,779</t>
  </si>
  <si>
    <t>1.11_2.23</t>
  </si>
  <si>
    <t>GSE15499.xlsx</t>
  </si>
  <si>
    <t>GSE15499</t>
  </si>
  <si>
    <t>HDAC5 is a repressor of angiogenesis and determines the angiogenic gene expression pattern of endothelial cells</t>
  </si>
  <si>
    <t>GSM388707,GSM388709,GSM388711,</t>
  </si>
  <si>
    <t>8HUVEC_HDAC5_siRNA_24h_rep1,10HUVEC_HDAC5_siRNA_24h_rep2,12HUVEC_HDAC5_siRNA_24h_rep3,</t>
  </si>
  <si>
    <t>GSM388706,GSM388708,GSM388710,</t>
  </si>
  <si>
    <t>7HUVEC_scrambled_24h_rep1,9HUVEC_scrambled_24h_rep2,11HUVEC_scrambled_24h_rep3,</t>
  </si>
  <si>
    <t>22 : 1,318 : 279 : 18,755</t>
  </si>
  <si>
    <t>0.72_1.74</t>
  </si>
  <si>
    <t>36 : 1,304 : 522 : 18,512</t>
  </si>
  <si>
    <t>0.70_1.38</t>
  </si>
  <si>
    <t>GSE15505_1.xlsx</t>
  </si>
  <si>
    <t>GSE15505</t>
  </si>
  <si>
    <t>Expression of cyclophilin B is associated with malignant progression and regulation of genes</t>
  </si>
  <si>
    <t>GSM324469,GSM324470,GSM324471,</t>
  </si>
  <si>
    <t>siCypB1,siCypB2,siCypB3,</t>
  </si>
  <si>
    <t>GSM324466,GSM324467,GSM324468,</t>
  </si>
  <si>
    <t>siLuc1,siLuc2,siLuc3,</t>
  </si>
  <si>
    <t>62 : 1,271 : 626 : 22,655</t>
  </si>
  <si>
    <t>1.35_2.31</t>
  </si>
  <si>
    <t>25 : 1,308 : 509 : 22,772</t>
  </si>
  <si>
    <t>0.57_1.28</t>
  </si>
  <si>
    <t>GSE15505_2.xlsx</t>
  </si>
  <si>
    <t>GSM324481,GSM324482,GSM324483,</t>
  </si>
  <si>
    <t>siCypB.PRL1,siCypB.PRL2,siCypB.PRL3,</t>
  </si>
  <si>
    <t>GSM324478,GSM324479,GSM324480,</t>
  </si>
  <si>
    <t>siLuc.PRL1,siLuc.PRL2,siLuc.PRL3,</t>
  </si>
  <si>
    <t>54 : 1,279 : 769 : 22,512</t>
  </si>
  <si>
    <t>0.93_1.64</t>
  </si>
  <si>
    <t>23 : 1,310 : 626 : 22,655</t>
  </si>
  <si>
    <t>0.42_0.97</t>
  </si>
  <si>
    <t>GSE15530_1.xlsx</t>
  </si>
  <si>
    <t>GSE15530</t>
  </si>
  <si>
    <t>Genome-wide analysis of gene expression perturbed by reptin shRNA in MCF7 subjected to normoxic and hypoxic conditions</t>
  </si>
  <si>
    <t>GSM390198,GSM390199,</t>
  </si>
  <si>
    <t>MCF7_normoxia_Reptin_shRNA_rep1,MCF7_normoxia_Reptin_shRNA_rep2,</t>
  </si>
  <si>
    <t>GSM390196,GSM390197,</t>
  </si>
  <si>
    <t>MCF7_normoxia_rep1,MCF7_normoxia_rep2,</t>
  </si>
  <si>
    <t>13 : 1,377 : 201 : 23,568</t>
  </si>
  <si>
    <t>0.63_1.94</t>
  </si>
  <si>
    <t>12 : 1,378 : 201 : 23,568</t>
  </si>
  <si>
    <t>0.57_1.83</t>
  </si>
  <si>
    <t>GSE15530_2.xlsx</t>
  </si>
  <si>
    <t>GSM390202,GSM390203,</t>
  </si>
  <si>
    <t>MCF7_hypoxia_18h_Reptin_shRNA_rep1,MCF7_hypoxia_18h_Reptin_shRNA_rep2,</t>
  </si>
  <si>
    <t>GSM390200,GSM390201,</t>
  </si>
  <si>
    <t>MCF7_hypoxia_18h_rep1,MCF7_hypoxia_18h_rep2,</t>
  </si>
  <si>
    <t>4 : 1,386 : 134 : 23,635</t>
  </si>
  <si>
    <t>0.19_1.38</t>
  </si>
  <si>
    <t>7 : 1,383 : 161 : 23,608</t>
  </si>
  <si>
    <t>0.35_1.58</t>
  </si>
  <si>
    <t>GSE15646_1.xlsx</t>
  </si>
  <si>
    <t>GSE15646</t>
  </si>
  <si>
    <t>Kasumi-1 AML1-ETO knockdown samples</t>
  </si>
  <si>
    <t>GSM391641,GSM391642,GSM391643,</t>
  </si>
  <si>
    <t>Kasumi-1_AML1-ETO_construct_Amaxa_nucleofection_transfection_rep1,Kasumi-1_AML1-ETO_construct_Amaxa_nucleofection_transfection_rep2,Kasumi-1_AML1-ETO_construct_Amaxa_nucleofection_transfection_rep3,</t>
  </si>
  <si>
    <t>GSM391636,GSM391637,</t>
  </si>
  <si>
    <t>Kasumi-1_luciferase_construct_Amaxa_nucleofection_transfection_rep1,Kasumi-1_luciferase_construct_Amaxa_nucleofection_transfection_rep2,</t>
  </si>
  <si>
    <t>11 : 908 : 216 : 11,923</t>
  </si>
  <si>
    <t>0.36_1.23</t>
  </si>
  <si>
    <t>10 : 909 : 121 : 12,018</t>
  </si>
  <si>
    <t>0.57_2.09</t>
  </si>
  <si>
    <t>GSE15646_2.xlsx</t>
  </si>
  <si>
    <t>GSM391638,GSM391639,GSM391640,</t>
  </si>
  <si>
    <t>Kasumi-1_AML1-ETO_construct_Biorad_siLentFect_transfection_rep1,Kasumi-1_AML1-ETO_construct_Biorad_siLentFect_transfection_rep2,Kasumi-1_AML1-ETO_construct_Biorad_siLentFect_transfection_rep3,</t>
  </si>
  <si>
    <t>GSM391633,GSM391634,GSM391635,</t>
  </si>
  <si>
    <t>Kasumi-1_luciferase_construct_Biorad_siLentFect_transfection_rep1,Kasumi-1_luciferase_construct_Biorad_siLentFect_transfection_rep2,Kasumi-1_luciferase_construct_Biorad_siLentFect_transfection_rep3,</t>
  </si>
  <si>
    <t>8 : 911 : 85 : 12,054</t>
  </si>
  <si>
    <t>0.60_2.58</t>
  </si>
  <si>
    <t>6 : 913 : 79 : 12,060</t>
  </si>
  <si>
    <t>GSE15648-GPL96_1.xlsx</t>
  </si>
  <si>
    <t>GSE15648</t>
  </si>
  <si>
    <t>AML1-ETO induction and knockdown</t>
  </si>
  <si>
    <t>GSE15648-GPL96_2.xlsx</t>
  </si>
  <si>
    <t>GSE15723_1.xlsx</t>
  </si>
  <si>
    <t>GSE15723</t>
  </si>
  <si>
    <t>Gene profile in H1299 cells treated with PTD-DRBD GAPDH siRNA or treated with Lipofection GAPDH siRNA</t>
  </si>
  <si>
    <t>GSM393541,GSM393542,</t>
  </si>
  <si>
    <t>24h PTD-DRBD GAPDH siRNA (SAMPLE 9),24h PTD-DRBD GAPDH siRNA (SAMPLE 10),</t>
  </si>
  <si>
    <t>GSM393543,GSM393544,</t>
  </si>
  <si>
    <t>24h Lipofection GAPDH siRNA (SAMPLE 11),24h Lipofection GAPDH siRNA (SAMPLE 12),</t>
  </si>
  <si>
    <t>11 : 1,319 : 214 : 22,997</t>
  </si>
  <si>
    <t>0.49_1.65</t>
  </si>
  <si>
    <t>7 : 1,323 : 160 : 23,051</t>
  </si>
  <si>
    <t>0.36_1.63</t>
  </si>
  <si>
    <t>GSE15723_2.xlsx</t>
  </si>
  <si>
    <t>GSM393535,GSM393536,</t>
  </si>
  <si>
    <t>12h PTD-DRBD GAPDH siRNA (SAMPLE 3),12h PTD-DRBD GAPDH siRNA (SAMPLE 4),</t>
  </si>
  <si>
    <t>GSM393537,GSM393538,</t>
  </si>
  <si>
    <t>12h Lipofection GAPDH siRNA (SAMPLE 5),12h Lipofection GAPDH siRNA (SAMPLE 6),</t>
  </si>
  <si>
    <t>14 : 1,314 : 190 : 23,008</t>
  </si>
  <si>
    <t>0.75_2.23</t>
  </si>
  <si>
    <t>13 : 1,315 : 181 : 23,017</t>
  </si>
  <si>
    <t>0.71_2.21</t>
  </si>
  <si>
    <t>GSE15792.xlsx</t>
  </si>
  <si>
    <t>GSE15792</t>
  </si>
  <si>
    <t>Expression profiles in PCARNEQ ncRNA depletion in prostate cancer cells</t>
  </si>
  <si>
    <t>GSM396489,GSM396490,GSM396491,</t>
  </si>
  <si>
    <t>PCARNEQ siRNA_rep1,PCARNEQ siRNA_rep2,PCARNEQ siRNA_rep3,</t>
  </si>
  <si>
    <t>GSM396492,GSM396493,GSM396494,</t>
  </si>
  <si>
    <t>Control siRNA_rep1,Control siRNA_rep2,Control siRNA_rep3,</t>
  </si>
  <si>
    <t>142 : 1,198 : 1,890 : 17,144</t>
  </si>
  <si>
    <t>0.90_1.29</t>
  </si>
  <si>
    <t>134 : 1,206 : 1,545 : 17,489</t>
  </si>
  <si>
    <t>1.04_1.51</t>
  </si>
  <si>
    <t>GSE15845_1.xlsx</t>
  </si>
  <si>
    <t>GSE15845</t>
  </si>
  <si>
    <t>Knockdown of STAT1 in SCC61 tumor xenografts leads to alterations in the expression of energy metabolic pathways</t>
  </si>
  <si>
    <t>GSM398019,GSM398020,</t>
  </si>
  <si>
    <t>STAT1 shRNA-transfected STAT1 knockdown SCC61 tumor xenograft, irradiated, technical replicate 1,STAT1 shRNA-transfected STAT1 knockdown SCC61 tumor xenograft, irradiated, technical replicate 2,</t>
  </si>
  <si>
    <t>GSM398015,GSM398016,</t>
  </si>
  <si>
    <t>Control vector-transfected STAT1 wild-type SCC61 tumor xenograft, irradiated, technical replicate 1,Control vector-transfected STAT1 wild-type SCC61 tumor xenograft, irradiated, technical replicate 2,</t>
  </si>
  <si>
    <t>39 : 1,279 : 498 : 18,408</t>
  </si>
  <si>
    <t>0.81_1.57</t>
  </si>
  <si>
    <t>16 : 1,302 : 427 : 18,479</t>
  </si>
  <si>
    <t>0.32_0.88</t>
  </si>
  <si>
    <t>GSE15845_2.xlsx</t>
  </si>
  <si>
    <t>GSM398017,GSM398018,</t>
  </si>
  <si>
    <t>STAT1 shRNA-transfected STAT1 knockdown SCC61 tumor xenograft, untreated control, technical replicate 1,STAT1 shRNA-transfected STAT1 knockdown SCC61 tumor xenograft, untreated control, technical replicate 2,</t>
  </si>
  <si>
    <t>GSM398013,GSM398014,</t>
  </si>
  <si>
    <t>Control vector-transfected STAT1 wild-type SCC61 tumor xenograft, untreated control, technical replicate 1,Control vector-transfected STAT1 wild-type SCC61 tumor xenograft, untreated control, technical replicate 2,</t>
  </si>
  <si>
    <t>25 : 1,279 : 176 : 18,587</t>
  </si>
  <si>
    <t>1.35_3.15</t>
  </si>
  <si>
    <t>2 : 1,302 : 83 : 18,680</t>
  </si>
  <si>
    <t>0.08_1.41</t>
  </si>
  <si>
    <t>GSE15890_1.xlsx</t>
  </si>
  <si>
    <t>GSE15890</t>
  </si>
  <si>
    <t>Epigenetic Maintenance of Stemness and Malignancy in Peripheral Neuroectodermal Tumors by EZH2</t>
  </si>
  <si>
    <t>GSM399018,GSM399019,</t>
  </si>
  <si>
    <t>H3K27me3: siRNA-EZH2 1,H3K27me3: siRNA-EZH2 2,</t>
  </si>
  <si>
    <t>GSM399016,GSM399017,</t>
  </si>
  <si>
    <t>H3K27me3: siRNA control 1,H3K27me3: siRNA-control 2,</t>
  </si>
  <si>
    <t>4 : 572 : 36 : 6,749</t>
  </si>
  <si>
    <t>0.46_3.70</t>
  </si>
  <si>
    <t>3 : 573 : 34 : 6,751</t>
  </si>
  <si>
    <t>0.32_3.40</t>
  </si>
  <si>
    <t>GSE15890_2.xlsx</t>
  </si>
  <si>
    <t>GSM399024,GSM399025,GSM399026,GSM399027,</t>
  </si>
  <si>
    <t>H3: siRNA-EZH2 1,H3: siRNA-EZH2 2,H3: siRNA-EZH2 3,H3: siRNA-EZH2 4,</t>
  </si>
  <si>
    <t>GSM399020,GSM399021,GSM399022,GSM399023,</t>
  </si>
  <si>
    <t>H3: siRNA-control 1,H3: siRNA-control 2,H3: siRNA control 3,H3: siRNA-control 4,</t>
  </si>
  <si>
    <t>13 : 670 : 153 : 7,975</t>
  </si>
  <si>
    <t>0.57_1.79</t>
  </si>
  <si>
    <t>0 : 683 : 25 : 8,103</t>
  </si>
  <si>
    <t>GSE15991_1.xlsx</t>
  </si>
  <si>
    <t>GSE15991</t>
  </si>
  <si>
    <t>Expression profile analysis of inflammatory response regulated by hepatocyte nuclear factor 4??</t>
  </si>
  <si>
    <t>GSM400382,GSM400383,GSM400384,GSM400385,</t>
  </si>
  <si>
    <t>si 1,si 2,si 3,si 4,</t>
  </si>
  <si>
    <t>GSM400374,GSM400375,GSM400376,GSM400377,</t>
  </si>
  <si>
    <t>control 1,control 2,control 3,control 4,</t>
  </si>
  <si>
    <t>103 : 816 : 1,181 : 10,958</t>
  </si>
  <si>
    <t>0.95_1.45</t>
  </si>
  <si>
    <t>113 : 806 : 2,013 : 10,126</t>
  </si>
  <si>
    <t>0.58_0.86</t>
  </si>
  <si>
    <t>GSE15991_2.xlsx</t>
  </si>
  <si>
    <t>GSM400386,GSM400387,GSM400388,GSM400389,</t>
  </si>
  <si>
    <t>si cyto 1,si cyto 2,si cyto 3,si cyto 4,</t>
  </si>
  <si>
    <t>GSM400378,GSM400379,GSM400380,GSM400381,</t>
  </si>
  <si>
    <t>cyto 1,cyto 2,cyto 3,cyto 4,</t>
  </si>
  <si>
    <t>91 : 828 : 1,199 : 10,940</t>
  </si>
  <si>
    <t>0.80_1.26</t>
  </si>
  <si>
    <t>115 : 804 : 2,054 : 10,085</t>
  </si>
  <si>
    <t>0.57_0.86</t>
  </si>
  <si>
    <t>GSE16097.xlsx</t>
  </si>
  <si>
    <t>GSE16097</t>
  </si>
  <si>
    <t>Transcriptome of BAHD1 knock-down HEK293 cells with siRNA</t>
  </si>
  <si>
    <t>GSM402827,GSM402828,GSM402829,</t>
  </si>
  <si>
    <t>HEK293 cells siRNA BAHD1 biological rep1,HEK293 cells siRNA BAHD1 biological rep2,HEK293 cells siRNA BAHD1 biological rep3,</t>
  </si>
  <si>
    <t>GSM402824,GSM402825,GSM402826,</t>
  </si>
  <si>
    <t>HEK293 cells siRNA control, biological rep1,HEK293 cells siRNA control, biological rep2,HEK293 cells siRNA control, biological rep3,</t>
  </si>
  <si>
    <t>38 : 1,302 : 422 : 18,612</t>
  </si>
  <si>
    <t>0.92_1.80</t>
  </si>
  <si>
    <t>35 : 1,305 : 451 : 18,583</t>
  </si>
  <si>
    <t>0.78_1.57</t>
  </si>
  <si>
    <t>GSE16170_1.xlsx</t>
  </si>
  <si>
    <t>GSE16170</t>
  </si>
  <si>
    <t>Genome-wide analysis of miRNA-targeted cellular NMD substrates in HeLa cell</t>
  </si>
  <si>
    <t>GSM406197,GSM406200,</t>
  </si>
  <si>
    <t>Ago2 siRNA treated Replication 1,Ago2 siRNA treated Replication 2,</t>
  </si>
  <si>
    <t>GSM406196,GSM406199,</t>
  </si>
  <si>
    <t>Control siRNA treated Replication 1,Control siRNA treated Replication 2,</t>
  </si>
  <si>
    <t>4 : 623 : 76 : 9,689</t>
  </si>
  <si>
    <t>0.30_2.24</t>
  </si>
  <si>
    <t>5 : 622 : 54 : 9,711</t>
  </si>
  <si>
    <t>0.58_3.63</t>
  </si>
  <si>
    <t>GSE16170_2.xlsx</t>
  </si>
  <si>
    <t>GSM406198,GSM406201,</t>
  </si>
  <si>
    <t>UPF1 and Ago2 siRNA treated Replication 1,UPF1 and Ago2 siRNA treated Replication 2,</t>
  </si>
  <si>
    <t>4 : 627 : 29 : 9,788</t>
  </si>
  <si>
    <t>0.75_6.14</t>
  </si>
  <si>
    <t>4 : 627 : 34 : 9,783</t>
  </si>
  <si>
    <t>0.65_5.19</t>
  </si>
  <si>
    <t>GSE16200_1.xlsx</t>
  </si>
  <si>
    <t>GSE16200</t>
  </si>
  <si>
    <t>Loss of Syk in normal breast cells</t>
  </si>
  <si>
    <t>GSM406567,GSM406569,GSM406571,</t>
  </si>
  <si>
    <t>siRNA, plastic plate, rep1,siRNA, plastic plate, rep2,siRNA, plastic plate, rep3,</t>
  </si>
  <si>
    <t>GSM406561,GSM406563,GSM406565,</t>
  </si>
  <si>
    <t>Empty vector, plastic plate, rep1,Empty vector, plastic plate, rep2,Empty vector, plastic plate, rep3,</t>
  </si>
  <si>
    <t>7 : 912 : 116 : 12,023</t>
  </si>
  <si>
    <t>0.37_1.71</t>
  </si>
  <si>
    <t>13 : 906 : 121 : 12,018</t>
  </si>
  <si>
    <t>0.80_2.54</t>
  </si>
  <si>
    <t>GSE16200_2.xlsx</t>
  </si>
  <si>
    <t>GSM406566,GSM406568,GSM406570,</t>
  </si>
  <si>
    <t>siRNA, collagen plate, rep1,siRNA, collagen plate, rep2,siRNA, collagen plate, rep3,</t>
  </si>
  <si>
    <t>GSM406560,GSM406562,GSM406564,</t>
  </si>
  <si>
    <t>Empty vector, collagen plate, rep1,Empty vector, collagen plate, rep2,Empty vector, collagen plate, rep3,</t>
  </si>
  <si>
    <t>32 : 887 : 393 : 11,746</t>
  </si>
  <si>
    <t>0.75_1.56</t>
  </si>
  <si>
    <t>30 : 889 : 361 : 11,778</t>
  </si>
  <si>
    <t>0.75_1.61</t>
  </si>
  <si>
    <t>GSE16219.xlsx</t>
  </si>
  <si>
    <t>GSE16219</t>
  </si>
  <si>
    <t>Identification of genes that are regulated by TAK1 in human cutaneous T cell lymphoma HuT-102 cells</t>
  </si>
  <si>
    <t>GSM407318,GSM407319,</t>
  </si>
  <si>
    <t>shRNA-TAK1-1 (HuT-102 cells + shRNA-TAK1),shRNA-TAK1-2 (HuT-102 cells + shRNA-TAK1),</t>
  </si>
  <si>
    <t>GSM407316,GSM407317,</t>
  </si>
  <si>
    <t>Control-1 (HuT-102 cells + vector only),Control-2 (HuT-102 cells + vector only),</t>
  </si>
  <si>
    <t>17 : 1,323 : 231 : 18,803</t>
  </si>
  <si>
    <t>0.64_1.72</t>
  </si>
  <si>
    <t>24 : 1,316 : 235 : 18,799</t>
  </si>
  <si>
    <t>0.96_2.23</t>
  </si>
  <si>
    <t>GSE16356.xlsx</t>
  </si>
  <si>
    <t>GSE16356</t>
  </si>
  <si>
    <t>Lymphatic endothelial cells (LEC) treated with a MAF-targeted siRNA</t>
  </si>
  <si>
    <t>GSM410699,GSM410700,GSM410701,</t>
  </si>
  <si>
    <t>LEC MAF-siRNA, rep1,LEC MAF-siRNA, rep2,LEC MAF-siRNA, rep3,</t>
  </si>
  <si>
    <t>GSM410696,GSM410697,GSM410698,</t>
  </si>
  <si>
    <t>LEC non-target-siRNA, rep1,LEC non-target-siRNA, rep2,LEC non-target-siRNA, rep3,</t>
  </si>
  <si>
    <t>11 : 1,329 : 209 : 18,825</t>
  </si>
  <si>
    <t>0.41_1.37</t>
  </si>
  <si>
    <t>12 : 1,328 : 116 : 18,918</t>
  </si>
  <si>
    <t>0.81_2.68</t>
  </si>
  <si>
    <t>GSE16568.xlsx</t>
  </si>
  <si>
    <t>GSE16568</t>
  </si>
  <si>
    <t>Gene expression analyses of mir-22 overexpression in ovarian clear cell cancer cell line</t>
  </si>
  <si>
    <t>GSM416656,GSM416657,GSM416658,</t>
  </si>
  <si>
    <t>hsa-mir-22 mimic_18-1,hsa-mir-22 mimic_18-2,hsa-mir-22 mimic_18-3,</t>
  </si>
  <si>
    <t>GSM416659,GSM416660,GSM416661,</t>
  </si>
  <si>
    <t>negative control mimic_18-5,negative control mimic_18-6,negative control mimic_18-8,</t>
  </si>
  <si>
    <t>47 : 1,343 : 454 : 23,315</t>
  </si>
  <si>
    <t>1.32_2.44</t>
  </si>
  <si>
    <t>47 : 1,343 : 491 : 23,278</t>
  </si>
  <si>
    <t>1.22_2.25</t>
  </si>
  <si>
    <t>GSE16572.xlsx</t>
  </si>
  <si>
    <t>GSE16572</t>
  </si>
  <si>
    <t>Gene expression analyses of mir-182 knockdown in ovarian clear cell cancer cell line</t>
  </si>
  <si>
    <t>GSM416692,GSM416693,GSM416694,</t>
  </si>
  <si>
    <t>hsa-mir-182 inhibitor_17-1,hsa-mir-182 inhibitor_17-2,hsa-mir-182 inhibitor_17-3,</t>
  </si>
  <si>
    <t>GSM416695,GSM416696,GSM416697,</t>
  </si>
  <si>
    <t>negative control inhibitor_17-5,negative control inhibitor_17-6,negative control inhibitor_17-8,</t>
  </si>
  <si>
    <t>13 : 1,377 : 171 : 23,597</t>
  </si>
  <si>
    <t>0.74_2.30</t>
  </si>
  <si>
    <t>13 : 1,377 : 190 : 23,578</t>
  </si>
  <si>
    <t>0.67_2.06</t>
  </si>
  <si>
    <t>GSE16622.xlsx</t>
  </si>
  <si>
    <t>GSE16622</t>
  </si>
  <si>
    <t>HIF-2alpha Knockdown in A498 (VHL-/-) ccRCC cells</t>
  </si>
  <si>
    <t>GSM417395,GSM417396,GSM417397,GSM417398,</t>
  </si>
  <si>
    <t>HIF2-alpha siRNA Treated A498 Cells_1,HIF2-alpha siRNA Treated A498 Cells_2,HIF2-alpha siRNA Treated A498 Cells_3,HIF2-alpha siRNA Treated A498 Cells_4,</t>
  </si>
  <si>
    <t>GSM417391,GSM417392,GSM417393,GSM417394,</t>
  </si>
  <si>
    <t>Control siRNA Treated A498 Cells_1,Control siRNA Treated A498 Cells_2,Control siRNA Treated A498 Cells_3,Control siRNA Treated A498 Cells_4,</t>
  </si>
  <si>
    <t>26 : 1,311 : 541 : 18,578</t>
  </si>
  <si>
    <t>0.46_1.01</t>
  </si>
  <si>
    <t>38 : 1,299 : 505 : 18,614</t>
  </si>
  <si>
    <t>0.77_1.51</t>
  </si>
  <si>
    <t>GSE16671-GPL6883.xlsx</t>
  </si>
  <si>
    <t>GSE16671</t>
  </si>
  <si>
    <t>The effect of ERG overexpression and ERG knockdown by shRNA in RWPE1 and VCAP cells, respectively</t>
  </si>
  <si>
    <t>GSM416796,GSM416795,</t>
  </si>
  <si>
    <t>The effect of ERG knockdown by shRNA in VCAP cells, array 1,The effect of ERG knockdown by shRNA in VCAP cells, array 2,</t>
  </si>
  <si>
    <t>GSM416785,GSM416794,</t>
  </si>
  <si>
    <t>The effect of stable scramble lenti-shRNA in VCAP cells, array 1,The effect of stable scramble lenti-shRNA in VCAP cells, array 2,</t>
  </si>
  <si>
    <t>1 : 848 : 105 : 11,516</t>
  </si>
  <si>
    <t>0.02_0.93</t>
  </si>
  <si>
    <t>17 : 832 : 121 : 11,500</t>
  </si>
  <si>
    <t>1.16_3.24</t>
  </si>
  <si>
    <t>GSE1676_1.xlsx</t>
  </si>
  <si>
    <t>GSE1676</t>
  </si>
  <si>
    <t>DNA damage response (NCS treatment) in several siRNA-manipulated cellular systems</t>
  </si>
  <si>
    <t>GSM28639,GSM28640,GSM28641,</t>
  </si>
  <si>
    <t>ATM_siRNA_0a,ATM_siRNA_0b,ATM_siRNA_0c,</t>
  </si>
  <si>
    <t>GSM28633,GSM28634,GSM28635,</t>
  </si>
  <si>
    <t>LacZ control_0a,LacZ control_0b,LacZ control_0c,</t>
  </si>
  <si>
    <t>5 : 589 : 88 : 7,660</t>
  </si>
  <si>
    <t>0.30_1.83</t>
  </si>
  <si>
    <t>3 : 591 : 147 : 7,601</t>
  </si>
  <si>
    <t>0.08_0.83</t>
  </si>
  <si>
    <t>GSE1676_2.xlsx</t>
  </si>
  <si>
    <t>GSM28645,GSM28646,GSM28647,</t>
  </si>
  <si>
    <t>RelA_siRNA_0a,RelA_siRNA_0b,RelA_siRNA_0c,</t>
  </si>
  <si>
    <t>2 : 592 : 65 : 7,683</t>
  </si>
  <si>
    <t>0.10_1.63</t>
  </si>
  <si>
    <t>1 : 593 : 85 : 7,663</t>
  </si>
  <si>
    <t>0.02_1.09</t>
  </si>
  <si>
    <t>GSE1676_3.xlsx</t>
  </si>
  <si>
    <t>GSM28651,GSM28652,GSM28653,</t>
  </si>
  <si>
    <t>p53_siRNA_0a,p53_siRNA_0b,p53_siRNA_0c,</t>
  </si>
  <si>
    <t>6 : 588 : 70 : 7,678</t>
  </si>
  <si>
    <t>0.48_2.59</t>
  </si>
  <si>
    <t>1 : 593 : 103 : 7,645</t>
  </si>
  <si>
    <t>0.02_0.90</t>
  </si>
  <si>
    <t>GSE1676_4.xlsx</t>
  </si>
  <si>
    <t>GSM28642,GSM28643,GSM28644,</t>
  </si>
  <si>
    <t>ATM_siRNA_4a,ATM_siRNA_4b,ATM_siRNA_4c,</t>
  </si>
  <si>
    <t>GSM28636,GSM28637,GSM28638,</t>
  </si>
  <si>
    <t>LacZ control_4a,LacZ control_4b,LacZ control_4c,</t>
  </si>
  <si>
    <t>11 : 583 : 161 : 7,587</t>
  </si>
  <si>
    <t>0.48_1.65</t>
  </si>
  <si>
    <t>9 : 585 : 188 : 7,560</t>
  </si>
  <si>
    <t>0.32_1.21</t>
  </si>
  <si>
    <t>GSE1676_5.xlsx</t>
  </si>
  <si>
    <t>GSM28648,GSM28649,GSM28650,</t>
  </si>
  <si>
    <t>RelA_siRNA_4a,RelA_siRNA_4b,RelA_siRNA_4c,</t>
  </si>
  <si>
    <t>16 : 578 : 219 : 7,528</t>
  </si>
  <si>
    <t>0.57_1.59</t>
  </si>
  <si>
    <t>7 : 587 : 171 : 7,576</t>
  </si>
  <si>
    <t>0.25_1.13</t>
  </si>
  <si>
    <t>GSE1676_6.xlsx</t>
  </si>
  <si>
    <t>GSM28654,GSM28655,GSM28656,</t>
  </si>
  <si>
    <t>p53_siRNA_4a,p53_siRNA_4b,p53_siRNA_4c,</t>
  </si>
  <si>
    <t>GSM28627,GSM28628,GSM28629,</t>
  </si>
  <si>
    <t>Uninfected_control_0a,Uninfected control_0b,Uninfected control_0c,</t>
  </si>
  <si>
    <t>13 : 581 : 114 : 7,634</t>
  </si>
  <si>
    <t>0.84_2.68</t>
  </si>
  <si>
    <t>7 : 587 : 87 : 7,661</t>
  </si>
  <si>
    <t>0.48_2.28</t>
  </si>
  <si>
    <t>GSE1676_7.xlsx</t>
  </si>
  <si>
    <t>4 : 590 : 121 : 7,627</t>
  </si>
  <si>
    <t>0.16_1.16</t>
  </si>
  <si>
    <t>2 : 592 : 55 : 7,693</t>
  </si>
  <si>
    <t>0.11_1.94</t>
  </si>
  <si>
    <t>GSE1676_8.xlsx</t>
  </si>
  <si>
    <t>GSM28630,GSM28631,GSM28632,</t>
  </si>
  <si>
    <t>Uninfected control_4a,Uninfected control_4b,Uninfected control_4c,</t>
  </si>
  <si>
    <t>11 : 583 : 76 : 7,672</t>
  </si>
  <si>
    <t>1.01_3.60</t>
  </si>
  <si>
    <t>3 : 591 : 83 : 7,665</t>
  </si>
  <si>
    <t>0.15_1.49</t>
  </si>
  <si>
    <t>GSE16798.xlsx</t>
  </si>
  <si>
    <t>GSE16798</t>
  </si>
  <si>
    <t>Genes regulated after knock-down of Pirin in U937 cells</t>
  </si>
  <si>
    <t>GSM421933,GSM421934,</t>
  </si>
  <si>
    <t>U937 cells with knock-down of Pirin - Replica 1,U937 cells with knock-down of Pirin - Replica 2,</t>
  </si>
  <si>
    <t>GSM421935,GSM421936,</t>
  </si>
  <si>
    <t>U937 cells infected with empty pSICO-R vector - Replica 1,U937 cells infected with empty pSICO-R vector - Replica 2,</t>
  </si>
  <si>
    <t>26 : 1,314 : 398 : 18,628</t>
  </si>
  <si>
    <t>0.62_1.38</t>
  </si>
  <si>
    <t>31 : 1,309 : 381 : 18,645</t>
  </si>
  <si>
    <t>0.80_1.68</t>
  </si>
  <si>
    <t>GSE16962.xlsx</t>
  </si>
  <si>
    <t>GSE16962</t>
  </si>
  <si>
    <t>Effect of mir-210 overexpression or down-modulation on human umbilical vein cells</t>
  </si>
  <si>
    <t>GSM424762,GSM424763,GSM424764,</t>
  </si>
  <si>
    <t>pSUPER-mir-210 replicate 1,pSUPER-mir-210 replicate 2,pSUPER-mir-210 replicate 3,</t>
  </si>
  <si>
    <t>GSM424759,GSM424760,GSM424761,</t>
  </si>
  <si>
    <t>pSUPER-scramble replicate 1,pSUPER-scramble replicate 2,pSUPER-scramble replicate 3,</t>
  </si>
  <si>
    <t>151 : 1,189 : 1,038 : 17,996</t>
  </si>
  <si>
    <t>1.84_2.64</t>
  </si>
  <si>
    <t>37 : 1,303 : 703 : 18,331</t>
  </si>
  <si>
    <t>0.53_1.04</t>
  </si>
  <si>
    <t>GSE17011.xlsx</t>
  </si>
  <si>
    <t>GSE17011</t>
  </si>
  <si>
    <t>Characterisation of the NRF2-mediated anti-oxidant gene battery by transcriptional profiling</t>
  </si>
  <si>
    <t>GSM425514,GSM425515,GSM425516,GSM425517,</t>
  </si>
  <si>
    <t>Keap 1 replicate 1,Keap 1 replicate 2,Keap 1 replicate 3,Keap 1 replicate 4,</t>
  </si>
  <si>
    <t>GSM425518,GSM425519,GSM425520,GSM425521,</t>
  </si>
  <si>
    <t>Scrambled replicate 1,Scrambled replicate 2,Scrambled replicate 3,Scrambled replicate 4,</t>
  </si>
  <si>
    <t>16 : 1,239 : 189 : 17,318</t>
  </si>
  <si>
    <t>0.71_1.98</t>
  </si>
  <si>
    <t>9 : 1,246 : 193 : 17,314</t>
  </si>
  <si>
    <t>GSE1703.xlsx</t>
  </si>
  <si>
    <t>GSE1703</t>
  </si>
  <si>
    <t>Determination of mRNA transcripts in HeLa cells that are regulated by RENT1</t>
  </si>
  <si>
    <t>GSM29532,GSM29534,</t>
  </si>
  <si>
    <t>RENT1-1,RENT1-2,</t>
  </si>
  <si>
    <t>GSM29530,GSM29531,</t>
  </si>
  <si>
    <t>Luciferase control 1,Luciferase control 2,</t>
  </si>
  <si>
    <t>7 : 644 : 83 : 8,203</t>
  </si>
  <si>
    <t>0.49_2.33</t>
  </si>
  <si>
    <t>2 : 649 : 63 : 8,223</t>
  </si>
  <si>
    <t>0.10_1.65</t>
  </si>
  <si>
    <t>GSE17385.xlsx</t>
  </si>
  <si>
    <t>GSE17385</t>
  </si>
  <si>
    <t>Gene expression profiling from MM1.S cells with control or beta-catenin knockdown.</t>
  </si>
  <si>
    <t>GSM434411,GSM434412,GSM434413,</t>
  </si>
  <si>
    <t>pKLO beta-catenin shRNA,, biological rep1,pKLO beta-catenin shRNA,, biological rep2,pKLO beta-catenin shRNA,, biological rep3,</t>
  </si>
  <si>
    <t>GSM434408,GSM434409,GSM434410,</t>
  </si>
  <si>
    <t>pKLO GFP control, biological rep1,pKLO GFP control, biological rep2,pKLO GFP control, biological rep3,</t>
  </si>
  <si>
    <t>37 : 1,303 : 989 : 18,045</t>
  </si>
  <si>
    <t>0.37_0.72</t>
  </si>
  <si>
    <t>77 : 1,263 : 1,069 : 17,965</t>
  </si>
  <si>
    <t>0.81_1.30</t>
  </si>
  <si>
    <t>GSE17468.xlsx</t>
  </si>
  <si>
    <t>GSE17468</t>
  </si>
  <si>
    <t>The epithelial splicing factors ESRP1 and ESRP2 positively and negatively regulate alternative splicing events</t>
  </si>
  <si>
    <t>GSM435817,GSM435818,GSM435819,GSM435820,</t>
  </si>
  <si>
    <t>PNT2-siESRP, rep1,PNT2-siESRP, rep2,PNT2-siESRP, rep3,PNT2-siESRP, rep4,</t>
  </si>
  <si>
    <t>GSM435813,GSM435814,GSM435815,GSM435816,</t>
  </si>
  <si>
    <t>PNT2-siGFP, rep1,PNT2-siGFP, rep2,PNT2-siGFP, rep3,PNT2-siGFP, rep4,</t>
  </si>
  <si>
    <t>17 : 1,171 : 263 : 15,434</t>
  </si>
  <si>
    <t>0.52_1.40</t>
  </si>
  <si>
    <t>63 : 1,125 : 533 : 15,164</t>
  </si>
  <si>
    <t>1.22_2.08</t>
  </si>
  <si>
    <t>GSE17482_1.xlsx</t>
  </si>
  <si>
    <t>GSE17482</t>
  </si>
  <si>
    <t>Gene expression profiles regulated by Stat5a/b vs. Stat3 in human prostate cancer cells.</t>
  </si>
  <si>
    <t>GSM435995,GSM435996,GSM435997,</t>
  </si>
  <si>
    <t>DU145_Stat3#1,DU145_Stat3#2,DU145_Stat3#3,</t>
  </si>
  <si>
    <t>GSM435992,GSM435993,GSM435994,</t>
  </si>
  <si>
    <t>DU145_ctrl#1,DU145_ctrl#2,DU145_ctrl#3,</t>
  </si>
  <si>
    <t>66 : 1,274 : 852 : 18,182</t>
  </si>
  <si>
    <t>0.86_1.43</t>
  </si>
  <si>
    <t>58 : 1,282 : 764 : 18,270</t>
  </si>
  <si>
    <t>0.82_1.42</t>
  </si>
  <si>
    <t>GSE17482_2.xlsx</t>
  </si>
  <si>
    <t>GSM435998,GSM435999,GSM436000,</t>
  </si>
  <si>
    <t>DU145_Stat5a/b#1,DU145_Stat5a/b#2,DU145_Stat5a/b#3,</t>
  </si>
  <si>
    <t>107 : 1,233 : 1,118 : 17,916</t>
  </si>
  <si>
    <t>1.13_1.71</t>
  </si>
  <si>
    <t>56 : 1,284 : 906 : 18,128</t>
  </si>
  <si>
    <t>0.66_1.15</t>
  </si>
  <si>
    <t>GSE17482_3.xlsx</t>
  </si>
  <si>
    <t>GSM436004,GSM436005,GSM436006,</t>
  </si>
  <si>
    <t>CWR_Stat3#1,CWR_Stat3#2,CWR_Stat3#3,</t>
  </si>
  <si>
    <t>GSM436001,GSM436002,GSM436003,</t>
  </si>
  <si>
    <t>CWR_ctrl#1,CWR_ctrl#2,CWR_ctrl#3,</t>
  </si>
  <si>
    <t>65 : 1,275 : 645 : 18,389</t>
  </si>
  <si>
    <t>1.12_1.89</t>
  </si>
  <si>
    <t>58 : 1,282 : 957 : 18,077</t>
  </si>
  <si>
    <t>0.65_1.12</t>
  </si>
  <si>
    <t>GSE17482_4.xlsx</t>
  </si>
  <si>
    <t>GSM436007,GSM436008,GSM436009,</t>
  </si>
  <si>
    <t>CWR_Stat5a/b#1,CWR_Stat5a/b#2,CWR_Stat5a/b#3,</t>
  </si>
  <si>
    <t>82 : 1,258 : 907 : 18,127</t>
  </si>
  <si>
    <t>1.03_1.64</t>
  </si>
  <si>
    <t>55 : 1,285 : 948 : 18,086</t>
  </si>
  <si>
    <t>0.62_1.08</t>
  </si>
  <si>
    <t>GSE17483.xlsx</t>
  </si>
  <si>
    <t>GSE17483</t>
  </si>
  <si>
    <t>Stat5-regulated gene expression in human prostate cancer cells</t>
  </si>
  <si>
    <t>GSE17551.xlsx</t>
  </si>
  <si>
    <t>GSE17551</t>
  </si>
  <si>
    <t>Genes regulated after transient knock-down of Pirin in WM-266 cells</t>
  </si>
  <si>
    <t>GSM437517,GSM437518,</t>
  </si>
  <si>
    <t>WM-266 knock-down of Pirin by siRNA - Replica 1,WM-266 knock-down of Pirin by siRNA - Replica 2,</t>
  </si>
  <si>
    <t>GSM437519,GSM437520,</t>
  </si>
  <si>
    <t>WM-266 cells transfected with CONTROL siRNA - Replica 1,WM-266 cells transfected with CONTROL siRNA - Replica 2,</t>
  </si>
  <si>
    <t>35 : 1,305 : 377 : 18,652</t>
  </si>
  <si>
    <t>0.93_1.88</t>
  </si>
  <si>
    <t>30 : 1,310 : 379 : 18,650</t>
  </si>
  <si>
    <t>0.77_1.64</t>
  </si>
  <si>
    <t>GSE1773.xlsx</t>
  </si>
  <si>
    <t>GSE1773</t>
  </si>
  <si>
    <t>Effect of Seprase/FAP alpha on the metastasis of human melanoma LOX cell</t>
  </si>
  <si>
    <t>GSM30731,GSM30732,GSM30740,</t>
  </si>
  <si>
    <t>1-Sep,2-Sep,3-Sep,</t>
  </si>
  <si>
    <t>GSM30728,GSM30729,GSM30730,</t>
  </si>
  <si>
    <t>GUS-1,GUS-2,GUS-3,</t>
  </si>
  <si>
    <t>1 : 918 : 28 : 12,111</t>
  </si>
  <si>
    <t>0.06_3.47</t>
  </si>
  <si>
    <t>4 : 915 : 136 : 12,003</t>
  </si>
  <si>
    <t>0.14_1.05</t>
  </si>
  <si>
    <t>GSE1774_1.xlsx</t>
  </si>
  <si>
    <t>GSE1774</t>
  </si>
  <si>
    <t>Suppression of MT1-MMP in Human Fibrosarcoma Impair Tumor Angiogenesis and Enlargement</t>
  </si>
  <si>
    <t>GSM30736,GSM30737,</t>
  </si>
  <si>
    <t>MT1-1,MT1-2,</t>
  </si>
  <si>
    <t>GSM30734,GSM30735,</t>
  </si>
  <si>
    <t>HT1080-GUS-1,HT1080-GUS-2,</t>
  </si>
  <si>
    <t>3 : 914 : 83 : 12,043</t>
  </si>
  <si>
    <t>0.15_1.51</t>
  </si>
  <si>
    <t>9 : 908 : 74 : 12,052</t>
  </si>
  <si>
    <t>0.81_3.24</t>
  </si>
  <si>
    <t>GSE1774_2.xlsx</t>
  </si>
  <si>
    <t>GSM30738,GSM30739,</t>
  </si>
  <si>
    <t>alpha3-1,alpha3-2,</t>
  </si>
  <si>
    <t>5 : 913 : 63 : 12,068</t>
  </si>
  <si>
    <t>0.42_2.61</t>
  </si>
  <si>
    <t>5 : 913 : 67 : 12,064</t>
  </si>
  <si>
    <t>0.40_2.45</t>
  </si>
  <si>
    <t>GSE17802.xlsx</t>
  </si>
  <si>
    <t>GSE17802</t>
  </si>
  <si>
    <t>The role of vimentin in regulating genes related to EMT</t>
  </si>
  <si>
    <t>GSM444312,GSM444310,</t>
  </si>
  <si>
    <t>MCF10A KD2,MCF10A KD,</t>
  </si>
  <si>
    <t>GSM444313,GSM444311,</t>
  </si>
  <si>
    <t>MCF10A Scramble2,MCF10A Scramble,</t>
  </si>
  <si>
    <t>11 : 1,237 : 163 : 23,581</t>
  </si>
  <si>
    <t>0.70_2.38</t>
  </si>
  <si>
    <t>10 : 1,238 : 166 : 23,578</t>
  </si>
  <si>
    <t>0.60_2.18</t>
  </si>
  <si>
    <t>GSE18027_1.xlsx</t>
  </si>
  <si>
    <t>GSE18027</t>
  </si>
  <si>
    <t>BTG1 regulates glucocorticoid receptor autoinduction in acute lymphoblastic leukemia</t>
  </si>
  <si>
    <t>GSM450747,GSM450748,</t>
  </si>
  <si>
    <t>BTG1 vehicle 1,BTG1 vehicle 2,</t>
  </si>
  <si>
    <t>GSM450743,GSM450744,</t>
  </si>
  <si>
    <t>Control vehicle 1,Control vehicle 2,</t>
  </si>
  <si>
    <t>4 : 1,173 : 159 : 14,851</t>
  </si>
  <si>
    <t>0.12_0.86</t>
  </si>
  <si>
    <t>9 : 1,168 : 124 : 14,886</t>
  </si>
  <si>
    <t>0.47_1.82</t>
  </si>
  <si>
    <t>GSE18027_2.xlsx</t>
  </si>
  <si>
    <t>GSM450749,GSM450750,</t>
  </si>
  <si>
    <t>BTG1 prednisolone 1,BTG1 prednisolone 2,</t>
  </si>
  <si>
    <t>GSM450745,GSM450746,</t>
  </si>
  <si>
    <t>Control prednisolone 1,Control prednisolone 2,</t>
  </si>
  <si>
    <t>21 : 1,156 : 178 : 14,832</t>
  </si>
  <si>
    <t>0.96_2.39</t>
  </si>
  <si>
    <t>14 : 1,163 : 254 : 14,756</t>
  </si>
  <si>
    <t>0.41_1.20</t>
  </si>
  <si>
    <t>GSE18171_1.xlsx</t>
  </si>
  <si>
    <t>GSE18171</t>
  </si>
  <si>
    <t>Expression data for EglN2 conditional knockdown in T47D breast carcinoma cells</t>
  </si>
  <si>
    <t>GSM454341,GSM454345,</t>
  </si>
  <si>
    <t>T47D inducible EglN2 shRNA Day 0 replicate 1,T47D inducible EglN2 shRNA Day 0 replicate 2,</t>
  </si>
  <si>
    <t>GSM454339,GSM454343,</t>
  </si>
  <si>
    <t>T47D Scr Day 0 Replicate 1,T47D Scr Day 0 Replicate 2,</t>
  </si>
  <si>
    <t>2 : 1,315 : 39 : 18,810</t>
  </si>
  <si>
    <t>0.18_3.04</t>
  </si>
  <si>
    <t>3 : 1,314 : 26 : 18,823</t>
  </si>
  <si>
    <t>0.50_5.47</t>
  </si>
  <si>
    <t>GSE18171_2.xlsx</t>
  </si>
  <si>
    <t>GSM454342,GSM454346,</t>
  </si>
  <si>
    <t>T47D inducible EglN2 shRNA Day 2 replicate 1,T47D inducible EglN2 shRNA Day 2 replicate 2,</t>
  </si>
  <si>
    <t>GSM454340,GSM454344,</t>
  </si>
  <si>
    <t>T47D Scr Day 2 Replicate 1,T47D Scr Day 2 Replicate 2,</t>
  </si>
  <si>
    <t>2 : 1,317 : 20 : 18,825</t>
  </si>
  <si>
    <t>0.33_6.12</t>
  </si>
  <si>
    <t>0 : 1,319 : 22 : 18,823</t>
  </si>
  <si>
    <t>GSE18173_1.xlsx</t>
  </si>
  <si>
    <t>GSE18173</t>
  </si>
  <si>
    <t>Expression data in HeLa S3 cells transfected with control-, UAP56- or URH49-siRNA</t>
  </si>
  <si>
    <t>GSM520740,GSM520743,GSM520746,</t>
  </si>
  <si>
    <t>CytoplasmicRNA_UAP56-siRNA_1,CytoplasmicRNA_UAP56-siRNA_2,CytoplasmicRNA_UAP56-siRNA_3,</t>
  </si>
  <si>
    <t>GSM520739,GSM520742,GSM520745,</t>
  </si>
  <si>
    <t>CytoplasmicRNA_Control-siRNA_1,CytoplasmicRNA_Control-siRNA_2,CytoplasmicRNA_Control-siRNA_3,</t>
  </si>
  <si>
    <t>8 : 1,329 : 184 : 18,935</t>
  </si>
  <si>
    <t>0.30_1.26</t>
  </si>
  <si>
    <t>17 : 1,320 : 282 : 18,837</t>
  </si>
  <si>
    <t>0.53_1.41</t>
  </si>
  <si>
    <t>GSE18173_2.xlsx</t>
  </si>
  <si>
    <t>GSM520741,GSM520744,GSM520747,</t>
  </si>
  <si>
    <t>CytoplasmicRNA_URH49-siRNA_1,CytoplasmicRNA_URH49-siRNA_2,CytoplasmicRNA_URH49-siRNA_3,</t>
  </si>
  <si>
    <t>7 : 1,330 : 152 : 18,967</t>
  </si>
  <si>
    <t>0.31_1.40</t>
  </si>
  <si>
    <t>9 : 1,328 : 179 : 18,940</t>
  </si>
  <si>
    <t>0.37_1.40</t>
  </si>
  <si>
    <t>GSE18182.xlsx</t>
  </si>
  <si>
    <t>GSE18182</t>
  </si>
  <si>
    <t>Expression profile of lung adenocarcinoma, A549 cells following targeted depletion of non metastatic 2 (NME2/NM23 H2)</t>
  </si>
  <si>
    <t>GSM448952,GSM448953,GSM448954,</t>
  </si>
  <si>
    <t>NME2 Depleted A549 cell Replicate1,NME2 depleted A549 cell Replicate2,NME2 Depleted A549 cell Replicate3,</t>
  </si>
  <si>
    <t>GSM454301,GSM454307,GSM454309,</t>
  </si>
  <si>
    <t>NME2 Control A549 cell Replicate1,NME2 Control A549 cell Replicate2,NME2 Control A549 cell Replicate3,</t>
  </si>
  <si>
    <t>18 : 1,322 : 369 : 18,665</t>
  </si>
  <si>
    <t>0.43_1.11</t>
  </si>
  <si>
    <t>28 : 1,312 : 323 : 18,711</t>
  </si>
  <si>
    <t>0.84_1.83</t>
  </si>
  <si>
    <t>GSE18384_1.xlsx</t>
  </si>
  <si>
    <t>GSE18384</t>
  </si>
  <si>
    <t>JMJD2B knockdown treatment in normoxia and hypoxia</t>
  </si>
  <si>
    <t>GSM458573,GSM458574,</t>
  </si>
  <si>
    <t>N siJMJD2B#1,N siJMJD2B#2,</t>
  </si>
  <si>
    <t>GSM458571,GSM458572,</t>
  </si>
  <si>
    <t>N Control#1,N Control#2,</t>
  </si>
  <si>
    <t>20 : 1,271 : 172 : 23,977</t>
  </si>
  <si>
    <t>1.38_3.50</t>
  </si>
  <si>
    <t>12 : 1,279 : 214 : 23,935</t>
  </si>
  <si>
    <t>0.59_1.88</t>
  </si>
  <si>
    <t>GSE18384_2.xlsx</t>
  </si>
  <si>
    <t>GSM458577,GSM458578,</t>
  </si>
  <si>
    <t>H siJMJD2B#1,H siJMJD2B#2,</t>
  </si>
  <si>
    <t>GSM458575,GSM458576,</t>
  </si>
  <si>
    <t>H Control#1,H Control#2,</t>
  </si>
  <si>
    <t>14 : 1,277 : 205 : 23,944</t>
  </si>
  <si>
    <t>0.74_2.21</t>
  </si>
  <si>
    <t>10 : 1,281 : 199 : 23,950</t>
  </si>
  <si>
    <t>0.50_1.78</t>
  </si>
  <si>
    <t>GSE18632.xlsx</t>
  </si>
  <si>
    <t>GSE18632</t>
  </si>
  <si>
    <t>Knockdown of transactive response DNA-binding protein TDP-43 downregulates histone deacetylase 6</t>
  </si>
  <si>
    <t>GSM463019,GSM463020,GSM463021,GSM463022,</t>
  </si>
  <si>
    <t>HEK293E cells, TDP-43 siRNA, replicate 1,HEK293E cells, TDP-43 siRNA, replicate 2,HEK293E cells, TDP-43 siRNA, replicate 3,HEK293E cells, TDP-43 siRNA, replicate 4,</t>
  </si>
  <si>
    <t>GSM463015,GSM463016,GSM463017,GSM463018,</t>
  </si>
  <si>
    <t>HEK293E cells, scrambled siRNA, replicate 1,HEK293E cells, scrambled siRNA, replicate 2,HEK293E cells, scrambled siRNA, replicate 3,HEK293E cells, scrambled siRNA, replicate 4,</t>
  </si>
  <si>
    <t>111 : 1,001 : 1,008 : 14,692</t>
  </si>
  <si>
    <t>1.32_1.99</t>
  </si>
  <si>
    <t>61 : 1,051 : 908 : 14,792</t>
  </si>
  <si>
    <t>0.72_1.23</t>
  </si>
  <si>
    <t>GSE18668_1.xlsx</t>
  </si>
  <si>
    <t>GSE18668</t>
  </si>
  <si>
    <t>Differentiation of NUT midline carcinoma by epigenomic reprogramming</t>
  </si>
  <si>
    <t>GSM586986,GSM586987,</t>
  </si>
  <si>
    <t>TC-797, post NUT siRNA, rep 1,TC-797, post NUT siRNA, rep 2,</t>
  </si>
  <si>
    <t>GSM586984,GSM586985,</t>
  </si>
  <si>
    <t>TC-797, post control siRNA, rep 1,TC-797, post control siRNA, rep 2,</t>
  </si>
  <si>
    <t>17 : 1,322 : 279 : 18,712</t>
  </si>
  <si>
    <t>43 : 1,296 : 402 : 18,589</t>
  </si>
  <si>
    <t>1.11_2.11</t>
  </si>
  <si>
    <t>GSE18668_2.xlsx</t>
  </si>
  <si>
    <t>GSM586996,GSM586997,</t>
  </si>
  <si>
    <t>PER-403, post NUT siRNA, rep 1,PER-403, post NUT siRNA, rep 2,</t>
  </si>
  <si>
    <t>GSM586994,GSM586995,</t>
  </si>
  <si>
    <t>PER-403, post control siRNA, rep 1,PER-403, post control siRNA, rep 2,</t>
  </si>
  <si>
    <t>12 : 1,328 : 223 : 18,778</t>
  </si>
  <si>
    <t>0.42_1.36</t>
  </si>
  <si>
    <t>25 : 1,315 : 324 : 18,677</t>
  </si>
  <si>
    <t>0.73_1.65</t>
  </si>
  <si>
    <t>GSE18721_1.xlsx</t>
  </si>
  <si>
    <t>GSE18721</t>
  </si>
  <si>
    <t>The effects of Hmgb1 depletion on gene expression in human cells</t>
  </si>
  <si>
    <t>GSM464639,GSM464643,</t>
  </si>
  <si>
    <t>KD 500K rep1,KD 500K rep2,</t>
  </si>
  <si>
    <t>GSM464638,GSM464642,</t>
  </si>
  <si>
    <t>Wildtype 500K rep1,Wildtype 500K rep2,</t>
  </si>
  <si>
    <t>16 : 1,371 : 253 : 23,485</t>
  </si>
  <si>
    <t>0.65_1.80</t>
  </si>
  <si>
    <t>8 : 1,379 : 235 : 23,503</t>
  </si>
  <si>
    <t>0.29_1.18</t>
  </si>
  <si>
    <t>GSE18721_2.xlsx</t>
  </si>
  <si>
    <t>GSM464641,GSM464645,</t>
  </si>
  <si>
    <t>KD 5mil rep1,KD 5mil rep2,</t>
  </si>
  <si>
    <t>GSM464640,GSM464644,</t>
  </si>
  <si>
    <t>Wildtype 5mil rep1,Wildtype 5mil rep2,</t>
  </si>
  <si>
    <t>18 : 1,368 : 241 : 23,492</t>
  </si>
  <si>
    <t>0.79_2.08</t>
  </si>
  <si>
    <t>10 : 1,376 : 230 : 23,503</t>
  </si>
  <si>
    <t>0.39_1.40</t>
  </si>
  <si>
    <t>GSE18913_1.xlsx</t>
  </si>
  <si>
    <t>GSE18913</t>
  </si>
  <si>
    <t>siRNA-mediated Egr-3 knockdown in VEGF-treated HUVEC</t>
  </si>
  <si>
    <t>GSM468611,GSM468612,</t>
  </si>
  <si>
    <t>Egr-3 siRNA #1, VEGF 1h #1,Egr-3 siRNA #1, VEGF 1h #2,</t>
  </si>
  <si>
    <t>GSM468609,GSM468610,GSM468622,</t>
  </si>
  <si>
    <t>control, VEGF 1h #1???,control, VEGF 1h #2,control, VEGF 1h #3,</t>
  </si>
  <si>
    <t>20 : 1,320 : 224 : 18,809</t>
  </si>
  <si>
    <t>0.80_2.02</t>
  </si>
  <si>
    <t>18 : 1,322 : 179 : 18,854</t>
  </si>
  <si>
    <t>0.88_2.34</t>
  </si>
  <si>
    <t>GSE18913_2.xlsx</t>
  </si>
  <si>
    <t>GSM468607,GSM468608,</t>
  </si>
  <si>
    <t>Egr-3 siRNA #1, VEGF 0h #2,Egr-3 siRNA #2, VEGF 0h #2,</t>
  </si>
  <si>
    <t>GSM468603,GSM468604,GSM468621,</t>
  </si>
  <si>
    <t>control, VEGF 0h #1???,control, VEGF 0h #2,control, VEGF 0h #3,</t>
  </si>
  <si>
    <t>17 : 1,323 : 155 : 18,878</t>
  </si>
  <si>
    <t>0.95_2.59</t>
  </si>
  <si>
    <t>19 : 1,321 : 145 : 18,888</t>
  </si>
  <si>
    <t>1.16_3.03</t>
  </si>
  <si>
    <t>GSE18913_3.xlsx</t>
  </si>
  <si>
    <t>GSE18913_4.xlsx</t>
  </si>
  <si>
    <t>GSM468613,GSM468614,</t>
  </si>
  <si>
    <t>Egr-3 siRNA #2, VEGF 1h #1???,Egr-3 siRNA #2, VEGF 1h #2,</t>
  </si>
  <si>
    <t>18 : 1,322 : 174 : 18,860</t>
  </si>
  <si>
    <t>0.91_2.41</t>
  </si>
  <si>
    <t>15 : 1,325 : 167 : 18,867</t>
  </si>
  <si>
    <t>0.75_2.18</t>
  </si>
  <si>
    <t>GSE18913_5.xlsx</t>
  </si>
  <si>
    <t>GSM468617,GSM468618,</t>
  </si>
  <si>
    <t>Egr-3 siRNA #1, VEGF 4h #1???,Egr-3 siRNA #1, VEGF 4h #2,</t>
  </si>
  <si>
    <t>GSM468615,GSM468616,GSM468623,</t>
  </si>
  <si>
    <t>control, VEGF 4h #1???,control, VEGF 4h #2,control, VEGF 4h #3???,</t>
  </si>
  <si>
    <t>22 : 1,318 : 250 : 18,784</t>
  </si>
  <si>
    <t>0.81_1.95</t>
  </si>
  <si>
    <t>28 : 1,312 : 212 : 18,822</t>
  </si>
  <si>
    <t>1.27_2.82</t>
  </si>
  <si>
    <t>GSE18913_6.xlsx</t>
  </si>
  <si>
    <t>GSM468619,GSM468620,</t>
  </si>
  <si>
    <t>Egr-3 siRNA #2, VEGF 4h #1,Egr-3 siRNA #2, VEGF 4h #2,</t>
  </si>
  <si>
    <t>13 : 1,327 : 199 : 18,835</t>
  </si>
  <si>
    <t>0.53_1.63</t>
  </si>
  <si>
    <t>19 : 1,321 : 158 : 18,876</t>
  </si>
  <si>
    <t>1.06_2.77</t>
  </si>
  <si>
    <t>GSE18956_1.xlsx</t>
  </si>
  <si>
    <t>GSE18956</t>
  </si>
  <si>
    <t>Genome-wide analysis of human pulmonary artery endothelial cells after knockdown of either BMPRII or beta-catenin</t>
  </si>
  <si>
    <t>GSM469380,GSM469381,GSM469382,GSM469383,</t>
  </si>
  <si>
    <t>HPAEC_beta-catenin_siRNA_24hr_rep1,HPAEC_beta-catenin_siRNA_24hr_rep2,HPAEC_beta-catenin_siRNA_24hr_rep3,HPAEC_beta-catenin_siRNA_24hr_rep4,</t>
  </si>
  <si>
    <t>GSM469376,GSM469377,GSM469378,GSM469379,</t>
  </si>
  <si>
    <t>HPAEC_control_siRNA_24hr_rep1,HPAEC_control_siRNA_24hr_rep2,HPAEC_control_siRNA_24hr_rep3,HPAEC_control_siRNA_24hr_rep4,</t>
  </si>
  <si>
    <t>46 : 1,337 : 619 : 22,980</t>
  </si>
  <si>
    <t>0.94_1.73</t>
  </si>
  <si>
    <t>33 : 1,350 : 537 : 23,062</t>
  </si>
  <si>
    <t>0.74_1.50</t>
  </si>
  <si>
    <t>GSE18956_2.xlsx</t>
  </si>
  <si>
    <t>GSM469384,GSM469385,GSM469386,</t>
  </si>
  <si>
    <t>HPAEC_BMPRII_siRNA_24hr_rep1,HPAEC_BMPRII_siRNA_24hr_rep2,HPAEC_BMPRII_siRNA_24hr_rep3,</t>
  </si>
  <si>
    <t>17 : 1,366 : 323 : 23,276</t>
  </si>
  <si>
    <t>0.55_1.47</t>
  </si>
  <si>
    <t>30 : 1,353 : 292 : 23,307</t>
  </si>
  <si>
    <t>1.21_2.59</t>
  </si>
  <si>
    <t>GSE18973_1.xlsx</t>
  </si>
  <si>
    <t>GSE18973</t>
  </si>
  <si>
    <t>Global expression analysis of HNF4alpha and HNFgamma-mediated transcriptional control</t>
  </si>
  <si>
    <t>GSM446264,GSM446268,GSM446271,</t>
  </si>
  <si>
    <t>HepG2_HNF4a&amp;HNF4g_knockdown1_rep1,HepG2_HNF4a&amp;HNF4g_knockdown1_rep2,HepG2_HNF4a&amp;HNF4g_knockdown1_rep3,</t>
  </si>
  <si>
    <t>GSM446266,GSM446270,GSM446273,</t>
  </si>
  <si>
    <t>HepG2_HNF4a&amp;HNF4g_knockdown_control_rep1,HepG2_HNF4a&amp;HNF4g_knockdown_control_rep2,HepG2_HNF4a&amp;HNF4g_knockdown_control_rep3,</t>
  </si>
  <si>
    <t>77 : 1,263 : 1,153 : 17,881</t>
  </si>
  <si>
    <t>0.75_1.20</t>
  </si>
  <si>
    <t>103 : 1,237 : 1,153 : 17,881</t>
  </si>
  <si>
    <t>1.05_1.59</t>
  </si>
  <si>
    <t>GSE18973_2.xlsx</t>
  </si>
  <si>
    <t>GSM446265,GSM446269,GSM446272,</t>
  </si>
  <si>
    <t>HepG2_HNF4a&amp;HNF4g_knockdown2_rep1,HepG2_HNF4a&amp;HNF4g_knockdown2_rep2,HepG2_HNF4a&amp;HNF4g_knockdown2_rep3,</t>
  </si>
  <si>
    <t>62 : 1,277 : 1,113 : 17,918</t>
  </si>
  <si>
    <t>0.60_1.02</t>
  </si>
  <si>
    <t>94 : 1,245 : 1,010 : 18,021</t>
  </si>
  <si>
    <t>1.08_1.68</t>
  </si>
  <si>
    <t>GSE19114_1.xlsx</t>
  </si>
  <si>
    <t>GSE19114</t>
  </si>
  <si>
    <t>A transcriptional module initiates and maintains mesenchymal transformation in brain tumors [human data]</t>
  </si>
  <si>
    <t>GSM473766,GSM473767,GSM473768,GSM473769,</t>
  </si>
  <si>
    <t>4455416129_E,4455416129_F,4455416129_G,4455416129_H,</t>
  </si>
  <si>
    <t>GSM473762,GSM473763,GSM473764,GSM473765,</t>
  </si>
  <si>
    <t>4455416129_A,4455416129_B,4455416129_C,4455416129_D,</t>
  </si>
  <si>
    <t>90 : 1,300 : 1,671 : 22,098</t>
  </si>
  <si>
    <t>115 : 1,275 : 1,707 : 22,062</t>
  </si>
  <si>
    <t>0.96_1.42</t>
  </si>
  <si>
    <t>GSE19114_10.xlsx</t>
  </si>
  <si>
    <t>GSM473801,GSM473805,GSM473809,</t>
  </si>
  <si>
    <t>4455416124_B,4455416124_F,4455416124_J,</t>
  </si>
  <si>
    <t>GSM473800,GSM473804,GSM473808,</t>
  </si>
  <si>
    <t>4455416124_A,4455416124_E,4455416124_I,</t>
  </si>
  <si>
    <t>12 : 1,378 : 320 : 23,449</t>
  </si>
  <si>
    <t>0.36_1.14</t>
  </si>
  <si>
    <t>24 : 1,366 : 361 : 23,408</t>
  </si>
  <si>
    <t>0.75_1.73</t>
  </si>
  <si>
    <t>GSE19114_11.xlsx</t>
  </si>
  <si>
    <t>GSM473802,GSM473806,GSM473810,</t>
  </si>
  <si>
    <t>4455416124_C,4455416124_G,4455416124_K,</t>
  </si>
  <si>
    <t>20 : 1,370 : 309 : 23,460</t>
  </si>
  <si>
    <t>0.70_1.75</t>
  </si>
  <si>
    <t>24 : 1,366 : 359 : 23,410</t>
  </si>
  <si>
    <t>0.76_1.74</t>
  </si>
  <si>
    <t>GSE19114_12.xlsx</t>
  </si>
  <si>
    <t>GSM473803,GSM473807,GSM473811,</t>
  </si>
  <si>
    <t>4455416124_D,4455416124_H,4455416124_L,</t>
  </si>
  <si>
    <t>18 : 1,372 : 363 : 23,406</t>
  </si>
  <si>
    <t>0.53_1.36</t>
  </si>
  <si>
    <t>30 : 1,360 : 383 : 23,386</t>
  </si>
  <si>
    <t>0.93_1.96</t>
  </si>
  <si>
    <t>GSE19114_13.xlsx</t>
  </si>
  <si>
    <t>GSM473813,GSM473817,GSM473821,</t>
  </si>
  <si>
    <t>4455416126_B,4455416126_F,4455416126_J,</t>
  </si>
  <si>
    <t>GSM473812,GSM473816,GSM473820,</t>
  </si>
  <si>
    <t>4455416126_A,4455416126_E,4455416126_I,</t>
  </si>
  <si>
    <t>12 : 1,378 : 218 : 23,551</t>
  </si>
  <si>
    <t>0.52_1.69</t>
  </si>
  <si>
    <t>25 : 1,365 : 237 : 23,532</t>
  </si>
  <si>
    <t>1.20_2.76</t>
  </si>
  <si>
    <t>GSE19114_14.xlsx</t>
  </si>
  <si>
    <t>GSM473814,GSM473818,GSM473822,</t>
  </si>
  <si>
    <t>4455416126_C,4455416126_G,4455416126_K,</t>
  </si>
  <si>
    <t>14 : 1,376 : 179 : 23,590</t>
  </si>
  <si>
    <t>0.78_2.32</t>
  </si>
  <si>
    <t>12 : 1,378 : 168 : 23,601</t>
  </si>
  <si>
    <t>0.68_2.20</t>
  </si>
  <si>
    <t>GSE19114_15.xlsx</t>
  </si>
  <si>
    <t>GSM473815,GSM473819,GSM473823,</t>
  </si>
  <si>
    <t>4455416126_D,4455416126_H,4455416126_L,</t>
  </si>
  <si>
    <t>11 : 1,379 : 253 : 23,516</t>
  </si>
  <si>
    <t>0.40_1.36</t>
  </si>
  <si>
    <t>23 : 1,367 : 266 : 23,503</t>
  </si>
  <si>
    <t>0.97_2.28</t>
  </si>
  <si>
    <t>GSE19114_16.xlsx</t>
  </si>
  <si>
    <t>GSM473827,GSM473828,GSM473829,</t>
  </si>
  <si>
    <t>4465171114_D,4465171114_E,4465171114_F,</t>
  </si>
  <si>
    <t>GSM473824,GSM473825,GSM473826,</t>
  </si>
  <si>
    <t>4465171114_A,4465171114_B,4465171114_C,</t>
  </si>
  <si>
    <t>30 : 1,360 : 363 : 23,406</t>
  </si>
  <si>
    <t>0.98_2.07</t>
  </si>
  <si>
    <t>21 : 1,369 : 312 : 23,457</t>
  </si>
  <si>
    <t>0.74_1.80</t>
  </si>
  <si>
    <t>GSE19114_17.xlsx</t>
  </si>
  <si>
    <t>GSM473830,GSM473831,GSM473832,</t>
  </si>
  <si>
    <t>4465171114_G,4465171114_H,4465171114_I,</t>
  </si>
  <si>
    <t>69 : 1,321 : 857 : 22,912</t>
  </si>
  <si>
    <t>1.09_1.80</t>
  </si>
  <si>
    <t>67 : 1,323 : 914 : 22,855</t>
  </si>
  <si>
    <t>0.98_1.63</t>
  </si>
  <si>
    <t>GSE19114_18.xlsx</t>
  </si>
  <si>
    <t>GSM473833,GSM473834,GSM473835,</t>
  </si>
  <si>
    <t>4465171114_J,4465171114_K,4465171114_L,</t>
  </si>
  <si>
    <t>60 : 1,330 : 784 : 22,985</t>
  </si>
  <si>
    <t>1.01_1.73</t>
  </si>
  <si>
    <t>60 : 1,330 : 758 : 23,011</t>
  </si>
  <si>
    <t>1.05_1.79</t>
  </si>
  <si>
    <t>GSE19114_2.xlsx</t>
  </si>
  <si>
    <t>GSM473770,GSM473771,GSM473772,GSM473773,</t>
  </si>
  <si>
    <t>4455416129_I,4455416129_J,4455416129_K,4455416129_L,</t>
  </si>
  <si>
    <t>102 : 1,288 : 1,990 : 21,779</t>
  </si>
  <si>
    <t>0.70_1.07</t>
  </si>
  <si>
    <t>190 : 1,200 : 2,017 : 21,752</t>
  </si>
  <si>
    <t>1.46_2.00</t>
  </si>
  <si>
    <t>GSE19114_3.xlsx</t>
  </si>
  <si>
    <t>GSM473777,GSM473778,GSM473779,</t>
  </si>
  <si>
    <t>4481649093_D,4481649093_E,4481649093_F,</t>
  </si>
  <si>
    <t>GSM473774,GSM473775,GSM473776,</t>
  </si>
  <si>
    <t>4481649093_A,4481649093_B,4481649093_C,</t>
  </si>
  <si>
    <t>104 : 1,286 : 1,432 : 22,337</t>
  </si>
  <si>
    <t>1.03_1.55</t>
  </si>
  <si>
    <t>98 : 1,292 : 1,476 : 22,293</t>
  </si>
  <si>
    <t>0.93_1.42</t>
  </si>
  <si>
    <t>GSE19114_4.xlsx</t>
  </si>
  <si>
    <t>GSM473781,GSM473785,</t>
  </si>
  <si>
    <t>4433719042_B,4433719042_F,</t>
  </si>
  <si>
    <t>GSM473780,GSM473784,</t>
  </si>
  <si>
    <t>4433719042_A,4433719042_E,</t>
  </si>
  <si>
    <t>11 : 1,379 : 210 : 23,559</t>
  </si>
  <si>
    <t>0.49_1.64</t>
  </si>
  <si>
    <t>14 : 1,376 : 229 : 23,540</t>
  </si>
  <si>
    <t>0.61_1.80</t>
  </si>
  <si>
    <t>GSE19114_5.xlsx</t>
  </si>
  <si>
    <t>GSM473782,GSM473786,</t>
  </si>
  <si>
    <t>4433719042_C,4433719042_G,</t>
  </si>
  <si>
    <t>7 : 1,383 : 138 : 23,631</t>
  </si>
  <si>
    <t>0.40_1.86</t>
  </si>
  <si>
    <t>8 : 1,382 : 142 : 23,627</t>
  </si>
  <si>
    <t>0.47_1.97</t>
  </si>
  <si>
    <t>GSE19114_6.xlsx</t>
  </si>
  <si>
    <t>GSM473783,GSM473787,</t>
  </si>
  <si>
    <t>4433719042_D,4433719042_H,</t>
  </si>
  <si>
    <t>15 : 1,375 : 162 : 23,607</t>
  </si>
  <si>
    <t>0.93_2.71</t>
  </si>
  <si>
    <t>8 : 1,382 : 164 : 23,605</t>
  </si>
  <si>
    <t>0.41_1.70</t>
  </si>
  <si>
    <t>GSE19114_7.xlsx</t>
  </si>
  <si>
    <t>GSM473789,GSM473793,GSM473797,</t>
  </si>
  <si>
    <t>4433719048_B,4433719048_F,4433719048_J,</t>
  </si>
  <si>
    <t>GSM473788,GSM473792,GSM473796,</t>
  </si>
  <si>
    <t>4433719048_A,4433719048_E,4433719048_I,</t>
  </si>
  <si>
    <t>34 : 1,356 : 574 : 23,195</t>
  </si>
  <si>
    <t>0.71_1.44</t>
  </si>
  <si>
    <t>51 : 1,339 : 411 : 23,358</t>
  </si>
  <si>
    <t>1.61_2.91</t>
  </si>
  <si>
    <t>GSE19114_8.xlsx</t>
  </si>
  <si>
    <t>GSM473790,GSM473794,GSM473798,</t>
  </si>
  <si>
    <t>4433719048_C,4433719048_G,4433719048_K,</t>
  </si>
  <si>
    <t>63 : 1,327 : 817 : 22,952</t>
  </si>
  <si>
    <t>1.03_1.73</t>
  </si>
  <si>
    <t>48 : 1,342 : 756 : 23,013</t>
  </si>
  <si>
    <t>0.81_1.47</t>
  </si>
  <si>
    <t>GSE19114_9.xlsx</t>
  </si>
  <si>
    <t>GSM473791,GSM473795,GSM473799,</t>
  </si>
  <si>
    <t>4433719048_D,4433719048_H,4433719048_L,</t>
  </si>
  <si>
    <t>55 : 1,335 : 914 : 22,855</t>
  </si>
  <si>
    <t>0.78_1.36</t>
  </si>
  <si>
    <t>76 : 1,314 : 921 : 22,848</t>
  </si>
  <si>
    <t>1.13_1.82</t>
  </si>
  <si>
    <t>GSE19146.xlsx</t>
  </si>
  <si>
    <t>GSE19146</t>
  </si>
  <si>
    <t>Genomic targets of the KRAB and scan domain-containing zinc finger protein 263 (ZNF263).</t>
  </si>
  <si>
    <t>GSM474656,GSM474657,GSM474658,</t>
  </si>
  <si>
    <t>Hela_siZNF263_1,Hela_siZNF263_2,Hela_siZNF263_3,</t>
  </si>
  <si>
    <t>GSM474659,GSM474660,GSM474661,</t>
  </si>
  <si>
    <t>Hela_siCONTROL_1,Hela_siCONTROL_2,Hela_siCONTROL_3,</t>
  </si>
  <si>
    <t>11 : 1,280 : 196 : 23,953</t>
  </si>
  <si>
    <t>0.57_1.93</t>
  </si>
  <si>
    <t>9 : 1,282 : 191 : 23,958</t>
  </si>
  <si>
    <t>0.45_1.72</t>
  </si>
  <si>
    <t>GSE19396_1.xlsx</t>
  </si>
  <si>
    <t>GSE19396</t>
  </si>
  <si>
    <t>ETV1 knockdown in GIST cell lines</t>
  </si>
  <si>
    <t>GSM481223,GSM481226,</t>
  </si>
  <si>
    <t>GIST882 ETV1sh1 Rep1,GIST882 ETV1sh1 Rep2,</t>
  </si>
  <si>
    <t>GSM481222,GSM481225,</t>
  </si>
  <si>
    <t>GIST882 shScr Rep1,GIST882 shScr Rep2,</t>
  </si>
  <si>
    <t>11 : 1,379 : 279 : 23,490</t>
  </si>
  <si>
    <t>0.37_1.23</t>
  </si>
  <si>
    <t>23 : 1,367 : 270 : 23,499</t>
  </si>
  <si>
    <t>0.95_2.25</t>
  </si>
  <si>
    <t>GSE19396_2.xlsx</t>
  </si>
  <si>
    <t>GSM481224,GSM481227,</t>
  </si>
  <si>
    <t>GIST882 ETV1sh2 Rep1,GIST882 ETV1sh2 Rep2,</t>
  </si>
  <si>
    <t>14 : 1,376 : 246 : 23,523</t>
  </si>
  <si>
    <t>0.57_1.67</t>
  </si>
  <si>
    <t>23 : 1,367 : 281 : 23,488</t>
  </si>
  <si>
    <t>0.92_2.16</t>
  </si>
  <si>
    <t>GSE19396_3.xlsx</t>
  </si>
  <si>
    <t>GSM481229,GSM481232,</t>
  </si>
  <si>
    <t>GIST48 ETV1sh1 Rep1,GIST48 ETV1sh1 Rep2,</t>
  </si>
  <si>
    <t>GSM481228,GSM481231,</t>
  </si>
  <si>
    <t>GIST48 shScr Rep1,GIST48 shScr Rep2,</t>
  </si>
  <si>
    <t>21 : 1,369 : 296 : 23,473</t>
  </si>
  <si>
    <t>0.78_1.90</t>
  </si>
  <si>
    <t>10 : 1,380 : 250 : 23,519</t>
  </si>
  <si>
    <t>0.36_1.29</t>
  </si>
  <si>
    <t>GSE19396_4.xlsx</t>
  </si>
  <si>
    <t>GSM481231,GSM481233,</t>
  </si>
  <si>
    <t>GIST48 shScr Rep2,GIST48 ETV1sh2 Rep2,</t>
  </si>
  <si>
    <t>6 : 1,384 : 98 : 23,671</t>
  </si>
  <si>
    <t>0.46_2.39</t>
  </si>
  <si>
    <t>7 : 1,383 : 113 : 23,656</t>
  </si>
  <si>
    <t>0.49_2.28</t>
  </si>
  <si>
    <t>GSE19441.xlsx</t>
  </si>
  <si>
    <t>GSE19441</t>
  </si>
  <si>
    <t>Critical role of the hydrogen peroxide-responsive nuclear kinase CK1-alpha-LS in vascular cell activation</t>
  </si>
  <si>
    <t>GSM484495,GSM484497,GSM484499,</t>
  </si>
  <si>
    <t>CASMC_Knockdown_Pair1,CASMC_Knockdown_Pair2,CASMC_Knockdown_Pair3,</t>
  </si>
  <si>
    <t>GSM484494,GSM484496,GSM484498,</t>
  </si>
  <si>
    <t>CASMC_Control_Pair1,CASMC_Control_Pair2,CASMC_Control_Pair3,</t>
  </si>
  <si>
    <t>107 : 1,219 : 944 : 16,802</t>
  </si>
  <si>
    <t>1.27_1.92</t>
  </si>
  <si>
    <t>83 : 1,243 : 808 : 16,938</t>
  </si>
  <si>
    <t>1.11_1.77</t>
  </si>
  <si>
    <t>GSE19670.xlsx</t>
  </si>
  <si>
    <t>GSE19670</t>
  </si>
  <si>
    <t>Expression array analysis of the effects of vitamin D3 and mutp53</t>
  </si>
  <si>
    <t>GSM491112,GSM491113,</t>
  </si>
  <si>
    <t>SKBR3 p53i biological rep1,SKBR3 p53i biological rep2,</t>
  </si>
  <si>
    <t>GSM491107,GSM491108,</t>
  </si>
  <si>
    <t>SKBR3 LacZi nt biological rep1,SKBR3 LacZi nt biological rep2,</t>
  </si>
  <si>
    <t>21 : 1,319 : 235 : 18,799</t>
  </si>
  <si>
    <t>0.81_2.00</t>
  </si>
  <si>
    <t>10 : 1,330 : 170 : 18,864</t>
  </si>
  <si>
    <t>0.44_1.58</t>
  </si>
  <si>
    <t>GSE19672.xlsx</t>
  </si>
  <si>
    <t>GSE19672</t>
  </si>
  <si>
    <t>Effects of MaxiK silencing in corporal smooth muscle cells</t>
  </si>
  <si>
    <t>GSM491168,GSM491169,GSM491170,GSM491171,</t>
  </si>
  <si>
    <t>48h siRNA rep1,48h siRNA rep2,48h siRNA rep3,48h siRNA rep4,</t>
  </si>
  <si>
    <t>GSM491172,GSM491173,GSM491174,</t>
  </si>
  <si>
    <t>untreated rep1,untreated rep2,untreated rep3,</t>
  </si>
  <si>
    <t>7 : 1,333 : 76 : 18,958</t>
  </si>
  <si>
    <t>0.60_2.85</t>
  </si>
  <si>
    <t>7 : 1,333 : 132 : 18,902</t>
  </si>
  <si>
    <t>0.35_1.61</t>
  </si>
  <si>
    <t>GSE19680_1.xlsx</t>
  </si>
  <si>
    <t>GSE19680</t>
  </si>
  <si>
    <t>Identification of miR-125b-2 target genes</t>
  </si>
  <si>
    <t>GSM491364,GSM491365,</t>
  </si>
  <si>
    <t>CMK_anti-miR-125b_exp1,CMK_anti-miR-125b_exp2,</t>
  </si>
  <si>
    <t>GSM491360,GSM491361,</t>
  </si>
  <si>
    <t>CMK_non-silencing_control_exp1,CMK_non-silencing_control_exp2,</t>
  </si>
  <si>
    <t>15 : 1,319 : 154 : 18,791</t>
  </si>
  <si>
    <t>0.81_2.36</t>
  </si>
  <si>
    <t>16 : 1,318 : 225 : 18,720</t>
  </si>
  <si>
    <t>0.61_1.68</t>
  </si>
  <si>
    <t>GSE19680_2.xlsx</t>
  </si>
  <si>
    <t>GSM491362,GSM491363,</t>
  </si>
  <si>
    <t>M07_anti-miR-125b_exp2,M07_anti-miR-125b_exp1,</t>
  </si>
  <si>
    <t>GSM491358,GSM491359,</t>
  </si>
  <si>
    <t>M07_non-silencing_control_exp1,M07_non-silencing_control_exp2,</t>
  </si>
  <si>
    <t>11 : 1,325 : 111 : 18,824</t>
  </si>
  <si>
    <t>0.76_2.62</t>
  </si>
  <si>
    <t>19 : 1,317 : 186 : 18,749</t>
  </si>
  <si>
    <t>0.90_2.34</t>
  </si>
  <si>
    <t>GSE19921_1.xlsx</t>
  </si>
  <si>
    <t>GSE19921</t>
  </si>
  <si>
    <t>Down-regulation of ERBB3 by shRNA in the T47D cell line</t>
  </si>
  <si>
    <t>GSM498032,GSM498033,</t>
  </si>
  <si>
    <t>shEGFP T47D cell line, replicate 1,shEGFP T47D cell line, replicate 2,</t>
  </si>
  <si>
    <t>GSM498030,GSM498031,</t>
  </si>
  <si>
    <t>T47D cell line, replicate 1,T47D cell line, replicate 2,</t>
  </si>
  <si>
    <t>15 : 1,322 : 227 : 18,888</t>
  </si>
  <si>
    <t>0.56_1.60</t>
  </si>
  <si>
    <t>5 : 1,332 : 150 : 18,965</t>
  </si>
  <si>
    <t>0.19_1.16</t>
  </si>
  <si>
    <t>GSE19921_2.xlsx</t>
  </si>
  <si>
    <t>GSM498034,GSM498035,</t>
  </si>
  <si>
    <t>sh2608 (to target ERBB3) T47D cell line, replicate 1,sh2608 (to target ERBB3) T47D cell line, replicate 2,</t>
  </si>
  <si>
    <t>9 : 1,328 : 162 : 18,957</t>
  </si>
  <si>
    <t>0.40_1.56</t>
  </si>
  <si>
    <t>21 : 1,316 : 172 : 18,947</t>
  </si>
  <si>
    <t>1.11_2.77</t>
  </si>
  <si>
    <t>GSE19921_3.xlsx</t>
  </si>
  <si>
    <t>GSM498036,GSM498037,</t>
  </si>
  <si>
    <t>sh3293 (to target ERBB3) T47D cell line, replicate 1,sh3293 (to target ERBB3) T47D cell line, replicate 2,</t>
  </si>
  <si>
    <t>21 : 1,316 : 220 : 18,898</t>
  </si>
  <si>
    <t>0.87_2.15</t>
  </si>
  <si>
    <t>21 : 1,316 : 199 : 18,919</t>
  </si>
  <si>
    <t>GSE19927_1.xlsx</t>
  </si>
  <si>
    <t>GSE19927</t>
  </si>
  <si>
    <t>Transcript and differential exon level changes in T-REx-293 cells after Tat-SF1 depletion</t>
  </si>
  <si>
    <t>GSM498108,GSM498109,GSM498110,</t>
  </si>
  <si>
    <t>Tat-SF1 shRNA A_rep1,Tat-SF1 shRNA A_rep2,Tat-SF1 shRNA A_rep3,</t>
  </si>
  <si>
    <t>GSM498104,GSM498105,GSM498106,</t>
  </si>
  <si>
    <t>GFP shRNA_rep1,GFP shRNA_rep2,GFP shRNA_rep3,</t>
  </si>
  <si>
    <t>238 : 1,145 : 2,678 : 22,379</t>
  </si>
  <si>
    <t>1.50_2.01</t>
  </si>
  <si>
    <t>115 : 1,268 : 1,231 : 23,826</t>
  </si>
  <si>
    <t>1.44_2.14</t>
  </si>
  <si>
    <t>GSE19927_2.xlsx</t>
  </si>
  <si>
    <t>GSM498107,GSM498111,GSM498112,</t>
  </si>
  <si>
    <t>Tat-SF1 shRNA B_rep3,Tat-SF1 shRNA B_rep1,Tat-SF1 shRNA B_rep2,</t>
  </si>
  <si>
    <t>271 : 1,112 : 2,884 : 22,175</t>
  </si>
  <si>
    <t>1.63_2.15</t>
  </si>
  <si>
    <t>139 : 1,244 : 1,330 : 23,729</t>
  </si>
  <si>
    <t>1.66_2.40</t>
  </si>
  <si>
    <t>GSE19927_3.xlsx</t>
  </si>
  <si>
    <t>GSM498102,GSM498103,</t>
  </si>
  <si>
    <t>Empty Vector_rep1,Empty Vector_rep2,</t>
  </si>
  <si>
    <t>78 : 1,305 : 720 : 24,339</t>
  </si>
  <si>
    <t>1.59_2.57</t>
  </si>
  <si>
    <t>87 : 1,296 : 990 : 24,069</t>
  </si>
  <si>
    <t>1.30_2.05</t>
  </si>
  <si>
    <t>GSE19940-GPL5175_1.xlsx</t>
  </si>
  <si>
    <t>GSE19940</t>
  </si>
  <si>
    <t>Human Negative Elongation Factor Activates Transcription and Regulates Alternative Transcription Initiation</t>
  </si>
  <si>
    <t>GSM498261,GSM498262,GSM498263,</t>
  </si>
  <si>
    <t>A_1, gene-level analysis,A_2, gene-level analysis,A_3, gene-level analysis,</t>
  </si>
  <si>
    <t>GSM498258,GSM498259,GSM498260,</t>
  </si>
  <si>
    <t>GL3_1, gene-level analysis,GL3_2, gene-level analysis,GL3_3, gene-level analysis,</t>
  </si>
  <si>
    <t>53 : 1,124 : 402 : 14,608</t>
  </si>
  <si>
    <t>1.28_2.30</t>
  </si>
  <si>
    <t>18 : 1,159 : 201 : 14,809</t>
  </si>
  <si>
    <t>0.70_1.86</t>
  </si>
  <si>
    <t>GSE19940-GPL5175_2.xlsx</t>
  </si>
  <si>
    <t>GSM498264,GSM498265,GSM498266,</t>
  </si>
  <si>
    <t>B_1, gene-level analysis,B_2, gene-level analysis,B_3, gene-level analysis,</t>
  </si>
  <si>
    <t>1 : 1,176 : 45 : 14,965</t>
  </si>
  <si>
    <t>0.04_2.05</t>
  </si>
  <si>
    <t>6 : 1,171 : 36 : 14,974</t>
  </si>
  <si>
    <t>0.90_5.07</t>
  </si>
  <si>
    <t>GSE19940-GPL5175_3.xlsx</t>
  </si>
  <si>
    <t>GSM498267,GSM498268,GSM498269,</t>
  </si>
  <si>
    <t>C_1, gene-level analysis,C_2, gene-level analysis,C_3, gene-level analysis,</t>
  </si>
  <si>
    <t>138 : 1,039 : 1,592 : 13,418</t>
  </si>
  <si>
    <t>0.93_1.35</t>
  </si>
  <si>
    <t>15 : 1,162 : 390 : 14,620</t>
  </si>
  <si>
    <t>0.29_0.81</t>
  </si>
  <si>
    <t>GSE19940-GPL5175_4.xlsx</t>
  </si>
  <si>
    <t>GSM498270,GSM498271,GSM498272,</t>
  </si>
  <si>
    <t>E_1, gene-level analysis,E_2, gene-level analysis,E_3, gene-level analysis,</t>
  </si>
  <si>
    <t>89 : 1,088 : 1,026 : 13,984</t>
  </si>
  <si>
    <t>0.89_1.40</t>
  </si>
  <si>
    <t>54 : 1,123 : 473 : 14,537</t>
  </si>
  <si>
    <t>1.11_1.97</t>
  </si>
  <si>
    <t>GSE19940-GPL5188_1.xlsx</t>
  </si>
  <si>
    <t>GSM498246,GSM498247,GSM498248,</t>
  </si>
  <si>
    <t>A_1, exon-level analysis,A_2, exon-level analysis,A_3, exon-level analysis,</t>
  </si>
  <si>
    <t>GSM498243,GSM498244,GSM498245,</t>
  </si>
  <si>
    <t>GL3_1, exon-level analysis,GL3_2, exon-level analysis,GL3_3, exon-level analysis,</t>
  </si>
  <si>
    <t>274 : 1,052 : 2,629 : 15,117</t>
  </si>
  <si>
    <t>1.30_1.72</t>
  </si>
  <si>
    <t>154 : 1,172 : 1,493 : 16,253</t>
  </si>
  <si>
    <t>1.20_1.71</t>
  </si>
  <si>
    <t>GSE19940-GPL5188_2.xlsx</t>
  </si>
  <si>
    <t>GSM498249,GSM498250,GSM498251,</t>
  </si>
  <si>
    <t>B_1, exon-level analysis,B_2, exon-level analysis,B_3, exon-level analysis,</t>
  </si>
  <si>
    <t>138 : 1,188 : 1,003 : 16,743</t>
  </si>
  <si>
    <t>1.61_2.34</t>
  </si>
  <si>
    <t>98 : 1,228 : 754 : 16,992</t>
  </si>
  <si>
    <t>1.45_2.24</t>
  </si>
  <si>
    <t>GSE19940-GPL5188_3.xlsx</t>
  </si>
  <si>
    <t>GSM498252,GSM498253,GSM498254,</t>
  </si>
  <si>
    <t>C_1, exon-level analysis,C_2, exon-level analysis,C_3, exon-level analysis,</t>
  </si>
  <si>
    <t>402 : 924 : 4,368 : 13,378</t>
  </si>
  <si>
    <t>1.18_1.51</t>
  </si>
  <si>
    <t>196 : 1,130 : 2,120 : 15,626</t>
  </si>
  <si>
    <t>1.09_1.50</t>
  </si>
  <si>
    <t>GSE19940-GPL5188_4.xlsx</t>
  </si>
  <si>
    <t>GSM498255,GSM498256,GSM498257,</t>
  </si>
  <si>
    <t>E_1, exon-level analysis,E_2, exon-level analysis,E_3, exon-level analysis,</t>
  </si>
  <si>
    <t>263 : 1,063 : 3,023 : 14,723</t>
  </si>
  <si>
    <t>1.05_1.39</t>
  </si>
  <si>
    <t>224 : 1,102 : 2,141 : 15,605</t>
  </si>
  <si>
    <t>1.27_1.72</t>
  </si>
  <si>
    <t>GSE20037-GPL570.xlsx</t>
  </si>
  <si>
    <t>GSE20037</t>
  </si>
  <si>
    <t>cdr2 siRNA knockdown during passage through mitosis: HeLa cells, Rat1 wild type and c-myc null cells</t>
  </si>
  <si>
    <t>GSM501128,GSM501129,GSM501130,</t>
  </si>
  <si>
    <t>Cdr2 siRNA-HeLa-1,Cdr2 siRNA-HeLa-2,Cdr2 siRNA-HeLa-3,</t>
  </si>
  <si>
    <t>GSM501125,GSM501126,GSM501127,</t>
  </si>
  <si>
    <t>Control siRNA-HeLa-1,Control siRNA-HeLa-2,Control siRNA-HeLa-3,</t>
  </si>
  <si>
    <t>26 : 1,314 : 392 : 18,642</t>
  </si>
  <si>
    <t>0.63_1.40</t>
  </si>
  <si>
    <t>34 : 1,306 : 376 : 18,658</t>
  </si>
  <si>
    <t>0.91_1.84</t>
  </si>
  <si>
    <t>GSE20081_1.xlsx</t>
  </si>
  <si>
    <t>GSE20081</t>
  </si>
  <si>
    <t>Expression Profiling Reveals Unexpected Targets and Functions of the Human Steroid Receptor RNA Activator (SRA) Gene</t>
  </si>
  <si>
    <t>GSM503890,GSM503891,GSM503892,</t>
  </si>
  <si>
    <t>MCF-7_minus E2_SRA siRNA_rep1,MCF-7_minus E2_SRA siRNA_rep2,MCF-7_minus E2_SRA siRNA_rep3,</t>
  </si>
  <si>
    <t>GSM503884,GSM503885,GSM503886,</t>
  </si>
  <si>
    <t>MCF-7_minus E2_NT siRNA_rep1,MCF-7_minus E2_NT siRNA_rep2,MCF-7_minus E2_NT siRNA_rep3,</t>
  </si>
  <si>
    <t>31 : 1,309 : 368 : 18,666</t>
  </si>
  <si>
    <t>0.83_1.74</t>
  </si>
  <si>
    <t>35 : 1,305 : 459 : 18,575</t>
  </si>
  <si>
    <t>0.77_1.54</t>
  </si>
  <si>
    <t>GSE20081_2.xlsx</t>
  </si>
  <si>
    <t>GSM503893,GSM503894,GSM503895,</t>
  </si>
  <si>
    <t>MCF-7_10 nM E2 (6h)_SRA siRNA_rep1,MCF-7_10 nM E2 (6h)_SRA siRNA_rep2,MCF-7_10 nM E2 (6h)_SRA siRNA_rep3,</t>
  </si>
  <si>
    <t>GSM503887,GSM503888,GSM503889,</t>
  </si>
  <si>
    <t>MCF-7_10 nM E2 (6h)_NT siRNA_rep1,MCF-7_10 nM E2 (6h)_NT siRNA_rep2,MCF-7_10 nM E2 (6h)_NT siRNA_rep3,</t>
  </si>
  <si>
    <t>27 : 1,313 : 268 : 18,766</t>
  </si>
  <si>
    <t>0.97_2.15</t>
  </si>
  <si>
    <t>27 : 1,313 : 422 : 18,612</t>
  </si>
  <si>
    <t>0.61_1.34</t>
  </si>
  <si>
    <t>GSE20081_3.xlsx</t>
  </si>
  <si>
    <t>GSM503881,GSM503882,GSM503883,</t>
  </si>
  <si>
    <t>HeLa_SRA siRNA_rep1,HeLa_SRA siRNA_rep2,HeLa_SRA siRNA_rep3,</t>
  </si>
  <si>
    <t>GSM503878,GSM503879,GSM503880,</t>
  </si>
  <si>
    <t>HeLa_NT siRNA_rep1,HeLa_NT siRNA_rep2,HeLa_NT siRNA_rep3,</t>
  </si>
  <si>
    <t>74 : 1,266 : 855 : 18,179</t>
  </si>
  <si>
    <t>0.97_1.59</t>
  </si>
  <si>
    <t>29 : 1,311 : 497 : 18,537</t>
  </si>
  <si>
    <t>0.57_1.20</t>
  </si>
  <si>
    <t>GSE20115_1.xlsx</t>
  </si>
  <si>
    <t>GSE20115</t>
  </si>
  <si>
    <t>Expression analysis of Reh cells after transfection with shRNA targeting CBFA2T3 and/or constitutively active IKK??(EE)</t>
  </si>
  <si>
    <t>GSM502629,GSM502630,</t>
  </si>
  <si>
    <t>Reh_shCBFA2T3_1,Reh_shCBFA2T3_2,</t>
  </si>
  <si>
    <t>GSM502627,GSM502628,</t>
  </si>
  <si>
    <t>Reh_mock1,Reh_mock2,</t>
  </si>
  <si>
    <t>22 : 1,318 : 231 : 18,803</t>
  </si>
  <si>
    <t>0.87_2.11</t>
  </si>
  <si>
    <t>25 : 1,315 : 270 : 18,764</t>
  </si>
  <si>
    <t>0.87_2.00</t>
  </si>
  <si>
    <t>GSE20115_2.xlsx</t>
  </si>
  <si>
    <t>GSM502631,GSM502632,</t>
  </si>
  <si>
    <t>Reh_IKK_1,Reh_IKK_2,</t>
  </si>
  <si>
    <t>18 : 1,322 : 313 : 18,721</t>
  </si>
  <si>
    <t>0.50_1.31</t>
  </si>
  <si>
    <t>16 : 1,324 : 224 : 18,810</t>
  </si>
  <si>
    <t>0.61_1.69</t>
  </si>
  <si>
    <t>GSE20115_3.xlsx</t>
  </si>
  <si>
    <t>GSM502633,GSM502634,</t>
  </si>
  <si>
    <t>Reh_shCBFA2T3_IKK_1,Reh_shCBFA2T3_IKK_2,</t>
  </si>
  <si>
    <t>22 : 1,318 : 320 : 18,712</t>
  </si>
  <si>
    <t>0.63_1.51</t>
  </si>
  <si>
    <t>11 : 1,329 : 237 : 18,795</t>
  </si>
  <si>
    <t>0.36_1.20</t>
  </si>
  <si>
    <t>GSE20193.xlsx</t>
  </si>
  <si>
    <t>GSE20193</t>
  </si>
  <si>
    <t>Altered levels of MOF and decreased levels of H4K16ac correlate with a defective DNA damage response (DDR).</t>
  </si>
  <si>
    <t>GSM506613,GSM506618,GSM506619,</t>
  </si>
  <si>
    <t>Knock Down_replicate1,Knock Down_replicate2,Knock Down_replicate3,</t>
  </si>
  <si>
    <t>GSM506611,GSM506614,GSM506615,</t>
  </si>
  <si>
    <t>Wild type_replicate1,Wild type_replicate2,Wild type_replicate3,</t>
  </si>
  <si>
    <t>86 : 1,254 : 897 : 18,137</t>
  </si>
  <si>
    <t>1.10_1.74</t>
  </si>
  <si>
    <t>43 : 1,297 : 773 : 18,261</t>
  </si>
  <si>
    <t>0.57_1.07</t>
  </si>
  <si>
    <t>GSE20286_1.xlsx</t>
  </si>
  <si>
    <t>GSE20286</t>
  </si>
  <si>
    <t>Gene expression profiles induced by knockdown and overexpression of p63 variants in MCF-10A mammary epithelial cell line</t>
  </si>
  <si>
    <t>GSM508614,GSM508615,</t>
  </si>
  <si>
    <t>MCF-10A cells, shRNA targetting p63 DBD, biological rep1,MCF-10A cells, shRNA targetting p63 DBD, biological rep2,</t>
  </si>
  <si>
    <t>GSM508612,GSM508613,</t>
  </si>
  <si>
    <t>MCF-10A cells, shRNA vector control, biological rep1,MCF-10A cells, shRNA vector control, biological rep2,</t>
  </si>
  <si>
    <t>19 : 900 : 290 : 11,849</t>
  </si>
  <si>
    <t>0.54_1.38</t>
  </si>
  <si>
    <t>18 : 901 : 259 : 11,880</t>
  </si>
  <si>
    <t>0.57_1.48</t>
  </si>
  <si>
    <t>GSE20286_2.xlsx</t>
  </si>
  <si>
    <t>GSM508616,GSM508617,</t>
  </si>
  <si>
    <t>MCF-10A cells, shRNA targetting p63 TA, biological rep1,MCF-10A cells, shRNA targetting p63 TA, biological rep2,</t>
  </si>
  <si>
    <t>6 : 913 : 149 : 11,990</t>
  </si>
  <si>
    <t>0.23_1.20</t>
  </si>
  <si>
    <t>17 : 902 : 144 : 11,995</t>
  </si>
  <si>
    <t>0.95_2.61</t>
  </si>
  <si>
    <t>GSE20381.xlsx</t>
  </si>
  <si>
    <t>GSE20381</t>
  </si>
  <si>
    <t>Regulation of Angiogenesis by EZH2</t>
  </si>
  <si>
    <t>GSM510412,GSM510413,GSM510414,GSM510415,</t>
  </si>
  <si>
    <t>EZH2siRNA_1,EZH2siRNA_2,EZH2siRNA_3,EZH2siRNA_4,</t>
  </si>
  <si>
    <t>GSM510408,GSM510409,GSM510410,GSM510411,</t>
  </si>
  <si>
    <t>CTLsiRNA_1,CTLsiRNA_2,CTLsiRNA_3,CTLsiRNA_4,</t>
  </si>
  <si>
    <t>32 : 1,358 : 452 : 23,317</t>
  </si>
  <si>
    <t>0.85_1.75</t>
  </si>
  <si>
    <t>16 : 1,374 : 394 : 23,375</t>
  </si>
  <si>
    <t>0.42_1.14</t>
  </si>
  <si>
    <t>GSE20546_1.xlsx</t>
  </si>
  <si>
    <t>GSE20546</t>
  </si>
  <si>
    <t>TAL1 knock down</t>
  </si>
  <si>
    <t>GSM516224,GSM516226,GSM516228,GSM516230,GSM516232,GSM516234,</t>
  </si>
  <si>
    <t>Jurkat +Dox rep1,Jurkat +Dox rep2,Jurkat +Dox rep3,Jurkat +Dox rep4,Jurkat +Dox rep5,Jurkat +Dox rep6,</t>
  </si>
  <si>
    <t>GSM516223,GSM516225,GSM516227,GSM516229,GSM516231,GSM516233,</t>
  </si>
  <si>
    <t>Jurkat rep1,Jurkat rep2,Jurkat rep3,Jurkat rep4,Jurkat rep5,Jurkat rep6,</t>
  </si>
  <si>
    <t>50 : 1,287 : 881 : 18,238</t>
  </si>
  <si>
    <t>0.60_1.08</t>
  </si>
  <si>
    <t>54 : 1,283 : 858 : 18,261</t>
  </si>
  <si>
    <t>0.68_1.19</t>
  </si>
  <si>
    <t>GSE20546_2.xlsx</t>
  </si>
  <si>
    <t>GSM516235,GSM516237,GSM516239,GSM516241,</t>
  </si>
  <si>
    <t>human erythroid progenitors TAL1 knock down replicate 1,human erythroid progenitors TAL1 knock down replicate 2,human erythroid progenitors TAL1 knock down replicate 3,human erythroid progenitors TAL1 knock down replicate 4,</t>
  </si>
  <si>
    <t>GSM516236,GSM516238,GSM516240,GSM516242,</t>
  </si>
  <si>
    <t>human erythroid progenitors scramble replicate 1,human erythroid progenitors scramble replicate 2,human erythroid progenitors scramble replicate 3,human erythroid progenitors scramble replicate 4,</t>
  </si>
  <si>
    <t>35 : 1,302 : 505 : 18,614</t>
  </si>
  <si>
    <t>0.70_1.40</t>
  </si>
  <si>
    <t>16 : 1,321 : 216 : 18,903</t>
  </si>
  <si>
    <t>0.64_1.77</t>
  </si>
  <si>
    <t>GSE20563.xlsx</t>
  </si>
  <si>
    <t>GSE20563</t>
  </si>
  <si>
    <t>Knockdown of PHF8 in HeLa S3 cells</t>
  </si>
  <si>
    <t>GSM516671,GSM516672,GSM516673,</t>
  </si>
  <si>
    <t>HeLa_PHF8-knockdown_rep1,HeLa_PHF8-knockdown_rep2,HeLa_PHF8-knockdown_rep3,</t>
  </si>
  <si>
    <t>GSM516674,GSM516675,GSM516676,</t>
  </si>
  <si>
    <t>HeLa_PHF8-knockdown_dyeswap_rep1,HeLa_PHF8-knockdown_dyeswap_rep2,HeLa_PHF8-knockdown_dyeswap_rep3,</t>
  </si>
  <si>
    <t>95 : 1,240 : 1,219 : 17,195</t>
  </si>
  <si>
    <t>0.87_1.34</t>
  </si>
  <si>
    <t>23 : 1,312 : 1,273 : 17,141</t>
  </si>
  <si>
    <t>0.16_0.36</t>
  </si>
  <si>
    <t>GSE20622_1.xlsx</t>
  </si>
  <si>
    <t>GSE20622</t>
  </si>
  <si>
    <t>Expression data from Che-1 (AATF) depleted SKBR3 and MDA-468 cell lines</t>
  </si>
  <si>
    <t>GSM517978,GSM517979,</t>
  </si>
  <si>
    <t>SKBR3 siChe-1 rep1,SKBR3 siChe-1 rep2,</t>
  </si>
  <si>
    <t>GSM517975,GSM517976,</t>
  </si>
  <si>
    <t>SKBR3 control rep1,SKBR3 control rep2,</t>
  </si>
  <si>
    <t>8 : 1,329 : 142 : 18,975</t>
  </si>
  <si>
    <t>0.39_1.64</t>
  </si>
  <si>
    <t>6 : 1,331 : 135 : 18,982</t>
  </si>
  <si>
    <t>0.28_1.44</t>
  </si>
  <si>
    <t>GSE20622_2.xlsx</t>
  </si>
  <si>
    <t>GSM518020,GSM518021,GSM518022,</t>
  </si>
  <si>
    <t>MDA siChe-1 rep1,MDA siChe-1 rep2,MDA siChe-1 rep3,</t>
  </si>
  <si>
    <t>GSM518017,GSM518018,GSM518019,</t>
  </si>
  <si>
    <t>MDA control rep1,MDA control rep2,MDA control rep3,</t>
  </si>
  <si>
    <t>106 : 1,231 : 1,354 : 17,765</t>
  </si>
  <si>
    <t>0.92_1.39</t>
  </si>
  <si>
    <t>82 : 1,255 : 1,118 : 18,001</t>
  </si>
  <si>
    <t>0.83_1.33</t>
  </si>
  <si>
    <t>GSE20706.xlsx</t>
  </si>
  <si>
    <t>GSE20706</t>
  </si>
  <si>
    <t>Interleukin-4 and interleukin-13 cytokines effect on epidermal keratinocytes</t>
  </si>
  <si>
    <t>GSM519689,GSM519690,GSM519691,</t>
  </si>
  <si>
    <t>NHEK_DUOX1-siRNA-IL-4/IL-13_1,NHEK_DUOX1-siRNA-IL-4/IL-13_2,NHEK_DUOX1-siRNA-IL-4/IL-13_3,</t>
  </si>
  <si>
    <t>GSM519686,GSM519687,GSM519688,</t>
  </si>
  <si>
    <t>NHEK_IL-4/IL-13-treatment_1,NHEK_IL-4/IL-13-treatment_2,NHEK_IL-4/IL-13-treatment_3,</t>
  </si>
  <si>
    <t>110 : 1,099 : 1,486 : 15,834</t>
  </si>
  <si>
    <t>0.87_1.31</t>
  </si>
  <si>
    <t>91 : 1,118 : 1,555 : 15,765</t>
  </si>
  <si>
    <t>0.66_1.03</t>
  </si>
  <si>
    <t>GSE20753-GPL6480.xlsx</t>
  </si>
  <si>
    <t>GSE20753</t>
  </si>
  <si>
    <t>PHF8 targets histone methylation and RNA polymerase II to activate transcription</t>
  </si>
  <si>
    <t>GSE20914.xlsx</t>
  </si>
  <si>
    <t>GSE20914</t>
  </si>
  <si>
    <t>Expression of HCT116 cells transfected with CD44 siRNAs relative to that of HCT116 cells transfected with a control siRNA</t>
  </si>
  <si>
    <t>GSM523219,GSM523220,</t>
  </si>
  <si>
    <t>CD44 siRNA, 1,CD44 siRNA, 2,</t>
  </si>
  <si>
    <t>GSM523217,GSM523218,</t>
  </si>
  <si>
    <t>Control siRNA, 1,Control siRNA, 2,</t>
  </si>
  <si>
    <t>13 : 1,322 : 394 : 18,020</t>
  </si>
  <si>
    <t>0.26_0.78</t>
  </si>
  <si>
    <t>21 : 1,314 : 259 : 18,155</t>
  </si>
  <si>
    <t>0.72_1.75</t>
  </si>
  <si>
    <t>GSE21135_1.xlsx</t>
  </si>
  <si>
    <t>GSE21135</t>
  </si>
  <si>
    <t>OCT4 Knockdown in human embryonic stem cells</t>
  </si>
  <si>
    <t>GSM528604,GSM528614,GSM528610,</t>
  </si>
  <si>
    <t>OCT4 shRNA_3 Days knockdown_rep1,OCT4 shRNA_3 Days knockdown_rep2,OCT4 shRNA_3 Days knockdown_rep3,</t>
  </si>
  <si>
    <t>GSM528603,GSM528613,GSM528609,</t>
  </si>
  <si>
    <t>Luciferase shRNA_3 Days knockdown_rep1,Luciferase shRNA_3 Days knockdown_rep2,Luciferase shRNA_3 Days knockdown_rep3,</t>
  </si>
  <si>
    <t>52 : 1,338 : 801 : 22,968</t>
  </si>
  <si>
    <t>0.84_1.48</t>
  </si>
  <si>
    <t>96 : 1,294 : 1,083 : 22,686</t>
  </si>
  <si>
    <t>1.25_1.93</t>
  </si>
  <si>
    <t>GSE21135_2.xlsx</t>
  </si>
  <si>
    <t>GSM528608,GSM528606,GSM528612,</t>
  </si>
  <si>
    <t>OCT4 shRNA_2 Days knockdown_rep1,OCT4 shRNA_2 Days knockdown_rep2,OCT4 shRNA_2 Days knockdown_rep3,</t>
  </si>
  <si>
    <t>GSM528607,GSM528605,GSM528611,</t>
  </si>
  <si>
    <t>Luciferase shRNA_2 Days knockdown_rep1,Luciferase shRNA_2 Days knockdown_rep2,Luciferase shRNA_2 Days knockdown_rep3,</t>
  </si>
  <si>
    <t>15 : 1,375 : 327 : 23,442</t>
  </si>
  <si>
    <t>0.46_1.32</t>
  </si>
  <si>
    <t>37 : 1,353 : 395 : 23,374</t>
  </si>
  <si>
    <t>1.15_2.28</t>
  </si>
  <si>
    <t>GSE21201.xlsx</t>
  </si>
  <si>
    <t>GSE21201</t>
  </si>
  <si>
    <t>CpG islands recruit a histone H3 lysine 36 demethylase [Agilent data]</t>
  </si>
  <si>
    <t>GSM530256,GSM530257,</t>
  </si>
  <si>
    <t>RNAi_rep1,RNAi_rep2,</t>
  </si>
  <si>
    <t>GSM530254,GSM530255,</t>
  </si>
  <si>
    <t>LMP_rep1,LMP_rep2,</t>
  </si>
  <si>
    <t>19 : 1,316 : 350 : 18,064</t>
  </si>
  <si>
    <t>0.47_1.19</t>
  </si>
  <si>
    <t>15 : 1,320 : 93 : 18,321</t>
  </si>
  <si>
    <t>1.29_3.87</t>
  </si>
  <si>
    <t>GSE21371.xlsx</t>
  </si>
  <si>
    <t>GSE21371</t>
  </si>
  <si>
    <t>Tumor Suppressor Role for the c-Myb Oncogene in Luminal Breast Cancer</t>
  </si>
  <si>
    <t>GSM533651,GSM533652,GSM533653,GSM533654,</t>
  </si>
  <si>
    <t>MCF-7, shMYB,MCF-7, shMYB Bio-rep,MCF-7, shMYB Bio-rep 1, rep,MCF-7, shMYB Bio-rep 2,</t>
  </si>
  <si>
    <t>GSM533645,GSM533646,GSM533647,</t>
  </si>
  <si>
    <t>MCF-7 GFP shRNA,MCF-7 GFP shRNA_bio rep,MCF-7 GFP shRNA_bio rep-2,</t>
  </si>
  <si>
    <t>44 : 1,193 : 801 : 16,306</t>
  </si>
  <si>
    <t>0.55_1.02</t>
  </si>
  <si>
    <t>87 : 1,150 : 700 : 16,407</t>
  </si>
  <si>
    <t>1.41_2.23</t>
  </si>
  <si>
    <t>GSE21547.xlsx</t>
  </si>
  <si>
    <t>GSE21547</t>
  </si>
  <si>
    <t>Angio-modulation in endothelial cells: an unexpected role of desmoglein-2 in regulating actin dynamics and its relevance to angiogenesis deregulation in systemic sclerosis</t>
  </si>
  <si>
    <t>GSM538457,GSM538458,GSM538459,</t>
  </si>
  <si>
    <t>DSG2 silenced microvascular endothelial cells from healthy subject 1,DSG2 silenced microvascular endothelial cells from healthy subject 2,DSG2 silenced microvascular endothelial cells from healthy subject 3,</t>
  </si>
  <si>
    <t>GSM538454,GSM538455,GSM538456,</t>
  </si>
  <si>
    <t>Microvascular endothelial cells from healthy subject 1,Microvascular endothelial cells from healthy subject 2,Microvascular endothelial cells from healthy subject 3,</t>
  </si>
  <si>
    <t>20 : 1,320 : 280 : 18,754</t>
  </si>
  <si>
    <t>0.64_1.60</t>
  </si>
  <si>
    <t>28 : 1,312 : 248 : 18,786</t>
  </si>
  <si>
    <t>1.09_2.40</t>
  </si>
  <si>
    <t>GSE21555.xlsx</t>
  </si>
  <si>
    <t>GSE21555</t>
  </si>
  <si>
    <t>The mental retardation gene PHF8 mediates histone H4K20/H3K9 demethylation and regulates zebrafish brain apoptosis and craniofacial development: expression analysis</t>
  </si>
  <si>
    <t>GSM538631,GSM538632,GSM538635,GSM538636,GSM538639,GSM538640,</t>
  </si>
  <si>
    <t>PHF8 RNAi1-1,PHF8 RNAi1-2,PHF8 RNAi1-3,PHF8 RNAi1-4,PHF8 RNAi1-5,PHF8 RNAi1-6,</t>
  </si>
  <si>
    <t>GSM538629,GSM538630,GSM538633,GSM538634,GSM538637,GSM538638,</t>
  </si>
  <si>
    <t>Control RNAi1-1,Control RNAi1-2,Control RNAi1-3,Control RNAi1-4,Control RNAi1-5,Control RNAi1-6,</t>
  </si>
  <si>
    <t>23 : 1,224 : 341 : 14,004</t>
  </si>
  <si>
    <t>0.50_1.18</t>
  </si>
  <si>
    <t>23 : 1,224 : 216 : 14,129</t>
  </si>
  <si>
    <t>0.80_1.90</t>
  </si>
  <si>
    <t>GSE21561.xlsx</t>
  </si>
  <si>
    <t>GSE21561</t>
  </si>
  <si>
    <t>Gene expression analysis of CBFbeta knockdown PPC1 cells</t>
  </si>
  <si>
    <t>GSM538673,GSM538674,GSM538675,</t>
  </si>
  <si>
    <t>PPC1_CBFbeta shRNA replicate 1,PPC1_CBFbeta shRNA replicate 2,PPC1_CBFbeta shRNA replicate 3,</t>
  </si>
  <si>
    <t>GSM538670,GSM538671,GSM538672,</t>
  </si>
  <si>
    <t>PPC1_non-target shRNA_replicate 1,PPC1_non-target shRNA_replicate 2,PPC1_non-target shRNA_replicate 3,</t>
  </si>
  <si>
    <t>12 : 1,323 : 113 : 18,272</t>
  </si>
  <si>
    <t>0.81_2.67</t>
  </si>
  <si>
    <t>15 : 1,320 : 248 : 18,137</t>
  </si>
  <si>
    <t>0.49_1.40</t>
  </si>
  <si>
    <t>GSE21574_1.xlsx</t>
  </si>
  <si>
    <t>GSE21574</t>
  </si>
  <si>
    <t>Transcriptome-wide identification of RNA-binding protein and microRNA target sites by PAR-CLIP: QKI data</t>
  </si>
  <si>
    <t>GSM538800,GSM538801,</t>
  </si>
  <si>
    <t>HEK 293 cells expressing FLAG/HA-tagged QKI, siRNA set A transfected, replicate 1,HEK 293 cells expressing FLAG/HA-tagged QKI, siRNA set A transfected, replicate 2,</t>
  </si>
  <si>
    <t>GSM538798,GSM538799,</t>
  </si>
  <si>
    <t>HEK 293 cells expressing FLAG/HA-tagged QKI, mock-transfected, replicate 1,HEK 293 cells expressing FLAG/HA-tagged QKI, mock-transfected, replicate 2,</t>
  </si>
  <si>
    <t>34 : 979 : 414 : 14,256</t>
  </si>
  <si>
    <t>0.84_1.71</t>
  </si>
  <si>
    <t>21 : 992 : 448 : 14,222</t>
  </si>
  <si>
    <t>0.43_1.05</t>
  </si>
  <si>
    <t>GSE21574_2.xlsx</t>
  </si>
  <si>
    <t>GSM538802,GSM538803,</t>
  </si>
  <si>
    <t>HEK 293 cells expressing FLAG/HA-tagged QKI, siRNA set B transfected, replicate 1,HEK 293 cells expressing FLAG/HA-tagged QKI, siRNA set B transfected, replicate 2,</t>
  </si>
  <si>
    <t>24 : 1,011 : 297 : 14,645</t>
  </si>
  <si>
    <t>0.77_1.78</t>
  </si>
  <si>
    <t>24 : 1,011 : 325 : 14,617</t>
  </si>
  <si>
    <t>0.70_1.62</t>
  </si>
  <si>
    <t>GSE21575.xlsx</t>
  </si>
  <si>
    <t>GSE21575</t>
  </si>
  <si>
    <t>Transcriptome-wide identification of RNA-binding protein and microRNA target sites by PAR-CLIP: IGF2BP data</t>
  </si>
  <si>
    <t>GSM538806,GSM538807,</t>
  </si>
  <si>
    <t>HEK 293 cells expressing FLAG/HA-tagged IGF2BP1, siRNA-transfected, replicate 1,HEK 293 cells expressing FLAG/HA-tagged IGF2BP1, siRNA-transfected, replicate 2,</t>
  </si>
  <si>
    <t>GSM538804,GSM538805,</t>
  </si>
  <si>
    <t>HEK 293 cells expressing FLAG/HA-tagged IGF2BP1, mock-transfected, replicate 1,HEK 293 cells expressing FLAG/HA-tagged IGF2BP1, mock-transfected, replicate 2,</t>
  </si>
  <si>
    <t>44 : 998 : 431 : 14,630</t>
  </si>
  <si>
    <t>1.09_2.05</t>
  </si>
  <si>
    <t>33 : 1,009 : 465 : 14,596</t>
  </si>
  <si>
    <t>0.72_1.47</t>
  </si>
  <si>
    <t>GSE21577.xlsx</t>
  </si>
  <si>
    <t>GSE21577</t>
  </si>
  <si>
    <t>Transcriptome-wide identification of RNA-binding protein and microRNA target sites by PAR-CLIP: miRNA inhibition data</t>
  </si>
  <si>
    <t>GSM538820,GSM538821,</t>
  </si>
  <si>
    <t>HEK 293 cells, top 25 miRNAs inhibited, siRNA-transfected, replicate 1,HEK 293 cells, top 25 miRNAs inhibited, siRNA-transfected, replicate 2,</t>
  </si>
  <si>
    <t>GSM538818,GSM538819,</t>
  </si>
  <si>
    <t>HEK 293 cells, mock-transfected, replicate 1,HEK 293 cells, mock-transfected, replicate 2,</t>
  </si>
  <si>
    <t>15 : 910 : 209 : 13,492</t>
  </si>
  <si>
    <t>0.63_1.80</t>
  </si>
  <si>
    <t>25 : 900 : 248 : 13,453</t>
  </si>
  <si>
    <t>0.99_2.29</t>
  </si>
  <si>
    <t>GSE21751.xlsx</t>
  </si>
  <si>
    <t>GSE21751</t>
  </si>
  <si>
    <t>Gene expression following CDK9 silencing</t>
  </si>
  <si>
    <t>GSM542327,GSM542328,GSM542329,GSM542330,</t>
  </si>
  <si>
    <t>CDK9 Knock Down1,CDK9 Knock Down2,CDK9 Knock Down3,CDK9 Knock Down4,</t>
  </si>
  <si>
    <t>GSM542331,GSM542332,GSM542333,GSM542334,</t>
  </si>
  <si>
    <t>Nonspecific siRNA1,Nonspecific siRNA2,Nonspecific siRNA3,Nonspecific siRNA4,</t>
  </si>
  <si>
    <t>52 : 1,285 : 821 : 18,298</t>
  </si>
  <si>
    <t>0.68_1.20</t>
  </si>
  <si>
    <t>59 : 1,278 : 716 : 18,403</t>
  </si>
  <si>
    <t>0.90_1.56</t>
  </si>
  <si>
    <t>GSE21886_1.xlsx</t>
  </si>
  <si>
    <t>GSE21886</t>
  </si>
  <si>
    <t>Identification of genes differentially expressed between control and SMILE siRNA transfected HeLa cells</t>
  </si>
  <si>
    <t>GSM544226,GSM544227,GSM544228,</t>
  </si>
  <si>
    <t>HeLa_siSMILE_PMA_s10,HeLa_siSMILE_PMA_s11,HeLa_siSMILE_PMA_s12,</t>
  </si>
  <si>
    <t>GSM544223,GSM544224,GSM544225,</t>
  </si>
  <si>
    <t>HeLa_siCtrl_PMA_s07,HeLa_siCtrl_PMA_s08,HeLa_siCtrl_PMA_s09,</t>
  </si>
  <si>
    <t>33 : 577 : 412 : 10,851</t>
  </si>
  <si>
    <t>1.05_2.17</t>
  </si>
  <si>
    <t>28 : 582 : 479 : 10,784</t>
  </si>
  <si>
    <t>0.73_1.60</t>
  </si>
  <si>
    <t>GSE21886_2.xlsx</t>
  </si>
  <si>
    <t>GSM544220,GSM544221,GSM544222,</t>
  </si>
  <si>
    <t>HeLa_siSMILE_s04,HeLa_siSMILE_s05,HeLa_siSMILE_s06,</t>
  </si>
  <si>
    <t>GSM544217,GSM544218,GSM544219,</t>
  </si>
  <si>
    <t>HeLa_siCtrl_s01,HeLa_siCtrl_s02,HeLa_siCtrl_s03,</t>
  </si>
  <si>
    <t>83 : 527 : 992 : 10,271</t>
  </si>
  <si>
    <t>1.28_2.07</t>
  </si>
  <si>
    <t>43 : 567 : 923 : 10,340</t>
  </si>
  <si>
    <t>0.62_1.17</t>
  </si>
  <si>
    <t>GSE21912_1.xlsx</t>
  </si>
  <si>
    <t>GSE21912</t>
  </si>
  <si>
    <t>The Polycomb Group Protein Bmi-1 is essential for the growth of Multiple Myeloma cells</t>
  </si>
  <si>
    <t>GSM545184,GSM545185,GSM545186,</t>
  </si>
  <si>
    <t>Bmi1-shRNA 0 hrs (1),Bmi1-shRNA 0 hrs (2),Bmi1-shRNA 0 hrs (3),</t>
  </si>
  <si>
    <t>GSM545181,GSM545182,GSM545183,</t>
  </si>
  <si>
    <t>Ctl-shRNA 0 hrs (1),Ctl-shRNA 0 hrs (2),Ctl-shRNA 0 hrs (3),</t>
  </si>
  <si>
    <t>87 : 1,253 : 928 : 18,104</t>
  </si>
  <si>
    <t>1.08_1.70</t>
  </si>
  <si>
    <t>68 : 1,272 : 872 : 18,160</t>
  </si>
  <si>
    <t>GSE21912_2.xlsx</t>
  </si>
  <si>
    <t>GSM545151,GSM545152,GSM545153,</t>
  </si>
  <si>
    <t>Bmi1-shRNA 24 hrs (1),Bmi1-shRNA 24 hrs (2),Bmi1-shRNA 24 hrs (3),</t>
  </si>
  <si>
    <t>GSM545145,GSM545146,GSM545147,</t>
  </si>
  <si>
    <t>Ctl-shRNA 24 hrs (1),Ctl-shRNA 24 hrs (2),Ctl-shRNA 24 hrs (3),</t>
  </si>
  <si>
    <t>110 : 1,230 : 1,020 : 18,012</t>
  </si>
  <si>
    <t>1.29_1.94</t>
  </si>
  <si>
    <t>77 : 1,263 : 1,087 : 17,945</t>
  </si>
  <si>
    <t>0.79_1.28</t>
  </si>
  <si>
    <t>GSE21912_3.xlsx</t>
  </si>
  <si>
    <t>GSM545154,GSM545155,GSM545156,</t>
  </si>
  <si>
    <t>Bmi1-shRNA + dox 24 hrs (1),Bmi1-shRNA + dox 24 hrs (2),Bmi1-shRNA + dox 24 hrs (3),</t>
  </si>
  <si>
    <t>GSM545148,GSM545149,GSM545150,</t>
  </si>
  <si>
    <t>Ctl-shRNA + dox 24 hrs (1),Ctl-shRNA + dox 24 hrs (2),Ctl-shRNA + dox 24 hrs (3),</t>
  </si>
  <si>
    <t>88 : 1,252 : 775 : 18,258</t>
  </si>
  <si>
    <t>1.32_2.08</t>
  </si>
  <si>
    <t>71 : 1,269 : 916 : 18,117</t>
  </si>
  <si>
    <t>0.86_1.42</t>
  </si>
  <si>
    <t>GSE21912_4.xlsx</t>
  </si>
  <si>
    <t>GSM545166,GSM545167,GSM545168,</t>
  </si>
  <si>
    <t>Bmi1-shRNA + dox 32 hrs (1),Bmi1-shRNA + dox 32 hrs (2),Bmi1-shRNA + dox 32 hrs (3),</t>
  </si>
  <si>
    <t>GSM545160,GSM545161,GSM545162,</t>
  </si>
  <si>
    <t>Ctl-shRNA + dox 32 hrs (1),Ctl-shRNA + dox 32 hrs (2),Ctl-shRNA + dox 32 hrs (3),</t>
  </si>
  <si>
    <t>85 : 1,255 : 696 : 18,336</t>
  </si>
  <si>
    <t>1.41_2.25</t>
  </si>
  <si>
    <t>70 : 1,270 : 865 : 18,167</t>
  </si>
  <si>
    <t>0.90_1.49</t>
  </si>
  <si>
    <t>GSE21912_5.xlsx</t>
  </si>
  <si>
    <t>GSM545175,GSM545176,GSM545177,</t>
  </si>
  <si>
    <t>Bmi1-shRNA 48 hrs (1),Bmi1-shRNA 48 hrs (2),Bmi1-shRNA 48 hrs (3),</t>
  </si>
  <si>
    <t>GSM545169,GSM545170,GSM545171,</t>
  </si>
  <si>
    <t>Ctl-shRNA 48 hrs (1),Ctl-shRNA 48 hrs (2),Ctl-shRNA 48 hrs (3),</t>
  </si>
  <si>
    <t>78 : 1,262 : 693 : 18,341</t>
  </si>
  <si>
    <t>1.29_2.08</t>
  </si>
  <si>
    <t>54 : 1,286 : 789 : 18,245</t>
  </si>
  <si>
    <t>0.73_1.29</t>
  </si>
  <si>
    <t>GSE21912_6.xlsx</t>
  </si>
  <si>
    <t>GSM545178,GSM545179,GSM545180,</t>
  </si>
  <si>
    <t>Bmi1-shRNA + dox 48 hrs (1),Bmi1-shRNA + dox 48 hrs (2),Bmi1-shRNA + dox 48 hrs (3),</t>
  </si>
  <si>
    <t>GSM545172,GSM545173,GSM545174,</t>
  </si>
  <si>
    <t>Ctl-shRNA + dox 48 hrs (1),Ctl-shRNA + dox 48 hrs (2),Ctl-shRNA + dox 48 hrs (3),</t>
  </si>
  <si>
    <t>93 : 1,247 : 704 : 18,329</t>
  </si>
  <si>
    <t>1.55_2.43</t>
  </si>
  <si>
    <t>61 : 1,279 : 778 : 18,255</t>
  </si>
  <si>
    <t>0.86_1.46</t>
  </si>
  <si>
    <t>GSE21912_7.xlsx</t>
  </si>
  <si>
    <t>GSM545163,GSM545164,GSM545165,</t>
  </si>
  <si>
    <t>Bmi1-shRNA 32 hrs (1),Bmi1-shRNA 32 hrs (2),Bmi1-shRNA 32 hrs (3),</t>
  </si>
  <si>
    <t>GSM545157,GSM545158,GSM545159,</t>
  </si>
  <si>
    <t>Ctl-shRNA 32 hrs (1),Ctl-shRNA 32 hrs (2),Ctl-shRNA 32 hrs (3),</t>
  </si>
  <si>
    <t>100 : 1,240 : 839 : 18,195</t>
  </si>
  <si>
    <t>1.41_2.17</t>
  </si>
  <si>
    <t>68 : 1,272 : 955 : 18,079</t>
  </si>
  <si>
    <t>0.79_1.30</t>
  </si>
  <si>
    <t>GSE21955_1.xlsx</t>
  </si>
  <si>
    <t>GSE21955</t>
  </si>
  <si>
    <t>COP1 siRNA knockdown in human Hepatocellular carcinoma cells</t>
  </si>
  <si>
    <t>GSM545954,GSM545955,GSM545956,</t>
  </si>
  <si>
    <t>Huh7 COP1 siRNA 1,Huh7 COP1 siRNA 2,Huh7 COP1 siRNA 3,</t>
  </si>
  <si>
    <t>GSM545957,GSM545958,GSM545959,</t>
  </si>
  <si>
    <t>Huh7 Negative Control siRNA 1,Huh7 Negative Control siRNA 2,Huh7 Negative Control siRNA 3,</t>
  </si>
  <si>
    <t>27 : 1,232 : 346 : 17,026</t>
  </si>
  <si>
    <t>12 : 1,247 : 210 : 17,162</t>
  </si>
  <si>
    <t>0.44_1.41</t>
  </si>
  <si>
    <t>GSE21955_2.xlsx</t>
  </si>
  <si>
    <t>GSM545968,GSM545969,GSM545970,GSM545971,</t>
  </si>
  <si>
    <t>Hep3B COP1 siRNA 1,Hep3B COP1 siRNA 2,Hep3B COP1 siRNA 3,Hep3B COP1 siRNA 4,</t>
  </si>
  <si>
    <t>GSM545972,GSM545973,GSM545974,GSM545975,</t>
  </si>
  <si>
    <t>Hep3B Negative Control siRNA 1,Hep3B Negative Control siRNA 2,Hep3B Negative Control siRNA 3,Hep3B Negative Control siRNA 4,</t>
  </si>
  <si>
    <t>30 : 1,229 : 768 : 16,604</t>
  </si>
  <si>
    <t>0.36_0.76</t>
  </si>
  <si>
    <t>68 : 1,191 : 747 : 16,625</t>
  </si>
  <si>
    <t>0.98_1.64</t>
  </si>
  <si>
    <t>GSE21955_3.xlsx</t>
  </si>
  <si>
    <t>GSM545960,GSM545961,GSM545962,GSM545963,</t>
  </si>
  <si>
    <t>HepG2 COP1 siRNA 1,HepG2 COP1 siRNA 2,HepG2 COP1 siRNA 3,HepG2 COP1 siRNA 4,</t>
  </si>
  <si>
    <t>GSM545964,GSM545965,GSM545966,GSM545967,</t>
  </si>
  <si>
    <t>HepG2 Negative Control siRNA 1,HepG2 Negative Control siRNA 2,HepG2 Negative Control siRNA 3,HepG2 Negative Control siRNA 4,</t>
  </si>
  <si>
    <t>66 : 1,193 : 771 : 16,601</t>
  </si>
  <si>
    <t>0.92_1.54</t>
  </si>
  <si>
    <t>22 : 1,237 : 718 : 16,654</t>
  </si>
  <si>
    <t>0.27_0.63</t>
  </si>
  <si>
    <t>GSE22036.xlsx</t>
  </si>
  <si>
    <t>GSE22036</t>
  </si>
  <si>
    <t>Identification of genes that regulated by IRF4 in human cutaneous T cell lymphoma HuT-102 cells</t>
  </si>
  <si>
    <t>GSM547813,GSM547814,</t>
  </si>
  <si>
    <t>siRNA-IRF4-1 (HuT-102 cells + IRF4 siRNA),siRNA-IRF4-2 (HuT-102 cells + IRF4 siRNA),</t>
  </si>
  <si>
    <t>GSM547811,GSM547812,</t>
  </si>
  <si>
    <t>Control-1 (HuT-102 cells + luciferase siRNA),Control-2 (HuT-102 cells + luciferase siRNA),</t>
  </si>
  <si>
    <t>9 : 1,331 : 199 : 18,835</t>
  </si>
  <si>
    <t>0.33_1.25</t>
  </si>
  <si>
    <t>15 : 1,325 : 219 : 18,815</t>
  </si>
  <si>
    <t>0.57_1.65</t>
  </si>
  <si>
    <t>GSE22085.xlsx</t>
  </si>
  <si>
    <t>GSE22085</t>
  </si>
  <si>
    <t>The MALAT-1 noncoding RNA Regulates Cell Mobility by Modulating Gene Expressions</t>
  </si>
  <si>
    <t>GSM549067,GSM549069,</t>
  </si>
  <si>
    <t>A549 MALAT-1 knockdown replication 1-1,A549 MALAT-1 knockdown replication 2-1,</t>
  </si>
  <si>
    <t>GSM549066,GSM549068,</t>
  </si>
  <si>
    <t>A549 MALAT-1 knockdown replication 1,A549 MALAT-1 knockdown replication 2,</t>
  </si>
  <si>
    <t>12 : 1,305 : 187 : 17,879</t>
  </si>
  <si>
    <t>12 : 1,305 : 151 : 17,915</t>
  </si>
  <si>
    <t>0.60_1.97</t>
  </si>
  <si>
    <t>GSE22139.xlsx</t>
  </si>
  <si>
    <t>GSE22139</t>
  </si>
  <si>
    <t>Bone morphogenetic protein-7 is a MYC target with pro-survival functions in childhood medulloblastoma</t>
  </si>
  <si>
    <t>GSM550701,GSM550702,GSM550703,</t>
  </si>
  <si>
    <t>medulloblastoma, M2_cMYC_silenced, rep1,medulloblastoma, M2_cMYC_silenced, rep2,medulloblastoma, M2_cMYC_silenced, rep3,</t>
  </si>
  <si>
    <t>GSM550698,GSM550699,GSM550700,</t>
  </si>
  <si>
    <t>medulloblastoma, M2_scrambled, rep1,medulloblastoma, M2_scrambled, rep2,medulloblastoma, M2_scrambled, rep3,</t>
  </si>
  <si>
    <t>185 : 1,155 : 3,413 : 15,621</t>
  </si>
  <si>
    <t>0.62_0.86</t>
  </si>
  <si>
    <t>298 : 1,042 : 3,010 : 16,024</t>
  </si>
  <si>
    <t>1.33_1.74</t>
  </si>
  <si>
    <t>GSE22213_1.xlsx</t>
  </si>
  <si>
    <t>GSE22213</t>
  </si>
  <si>
    <t>Cooperative interaction between retinoic acid receptor-alpha and estrogen receptor in breast cancer.</t>
  </si>
  <si>
    <t>GSM552932,GSM552926,GSM552930,</t>
  </si>
  <si>
    <t>si RARA and vehicle replicate 1,si RARA and vehicle replicate 2,si RARA and vehicle replicate 3,</t>
  </si>
  <si>
    <t>GSM552925,GSM552929,GSM552936,</t>
  </si>
  <si>
    <t>si Control and vehicle replicate 1,si Control and vehicle replicate 2,si Control and vehicle replicate 3,</t>
  </si>
  <si>
    <t>18 : 1,372 : 440 : 23,329</t>
  </si>
  <si>
    <t>0.43_1.12</t>
  </si>
  <si>
    <t>31 : 1,359 : 387 : 23,382</t>
  </si>
  <si>
    <t>0.95_2.00</t>
  </si>
  <si>
    <t>GSE22213_2.xlsx</t>
  </si>
  <si>
    <t>GSM552934,GSM552931,GSM552927,</t>
  </si>
  <si>
    <t>si RARA and estrogen replicate 1,si RARA and estrogen replicate 2,si RARA and estrogen replicate 3,</t>
  </si>
  <si>
    <t>GSM552928,GSM552935,GSM552933,</t>
  </si>
  <si>
    <t>si Control and estrogen replicate 1,si Control and estrogen replicate 2,si Control and estrogen replicate 3,</t>
  </si>
  <si>
    <t>27 : 1,363 : 419 : 23,350</t>
  </si>
  <si>
    <t>0.75_1.64</t>
  </si>
  <si>
    <t>30 : 1,360 : 378 : 23,391</t>
  </si>
  <si>
    <t>0.94_1.99</t>
  </si>
  <si>
    <t>GSE2222_1.xlsx</t>
  </si>
  <si>
    <t>GSE2222</t>
  </si>
  <si>
    <t>FoxM1 siRNA profiles</t>
  </si>
  <si>
    <t>GSM40657,GSM40658,GSM40659,</t>
  </si>
  <si>
    <t>FoxM1 A,FoxM1 B,FoxM1 C,</t>
  </si>
  <si>
    <t>GSM40651,GSM40652,GSM40653,</t>
  </si>
  <si>
    <t>mock A,mock B,mock C,</t>
  </si>
  <si>
    <t>4 : 834 : 85 : 11,048</t>
  </si>
  <si>
    <t>0.23_1.70</t>
  </si>
  <si>
    <t>7 : 831 : 74 : 11,059</t>
  </si>
  <si>
    <t>0.58_2.74</t>
  </si>
  <si>
    <t>GSE2222_2.xlsx</t>
  </si>
  <si>
    <t>GSM40654,GSM40655,GSM40656,</t>
  </si>
  <si>
    <t>GFP A,GFP B,GFP C,</t>
  </si>
  <si>
    <t>2 : 824 : 44 : 11,069</t>
  </si>
  <si>
    <t>0.15_2.52</t>
  </si>
  <si>
    <t>5 : 821 : 39 : 11,074</t>
  </si>
  <si>
    <t>0.68_4.40</t>
  </si>
  <si>
    <t>GSE2222_3.xlsx</t>
  </si>
  <si>
    <t>6 : 812 : 99 : 10,981</t>
  </si>
  <si>
    <t>0.36_1.87</t>
  </si>
  <si>
    <t>8 : 810 : 103 : 10,977</t>
  </si>
  <si>
    <t>0.51_2.17</t>
  </si>
  <si>
    <t>GSE22259.xlsx</t>
  </si>
  <si>
    <t>GSE22259</t>
  </si>
  <si>
    <t>BRCA1 depletion effect on HeLa cells</t>
  </si>
  <si>
    <t>GSM554071,GSM554073,GSM554075,</t>
  </si>
  <si>
    <t>BRCA1-KD-1 (total RNA),BRCA1-KD-2 (total RNA),BRCA1-KD-3 (mRNA),</t>
  </si>
  <si>
    <t>GSM554070,GSM554072,GSM554074,</t>
  </si>
  <si>
    <t>GFP-KD-1 (total RNA),GFP-KD-2 (total RNA),GFP-KD-3 (mRNA),</t>
  </si>
  <si>
    <t>18 : 1,322 : 296 : 18,738</t>
  </si>
  <si>
    <t>0.53_1.39</t>
  </si>
  <si>
    <t>13 : 1,327 : 310 : 18,724</t>
  </si>
  <si>
    <t>0.34_1.03</t>
  </si>
  <si>
    <t>GSE22336.xlsx</t>
  </si>
  <si>
    <t>GSE22336</t>
  </si>
  <si>
    <t>UDP-GlcNAc 2-epimerase/ManNAc kinase (GNE) is an inducer of apoptotic processes in Capan-1 pancreatic carcinoma cells: GNE silencing</t>
  </si>
  <si>
    <t>GSM555986,GSM555987,GSM555988,</t>
  </si>
  <si>
    <t>Capan-1 V1 siGNE,Capan-1 V2 siGNE,Capan-1 V3 siGNE,</t>
  </si>
  <si>
    <t>GSM555983,GSM555984,GSM555985,</t>
  </si>
  <si>
    <t>Capan-1 V1 control,Capan-1 V2 control,Capan-1 V3 control,</t>
  </si>
  <si>
    <t>28 : 1,312 : 383 : 18,651</t>
  </si>
  <si>
    <t>0.71_1.53</t>
  </si>
  <si>
    <t>40 : 1,300 : 486 : 18,548</t>
  </si>
  <si>
    <t>0.85_1.63</t>
  </si>
  <si>
    <t>GSE22363_1.xlsx</t>
  </si>
  <si>
    <t>GSE22363</t>
  </si>
  <si>
    <t>The anti-proliferative effects of progestins in T47D breast cancer cells are tempered by progestin-induction of the ETS transcription factor Elf5.</t>
  </si>
  <si>
    <t>GSM556529,GSM556530,GSM556531,</t>
  </si>
  <si>
    <t>T47D-pHUSH-Elf5-shRNA_progesterone_doxycycline_rep1,T47D-pHUSH-Elf5-shRNA_progesterone_doxycycline_rep2,T47D-pHUSH-Elf5-shRNA_progesterone_doxycycline_rep3,</t>
  </si>
  <si>
    <t>GSM556523,GSM556524,GSM556525,</t>
  </si>
  <si>
    <t>T47D-pHUSH-Elf5-shRNA_ethanol vehicle only_rep1,T47D-pHUSH-Elf5-shRNA_ethanol vehicle only_rep2,T47D-pHUSH-Elf5-shRNA_ethanol vehicle only_rep3,</t>
  </si>
  <si>
    <t>93 : 1,244 : 1,474 : 17,645</t>
  </si>
  <si>
    <t>0.72_1.11</t>
  </si>
  <si>
    <t>99 : 1,238 : 1,481 : 17,638</t>
  </si>
  <si>
    <t>0.77_1.18</t>
  </si>
  <si>
    <t>GSE22363_2.xlsx</t>
  </si>
  <si>
    <t>GSM556526,GSM556527,GSM556528,</t>
  </si>
  <si>
    <t>T47D-pHUSH-Elf5-shRNA_progesterone_rep1,T47D-pHUSH-Elf5-shRNA_progesterone_rep2,T47D-pHUSH-Elf5-shRNA_progesterone_rep3,</t>
  </si>
  <si>
    <t>64 : 1,273 : 1,118 : 18,001</t>
  </si>
  <si>
    <t>0.63_1.05</t>
  </si>
  <si>
    <t>56 : 1,281 : 791 : 18,328</t>
  </si>
  <si>
    <t>0.77_1.34</t>
  </si>
  <si>
    <t>GSE22366_1.xlsx</t>
  </si>
  <si>
    <t>GSE22366</t>
  </si>
  <si>
    <t>Primary human erythroid progenitor cells HDAC1 and HDAC2 shRNA knockdown samples</t>
  </si>
  <si>
    <t>GSM556590,GSM556591,GSM556592,</t>
  </si>
  <si>
    <t>HDAC2_H6-rep1,HDAC2_H6-rep2,HDAC2_H6-rep3,</t>
  </si>
  <si>
    <t>GSM556579,GSM556580,GSM556581,</t>
  </si>
  <si>
    <t>Luciferase-rep1,Luciferase-rep2,Luciferase-rep3,</t>
  </si>
  <si>
    <t>30 : 882 : 542 : 11,639</t>
  </si>
  <si>
    <t>0.50_1.06</t>
  </si>
  <si>
    <t>39 : 873 : 451 : 11,730</t>
  </si>
  <si>
    <t>0.83_1.62</t>
  </si>
  <si>
    <t>GSE22366_2.xlsx</t>
  </si>
  <si>
    <t>GSM556582,GSM556583,</t>
  </si>
  <si>
    <t>HDAC1_A3-rep1,HDAC1_A3-rep3,</t>
  </si>
  <si>
    <t>25 : 887 : 291 : 11,890</t>
  </si>
  <si>
    <t>33 : 879 : 319 : 11,862</t>
  </si>
  <si>
    <t>0.97_2.01</t>
  </si>
  <si>
    <t>GSE22366_3.xlsx</t>
  </si>
  <si>
    <t>GSM556587,GSM556588,GSM556589,</t>
  </si>
  <si>
    <t>HDAC2_B10-rep1,HDAC2_B10-rep2,HDAC2_B10-rep3,</t>
  </si>
  <si>
    <t>26 : 886 : 330 : 11,851</t>
  </si>
  <si>
    <t>0.70_1.58</t>
  </si>
  <si>
    <t>27 : 885 : 360 : 11,821</t>
  </si>
  <si>
    <t>0.67_1.49</t>
  </si>
  <si>
    <t>GSE22366_4.xlsx</t>
  </si>
  <si>
    <t>GSM556584,GSM556585,GSM556586,</t>
  </si>
  <si>
    <t>HDAC1_G10-rep1,HDAC1_G10-rep2,HDAC1_G10-rep3,</t>
  </si>
  <si>
    <t>18 : 894 : 305 : 11,876</t>
  </si>
  <si>
    <t>0.48_1.27</t>
  </si>
  <si>
    <t>34 : 878 : 296 : 11,885</t>
  </si>
  <si>
    <t>1.08_2.23</t>
  </si>
  <si>
    <t>GSE22369-GPL3921_1.xlsx</t>
  </si>
  <si>
    <t>GSE22369</t>
  </si>
  <si>
    <t>HDAC1 and HDAC2 in fetal hemoglobin induction</t>
  </si>
  <si>
    <t>GSE22369-GPL3921_2.xlsx</t>
  </si>
  <si>
    <t>GSE22369-GPL3921_3.xlsx</t>
  </si>
  <si>
    <t>GSE22369-GPL3921_4.xlsx</t>
  </si>
  <si>
    <t>GSE22400-GPL6102.xlsx</t>
  </si>
  <si>
    <t>GSE22400</t>
  </si>
  <si>
    <t>PHF8 mediates histone demethylation events in cell cycle progression</t>
  </si>
  <si>
    <t>GSM557056,GSM557058,</t>
  </si>
  <si>
    <t>PHF8siRNA, 1,PHF8siRNA, 2,</t>
  </si>
  <si>
    <t>GSM557055,GSM557057,</t>
  </si>
  <si>
    <t>26 : 1,300 : 377 : 22,824</t>
  </si>
  <si>
    <t>0.81_1.81</t>
  </si>
  <si>
    <t>20 : 1,306 : 308 : 22,893</t>
  </si>
  <si>
    <t>0.72_1.80</t>
  </si>
  <si>
    <t>GSE22415_1.xlsx</t>
  </si>
  <si>
    <t>GSE22415</t>
  </si>
  <si>
    <t>Identification and characterization of two novel primate-specific histone H3 variants H3.X and H3.Y</t>
  </si>
  <si>
    <t>GSM557230,GSM557231,</t>
  </si>
  <si>
    <t>U20S H3 Y R1,U20S H3 Y R2,</t>
  </si>
  <si>
    <t>GSM557228,GSM557229,</t>
  </si>
  <si>
    <t>U20S luci R1,U20S luci R2,</t>
  </si>
  <si>
    <t>8 : 1,329 : 148 : 18,970</t>
  </si>
  <si>
    <t>8 : 1,329 : 113 : 19,005</t>
  </si>
  <si>
    <t>0.49_2.08</t>
  </si>
  <si>
    <t>GSE22415_2.xlsx</t>
  </si>
  <si>
    <t>GSM557232,GSM557233,</t>
  </si>
  <si>
    <t>U20S H3 XY R1,U20S H3 XY R2,</t>
  </si>
  <si>
    <t>18 : 1,319 : 284 : 18,835</t>
  </si>
  <si>
    <t>0.56_1.46</t>
  </si>
  <si>
    <t>26 : 1,311 : 245 : 18,874</t>
  </si>
  <si>
    <t>1.02_2.30</t>
  </si>
  <si>
    <t>GSE22477.xlsx</t>
  </si>
  <si>
    <t>GSE22477</t>
  </si>
  <si>
    <t>PHF8 mediates histone demethylation events in cell cycle progression [expression]</t>
  </si>
  <si>
    <t>GSE22550_1.xlsx</t>
  </si>
  <si>
    <t>GSE22550</t>
  </si>
  <si>
    <t>Expression data from Hodgkin lymphoma cell lines UHO-1 and L-1236 transduced with shRNAs against GATA-3 or non-functional control shRNAs</t>
  </si>
  <si>
    <t>GSM559655,GSM559657,GSM559659,</t>
  </si>
  <si>
    <t>L-1236 siGATA-3  rep1,L-1236 siGATA-3  rep2,L-1236 siGATA-3  rep3,</t>
  </si>
  <si>
    <t>GSM559654,GSM559656,GSM559658,</t>
  </si>
  <si>
    <t>L-1236 siSCR rep1,L-1236 siSCR rep2,L-1236 siSCR rep3,</t>
  </si>
  <si>
    <t>3 : 1,332 : 93 : 18,735</t>
  </si>
  <si>
    <t>0.14_1.43</t>
  </si>
  <si>
    <t>8 : 1,327 : 70 : 18,758</t>
  </si>
  <si>
    <t>0.78_3.36</t>
  </si>
  <si>
    <t>GSE22550_2.xlsx</t>
  </si>
  <si>
    <t>GSM559661,GSM559663,GSM559665,</t>
  </si>
  <si>
    <t>L-UHO-1 siGATA-3  rep1,L-UHO-1 siGATA-3  rep2,L-UHO-1 siGATA-3  rep3,</t>
  </si>
  <si>
    <t>GSM559660,GSM559662,GSM559664,</t>
  </si>
  <si>
    <t>L-UHO-1 siSCR rep1,L-UHO-1 siSCR rep2,L-UHO-1 siSCR rep3,</t>
  </si>
  <si>
    <t>2 : 1,333 : 48 : 18,780</t>
  </si>
  <si>
    <t>0.14_2.42</t>
  </si>
  <si>
    <t>2 : 1,333 : 31 : 18,797</t>
  </si>
  <si>
    <t>0.22_3.81</t>
  </si>
  <si>
    <t>GSE22572-GPL570.xlsx</t>
  </si>
  <si>
    <t>GSE22572</t>
  </si>
  <si>
    <t>TCF4 and CDX2, major transcription factors for intestinal function, converge on the same cis-regulatory regions</t>
  </si>
  <si>
    <t>GSM564445,GSM564446,GSM564448,</t>
  </si>
  <si>
    <t>shCDX2-2,shCDX2-4,shCDX2-2b,</t>
  </si>
  <si>
    <t>GSM564444,GSM564447,</t>
  </si>
  <si>
    <t>shGFP1,shGFP2,</t>
  </si>
  <si>
    <t>22 : 1,314 : 201 : 18,810</t>
  </si>
  <si>
    <t>1.01_2.44</t>
  </si>
  <si>
    <t>9 : 1,327 : 148 : 18,863</t>
  </si>
  <si>
    <t>0.44_1.70</t>
  </si>
  <si>
    <t>GSE22578.xlsx</t>
  </si>
  <si>
    <t>GSE22578</t>
  </si>
  <si>
    <t>Wilms Tumor-1 (WT-1) and its candidate target genes in gliomagenesis</t>
  </si>
  <si>
    <t>GSM560320,GSM560323,GSM560326,</t>
  </si>
  <si>
    <t>U251si_1,U251si_2,U251si_3,</t>
  </si>
  <si>
    <t>GSM560321,GSM560324,GSM560327,</t>
  </si>
  <si>
    <t>U251scr_1,U251scr_2,U251scr_3,</t>
  </si>
  <si>
    <t>19 : 900 : 227 : 11,912</t>
  </si>
  <si>
    <t>0.69_1.78</t>
  </si>
  <si>
    <t>12 : 907 : 165 : 11,974</t>
  </si>
  <si>
    <t>0.53_1.73</t>
  </si>
  <si>
    <t>GSE22606_1.xlsx</t>
  </si>
  <si>
    <t>GSE22606</t>
  </si>
  <si>
    <t>Identification of an SRF- and androgen-dependent gene signature in prostate cancer</t>
  </si>
  <si>
    <t>GSM560834,GSM560835,GSM560836,</t>
  </si>
  <si>
    <t>SRF silenced EtOH rep 1,SRF silenced EtOH rep 2,SRF silenced EtOH rep 3,</t>
  </si>
  <si>
    <t>GSM560828,GSM560829,GSM560830,</t>
  </si>
  <si>
    <t>LNCaP EtOH rep 1,LNCaP EtOH rep 2,LNCaP EtOH rep 3,</t>
  </si>
  <si>
    <t>86 : 1,254 : 960 : 18,074</t>
  </si>
  <si>
    <t>1.03_1.62</t>
  </si>
  <si>
    <t>67 : 1,273 : 1,133 : 17,901</t>
  </si>
  <si>
    <t>0.65_1.07</t>
  </si>
  <si>
    <t>GSE22606_2.xlsx</t>
  </si>
  <si>
    <t>GSM560837,GSM560838,GSM560839,</t>
  </si>
  <si>
    <t>SRF silenced R1881 rep 1,SRF silenced R1881 rep 2,SRF silenced R1881 rep 3,</t>
  </si>
  <si>
    <t>GSM560831,GSM560832,GSM560833,</t>
  </si>
  <si>
    <t>LNCaP R1881 rep 1,LNCaP R1881 rep 2,LNCaP R1881 rep 3,</t>
  </si>
  <si>
    <t>125 : 1,215 : 1,292 : 17,742</t>
  </si>
  <si>
    <t>1.17_1.71</t>
  </si>
  <si>
    <t>80 : 1,260 : 1,623 : 17,411</t>
  </si>
  <si>
    <t>0.54_0.86</t>
  </si>
  <si>
    <t>GSE22692_1.xlsx</t>
  </si>
  <si>
    <t>GSE22692</t>
  </si>
  <si>
    <t>The effect of HES6 silencing on the gene expression profiles of the glioblastoma A172 and LN405 cell lines</t>
  </si>
  <si>
    <t>GSM562372,GSM562374,</t>
  </si>
  <si>
    <t>A172_siHes6_a,A172_siHes6_b,</t>
  </si>
  <si>
    <t>GSM562371,GSM562373,</t>
  </si>
  <si>
    <t>A172_siNEG_a,A172_siNEG_b,</t>
  </si>
  <si>
    <t>26 : 1,361 : 237 : 23,488</t>
  </si>
  <si>
    <t>1.26_2.85</t>
  </si>
  <si>
    <t>11 : 1,376 : 219 : 23,506</t>
  </si>
  <si>
    <t>0.47_1.58</t>
  </si>
  <si>
    <t>GSE22692_2.xlsx</t>
  </si>
  <si>
    <t>GSM562376,GSM562378,</t>
  </si>
  <si>
    <t>LN405_siHes6_a,LN405_siHes6_b,</t>
  </si>
  <si>
    <t>GSM562375,GSM562377,</t>
  </si>
  <si>
    <t>LN405_siNEG_a,LN405_siNEG_b,</t>
  </si>
  <si>
    <t>26 : 1,361 : 210 : 23,510</t>
  </si>
  <si>
    <t>1.42_3.23</t>
  </si>
  <si>
    <t>8 : 1,379 : 210 : 23,510</t>
  </si>
  <si>
    <t>0.32_1.32</t>
  </si>
  <si>
    <t>GSE22692_3.xlsx</t>
  </si>
  <si>
    <t>GSM614009,GSM614011,</t>
  </si>
  <si>
    <t>LN405pEYFPhes6wt_1,LN405pEYFPhes6wt_2,</t>
  </si>
  <si>
    <t>GSM614008,GSM614010,</t>
  </si>
  <si>
    <t>LN405pEYFPmock_1,LN405pEYFPmock_2,</t>
  </si>
  <si>
    <t>20 : 1,370 : 313 : 23,454</t>
  </si>
  <si>
    <t>0.69_1.72</t>
  </si>
  <si>
    <t>31 : 1,359 : 300 : 23,467</t>
  </si>
  <si>
    <t>1.23_2.59</t>
  </si>
  <si>
    <t>GSE22795.xlsx</t>
  </si>
  <si>
    <t>GSE22795</t>
  </si>
  <si>
    <t>PRDM14 Knockdown in human embryonic stem cells</t>
  </si>
  <si>
    <t>GSM563545,GSM563546,GSM563547,</t>
  </si>
  <si>
    <t>PRDM14 shRNA_3 Days knockdown_rep1,PRDM14 shRNA_3 Days knockdown_rep2,PRDM14 shRNA_3 Days knockdown_rep3,</t>
  </si>
  <si>
    <t>GSM563542,GSM563543,GSM563544,</t>
  </si>
  <si>
    <t>63 : 1,327 : 1,030 : 22,739</t>
  </si>
  <si>
    <t>0.81_1.36</t>
  </si>
  <si>
    <t>92 : 1,298 : 1,288 : 22,481</t>
  </si>
  <si>
    <t>0.99_1.54</t>
  </si>
  <si>
    <t>GSE22852-GPL6947_1.xlsx</t>
  </si>
  <si>
    <t>GSE22852</t>
  </si>
  <si>
    <t>Gastrointestinal stromal tumor GIST: gene expresssion and ChIP analyses</t>
  </si>
  <si>
    <t>GSE22852-GPL6947_2.xlsx</t>
  </si>
  <si>
    <t>GSE22852-GPL6947_3.xlsx</t>
  </si>
  <si>
    <t>GSE22852-GPL6947_4.xlsx</t>
  </si>
  <si>
    <t>GSM481230,GSM481233,</t>
  </si>
  <si>
    <t>GIST48 ETV1sh2 Rep1,GIST48 ETV1sh2 Rep2,</t>
  </si>
  <si>
    <t>21 : 1,369 : 295 : 23,474</t>
  </si>
  <si>
    <t>0.78_1.91</t>
  </si>
  <si>
    <t>18 : 1,372 : 284 : 23,485</t>
  </si>
  <si>
    <t>0.67_1.75</t>
  </si>
  <si>
    <t>GSE22859.xlsx</t>
  </si>
  <si>
    <t>GSE22859</t>
  </si>
  <si>
    <t>Human LSD2/KDM1b/AOF1 regulates gene transcription by modulating H3K4me2 methylation (Affymetrix)</t>
  </si>
  <si>
    <t>GSM564835,GSM564836,</t>
  </si>
  <si>
    <t>LSD2 knockdown, replicate 1,LSD2 knockdown, replicate 2,</t>
  </si>
  <si>
    <t>GSM564833,GSM564834,</t>
  </si>
  <si>
    <t>Scarmbled control knockdown, replicate 1,Scarmbled control knockdown, replicate 2,</t>
  </si>
  <si>
    <t>27 : 1,313 : 249 : 18,758</t>
  </si>
  <si>
    <t>1.04_2.31</t>
  </si>
  <si>
    <t>16 : 1,324 : 181 : 18,826</t>
  </si>
  <si>
    <t>0.75_2.10</t>
  </si>
  <si>
    <t>GSE22937.xlsx</t>
  </si>
  <si>
    <t>GSE22937</t>
  </si>
  <si>
    <t>An ESRP-regulated splicing program is abrogated during the Epithelial Mesenchymal Transition</t>
  </si>
  <si>
    <t>GSM566393,GSM566394,GSM566395,GSM566396,</t>
  </si>
  <si>
    <t>PNT2-siESRP-1,PNT2-siESRP-2,PNT2-siESRP-3,PNT2-siESRP-4,</t>
  </si>
  <si>
    <t>GSM566389,GSM566390,GSM566391,GSM566392,</t>
  </si>
  <si>
    <t>PNT2-siGFP-1,PNT2-siGFP-2,PNT2-siGFP-3,PNT2-siGFP-4,</t>
  </si>
  <si>
    <t>81 : 527 : 2,245 : 14,530</t>
  </si>
  <si>
    <t>0.78_1.26</t>
  </si>
  <si>
    <t>105 : 503 : 1,943 : 14,832</t>
  </si>
  <si>
    <t>1.28_1.98</t>
  </si>
  <si>
    <t>GSE22956-GPL6883.xlsx</t>
  </si>
  <si>
    <t>GSE22956</t>
  </si>
  <si>
    <t>NFAT5 is a critical regulator of rheumatoid inflammation</t>
  </si>
  <si>
    <t>GSM566720,GSM566723,GSM566726,</t>
  </si>
  <si>
    <t>NFAT5 siRNA transfected RA-FLS biological replicate 1,NFAT5 siRNA transfected RA-FLS biological replicate 2,NFAT5 siRNA transfected RA-FLS biological replicate 3,</t>
  </si>
  <si>
    <t>GSM566719,GSM566722,GSM566725,</t>
  </si>
  <si>
    <t>Control siRNA transfected RA-FLS biological replicate 1,Control siRNA transfected RA-FLS biological replicate 2,Control siRNA transfected RA-FLS biological replicate 3,</t>
  </si>
  <si>
    <t>36 : 1,223 : 382 : 16,990</t>
  </si>
  <si>
    <t>0.93_1.85</t>
  </si>
  <si>
    <t>17 : 1,242 : 349 : 17,023</t>
  </si>
  <si>
    <t>0.41_1.09</t>
  </si>
  <si>
    <t>GSE22956-GPL6947.xlsx</t>
  </si>
  <si>
    <t>GSM566730,GSM566733,GSM566736,GSM566739,</t>
  </si>
  <si>
    <t>NFAT5 siRNA transfected HUVEC biological replicate 1,NFAT5 siRNA transfected HUVEC biological replicate 2,NFAT5 siRNA transfected HUVEC biological replicate 3,NFAT5 siRNA transfected HUVEC biological replicate 4,</t>
  </si>
  <si>
    <t>GSM566729,GSM566732,GSM566735,GSM566738,</t>
  </si>
  <si>
    <t>Control siRNA transfected HUVEC biological replicate 1,Control siRNA transfected HUVEC biological replicate 2,Control siRNA transfected HUVEC biological replicate 3,Control siRNA transfected HUVEC biological replicate 4,</t>
  </si>
  <si>
    <t>53 : 1,337 : 846 : 22,923</t>
  </si>
  <si>
    <t>0.81_1.43</t>
  </si>
  <si>
    <t>63 : 1,327 : 900 : 22,869</t>
  </si>
  <si>
    <t>0.93_1.57</t>
  </si>
  <si>
    <t>GSE23010_1.xlsx</t>
  </si>
  <si>
    <t>GSE23010</t>
  </si>
  <si>
    <t>Role of NFBD1 in global gene expression</t>
  </si>
  <si>
    <t>GSM567734,GSM567742,GSM567750,</t>
  </si>
  <si>
    <t>NFBD1shRNA 0 Gy rep1,NFBD1shRNA 0 Gy rep2,NFBD1shRNA 0 Gy rep3,</t>
  </si>
  <si>
    <t>GSM567732,GSM567740,GSM567748,</t>
  </si>
  <si>
    <t>control shRNA 0 Gy rep1,control shRNA 0 Gy rep2,control shRNA 0 Gy rep3,</t>
  </si>
  <si>
    <t>15 : 1,276 : 248 : 23,901</t>
  </si>
  <si>
    <t>0.67_1.91</t>
  </si>
  <si>
    <t>11 : 1,280 : 213 : 23,936</t>
  </si>
  <si>
    <t>0.53_1.77</t>
  </si>
  <si>
    <t>GSE23010_2.xlsx</t>
  </si>
  <si>
    <t>GSM567736,GSM567744,GSM567752,</t>
  </si>
  <si>
    <t>p53 shRNA 0 Gy rep1,p53 shRNA 0 Gy rep2,p53 shRNA 0 Gy rep3,</t>
  </si>
  <si>
    <t>12 : 1,279 : 165 : 23,984</t>
  </si>
  <si>
    <t>0.76_2.46</t>
  </si>
  <si>
    <t>4 : 1,287 : 128 : 24,021</t>
  </si>
  <si>
    <t>0.22_1.58</t>
  </si>
  <si>
    <t>GSE23010_3.xlsx</t>
  </si>
  <si>
    <t>GSM567738,GSM567746,GSM567754,</t>
  </si>
  <si>
    <t>NFBD1/p53 shRNA 0 Gy rep1,NFBD1/p53 shRNA 0 Gy rep2,NFBD1/p53 shRNA 0 Gy rep3,</t>
  </si>
  <si>
    <t>23 : 1,268 : 279 : 23,870</t>
  </si>
  <si>
    <t>1.01_2.38</t>
  </si>
  <si>
    <t>13 : 1,278 : 251 : 23,898</t>
  </si>
  <si>
    <t>0.55_1.70</t>
  </si>
  <si>
    <t>GSE23010_4.xlsx</t>
  </si>
  <si>
    <t>GSM567735,GSM567743,GSM567751,</t>
  </si>
  <si>
    <t>NFBD1shRNA 5 Gy rep1,NFBD1shRNA 5 Gy rep2,NFBD1shRNA 5 Gy rep3,</t>
  </si>
  <si>
    <t>GSM567733,GSM567741,GSM567749,</t>
  </si>
  <si>
    <t>control shRNA 5 Gy rep1,control shRNA 5 Gy rep2,control shRNA 5 Gy rep3,</t>
  </si>
  <si>
    <t>21 : 1,270 : 270 : 23,879</t>
  </si>
  <si>
    <t>0.93_2.29</t>
  </si>
  <si>
    <t>5 : 1,286 : 199 : 23,950</t>
  </si>
  <si>
    <t>0.19_1.14</t>
  </si>
  <si>
    <t>GSE23010_5.xlsx</t>
  </si>
  <si>
    <t>GSM567737,GSM567745,GSM567753,</t>
  </si>
  <si>
    <t>p53 shRNA 5 Gy rep1,p53 shRNA 5 Gy rep2,p53 shRNA 5 Gy rep3,</t>
  </si>
  <si>
    <t>12 : 1,279 : 219 : 23,930</t>
  </si>
  <si>
    <t>0.57_1.84</t>
  </si>
  <si>
    <t>7 : 1,284 : 244 : 23,905</t>
  </si>
  <si>
    <t>GSE23010_6.xlsx</t>
  </si>
  <si>
    <t>GSM567739,GSM567747,GSM567755,</t>
  </si>
  <si>
    <t>NFBD1/p53 shRNA 5 Gy rep1,NFBD1/p53 shRNA 5 Gy rep2,NFBD1/p53 shRNA 5 Gy rep3,</t>
  </si>
  <si>
    <t>15 : 1,276 : 253 : 23,896</t>
  </si>
  <si>
    <t>0.66_1.87</t>
  </si>
  <si>
    <t>14 : 1,277 : 197 : 23,952</t>
  </si>
  <si>
    <t>0.77_2.30</t>
  </si>
  <si>
    <t>GSE23010_7.xlsx</t>
  </si>
  <si>
    <t>GSM567759,GSM567760,GSM567761,</t>
  </si>
  <si>
    <t>NFBD1a shRNA rep1,NFBD1a shRNA rep2,NFBD1a shRNA rep3,</t>
  </si>
  <si>
    <t>GSM567756,GSM567757,GSM567758,</t>
  </si>
  <si>
    <t>control shRNA rep1,control shRNA rep2,control shRNA rep3,</t>
  </si>
  <si>
    <t>49 : 1,242 : 593 : 23,556</t>
  </si>
  <si>
    <t>1.16_2.11</t>
  </si>
  <si>
    <t>44 : 1,247 : 591 : 23,558</t>
  </si>
  <si>
    <t>1.03_1.92</t>
  </si>
  <si>
    <t>GSE23035_1.xlsx</t>
  </si>
  <si>
    <t>GSE23035</t>
  </si>
  <si>
    <t>Expression data from BAP1 depleted cells</t>
  </si>
  <si>
    <t>GSM568508,GSM568509,GSM568510,</t>
  </si>
  <si>
    <t>shBAP1 #1 cells, rep1,shBAP1 #1 cells, rep2,shBAP1 #1 cells, rep3,</t>
  </si>
  <si>
    <t>GSM568505,GSM568506,GSM568507,</t>
  </si>
  <si>
    <t>shControl cells, rep1,shControl cells, rep2,shControl cells, rep3,</t>
  </si>
  <si>
    <t>86 : 1,254 : 1,372 : 17,662</t>
  </si>
  <si>
    <t>0.70_1.11</t>
  </si>
  <si>
    <t>84 : 1,256 : 1,364 : 17,670</t>
  </si>
  <si>
    <t>0.69_1.09</t>
  </si>
  <si>
    <t>GSE23035_2.xlsx</t>
  </si>
  <si>
    <t>GSM568511,GSM568512,GSM568513,</t>
  </si>
  <si>
    <t>shBAP1 #2 cells, rep1,shBAP1 #2 cells, rep2,shBAP1 #2 cells, rep3,</t>
  </si>
  <si>
    <t>80 : 1,260 : 912 : 18,122</t>
  </si>
  <si>
    <t>1.00_1.60</t>
  </si>
  <si>
    <t>96 : 1,244 : 1,358 : 17,676</t>
  </si>
  <si>
    <t>0.81_1.25</t>
  </si>
  <si>
    <t>GSE23445_1.xlsx</t>
  </si>
  <si>
    <t>GSE23445</t>
  </si>
  <si>
    <t>Effect of JMJD2B depletion on the ER signaling pathway</t>
  </si>
  <si>
    <t>GSM575332,GSM575333,GSM575334,</t>
  </si>
  <si>
    <t>JMJD2B-depleted MCF-7 cells treated with E2, rep1,JMJD2B-depleted MCF-7 cells treated with E2, rep2,JMJD2B-depleted MCF-7 cells treated with E2, rep3,</t>
  </si>
  <si>
    <t>GSM575326,GSM575327,GSM575328,</t>
  </si>
  <si>
    <t>control MCF-7 cells treated with E2, rep1,control MCF-7 cells treated with E2, rep2,control MCF-7 cells treated with E2, rep3,</t>
  </si>
  <si>
    <t>65 : 1,272 : 844 : 18,275</t>
  </si>
  <si>
    <t>0.85_1.43</t>
  </si>
  <si>
    <t>69 : 1,268 : 634 : 18,485</t>
  </si>
  <si>
    <t>1.23_2.05</t>
  </si>
  <si>
    <t>GSE23445_2.xlsx</t>
  </si>
  <si>
    <t>GSM575329,GSM575330,GSM575331,</t>
  </si>
  <si>
    <t>steroid-depleted JMJD2B-depleted MCF-7 cells, rep1,steroid-depleted JMJD2B-depleted MCF-7 cells, rep2,steroid-depleted JMJD2B-depleted MCF-7 cells, rep3,</t>
  </si>
  <si>
    <t>GSM575323,GSM575324,GSM575325,</t>
  </si>
  <si>
    <t>steroid-depleted control MCF-7 cells, rep1,steroid-depleted control MCF-7 cells, rep2,steroid-depleted control MCF-7 cells, rep3,</t>
  </si>
  <si>
    <t>60 : 1,277 : 931 : 18,188</t>
  </si>
  <si>
    <t>0.70_1.20</t>
  </si>
  <si>
    <t>75 : 1,262 : 739 : 18,380</t>
  </si>
  <si>
    <t>1.16_1.89</t>
  </si>
  <si>
    <t>GSE23513.xlsx</t>
  </si>
  <si>
    <t>GSE23513</t>
  </si>
  <si>
    <t>Position-dependent alternative splicing activity revealed by global profiling of alternative splicing events regulated by PTB (HJAY)</t>
  </si>
  <si>
    <t>GSM575893,GSM575894,GSM575895,</t>
  </si>
  <si>
    <t>PTB/nPTB_Knockdown_Rep1,PTB/nPTB_Knockdown_Rep2,PTB/nPTB_Knockdown_Rep3,</t>
  </si>
  <si>
    <t>GSM575890,GSM575891,GSM575892,</t>
  </si>
  <si>
    <t>Control_Rep1,Control_Rep2,Control_Rep3,</t>
  </si>
  <si>
    <t>319 : 943 : 4,794 : 36,112</t>
  </si>
  <si>
    <t>2.24_2.90</t>
  </si>
  <si>
    <t>220 : 1,042 : 6,216 : 34,690</t>
  </si>
  <si>
    <t>1.02_1.37</t>
  </si>
  <si>
    <t>GSE23514.xlsx</t>
  </si>
  <si>
    <t>GSE23514</t>
  </si>
  <si>
    <t>Position-dependent alternative splicing activity revealed by global profiling of alternative splicing events regulated by PTB (Exon array)</t>
  </si>
  <si>
    <t>GSM575896,GSM575897,GSM575898,GSM575902,GSM575903,GSM575904,</t>
  </si>
  <si>
    <t>Control_Rep4,Control_Rep5,Control_Rep6,Control_Rep1,Control_Rep2,Control_Rep3,</t>
  </si>
  <si>
    <t>0 : 0 : 0 : 0</t>
  </si>
  <si>
    <t>#DIV/0!_#DIV/0!</t>
  </si>
  <si>
    <t>GSE23522-GPL5188.xlsx</t>
  </si>
  <si>
    <t>GSE23522</t>
  </si>
  <si>
    <t>Position-dependent alternative splicing activity revealed by global profiling of alternative splicing events regulated by PTB</t>
  </si>
  <si>
    <t>GSM575905,GSM575906,GSM575907,GSM575899,GSM575900,GSM575901,</t>
  </si>
  <si>
    <t>PTB/nPTB_Knockdown_Rep1,PTB/nPTB_Knockdown_Rep2,PTB/nPTB_Knockdown_Rep3,PTB/nPTB_Knockdown_Rep4,PTB/nPTB_Knockdown_Rep5,PTB/nPTB_Knockdown_Rep6,</t>
  </si>
  <si>
    <t>GSM575902,GSM575903,GSM575904,GSM575896,GSM575897,GSM575898,</t>
  </si>
  <si>
    <t>Control_Rep1,Control_Rep2,Control_Rep3,Control_Rep4,Control_Rep5,Control_Rep6,</t>
  </si>
  <si>
    <t>277 : 1,106 : 2,763 : 22,330</t>
  </si>
  <si>
    <t>1.76_2.32</t>
  </si>
  <si>
    <t>159 : 1,224 : 3,052 : 22,041</t>
  </si>
  <si>
    <t>0.79_1.11</t>
  </si>
  <si>
    <t>GSE23522-GPL8119.xlsx</t>
  </si>
  <si>
    <t>GSE23549-GPL6947_1.xlsx</t>
  </si>
  <si>
    <t>GSE23549</t>
  </si>
  <si>
    <t>Enhancer-like function for long non-coding RNAs in human</t>
  </si>
  <si>
    <t>GSM707161,GSM707162,</t>
  </si>
  <si>
    <t>Snai1, rep 1,Snai1, rep 2,</t>
  </si>
  <si>
    <t>GSM707163,GSM707164,</t>
  </si>
  <si>
    <t>C, rep 1,C, rep 2,</t>
  </si>
  <si>
    <t>10 : 1,378 : 148 : 23,589</t>
  </si>
  <si>
    <t>0.61_2.20</t>
  </si>
  <si>
    <t>11 : 1,377 : 155 : 23,582</t>
  </si>
  <si>
    <t>0.66_2.25</t>
  </si>
  <si>
    <t>GSE23549-GPL6947_2.xlsx</t>
  </si>
  <si>
    <t>GSM707165,GSM707166,</t>
  </si>
  <si>
    <t>ncRNA-a7, rep 1,ncRNA-a7, rep 2,</t>
  </si>
  <si>
    <t>8 : 1,380 : 216 : 23,521</t>
  </si>
  <si>
    <t>0.31_1.28</t>
  </si>
  <si>
    <t>27 : 1,361 : 271 : 23,466</t>
  </si>
  <si>
    <t>1.15_2.56</t>
  </si>
  <si>
    <t>GSE23673_1.xlsx</t>
  </si>
  <si>
    <t>GSE23673</t>
  </si>
  <si>
    <t>ZNF703 overexpression and/or knockdown in the breast cancer cell line MCF-7</t>
  </si>
  <si>
    <t>GSM580645,GSM580647,GSM580654,</t>
  </si>
  <si>
    <t>MCF7.siZNF.ZNF 1,MCF7.siZNF.ZNF 2,MCF7.siZNF.ZNF 3,</t>
  </si>
  <si>
    <t>GSM580644,GSM580651,GSM580653,</t>
  </si>
  <si>
    <t>MCF7.siC.ZNF 1,MCF7.siC.ZNF 2,MCF7.siC.ZNF 3,</t>
  </si>
  <si>
    <t>10 : 1,380 : 114 : 23,655</t>
  </si>
  <si>
    <t>0.79_2.88</t>
  </si>
  <si>
    <t>5 : 1,385 : 106 : 23,663</t>
  </si>
  <si>
    <t>0.33_1.98</t>
  </si>
  <si>
    <t>GSE23673_2.xlsx</t>
  </si>
  <si>
    <t>GSM580649,GSM580650,GSM580655,</t>
  </si>
  <si>
    <t>MCF7.siZNF.hiv 1,MCF7.siZNF.hiv 2,MCF7.siZNF.hiv 3,</t>
  </si>
  <si>
    <t>GSM580646,GSM580648,GSM580652,</t>
  </si>
  <si>
    <t>MCF7.siC.hiv 1,MCF7.siC.hiv 2,MCF7.siC.hiv 3,</t>
  </si>
  <si>
    <t>10 : 1,380 : 171 : 23,598</t>
  </si>
  <si>
    <t>11 : 1,379 : 192 : 23,577</t>
  </si>
  <si>
    <t>0.53_1.80</t>
  </si>
  <si>
    <t>GSE23838.xlsx</t>
  </si>
  <si>
    <t>GSE23838</t>
  </si>
  <si>
    <t>Genes regulated by Sox2 in glioma cancer cell line</t>
  </si>
  <si>
    <t>GSM587718,GSM587720,</t>
  </si>
  <si>
    <t>LN229_KO_pos_r1,LN229_KO_pos_r2,</t>
  </si>
  <si>
    <t>GSM587717,GSM587719,</t>
  </si>
  <si>
    <t>LN229_KO_neg_r1,LN229_KO_neg_r2,</t>
  </si>
  <si>
    <t>10 : 667 : 74 : 14,223</t>
  </si>
  <si>
    <t>1.48_5.60</t>
  </si>
  <si>
    <t>1 : 676 : 38 : 14,259</t>
  </si>
  <si>
    <t>0.08_4.05</t>
  </si>
  <si>
    <t>GSE23839-GPL1426.xlsx</t>
  </si>
  <si>
    <t>GSE23839</t>
  </si>
  <si>
    <t>An integrative analysis of the SOX2 response program in glioblastoma</t>
  </si>
  <si>
    <t>GSE23973_1.xlsx</t>
  </si>
  <si>
    <t>GSE23973</t>
  </si>
  <si>
    <t>Large intergenic non-coding RNAs as novel modulators of reprogramming: siRNA (gene expression)</t>
  </si>
  <si>
    <t>GSM590428,GSM590429,</t>
  </si>
  <si>
    <t>lincRNA-ST8SIA3 siRNA1 - gene expression, replicate 1,lincRNA-ST8SIA3 siRNA1 - gene expression, replicate 2,</t>
  </si>
  <si>
    <t>GSM590423,GSM590424,GSM590425,</t>
  </si>
  <si>
    <t>ctrl siRNA1 - gene expression, replicate 1,ctrl siRNA1 - gene expression, replicate 2,ctrl siRNA1 - gene expression, replicate 3,</t>
  </si>
  <si>
    <t>21 : 1,317 : 219 : 18,790</t>
  </si>
  <si>
    <t>38 : 1,300 : 317 : 18,692</t>
  </si>
  <si>
    <t>1.23_2.42</t>
  </si>
  <si>
    <t>GSE23973_2.xlsx</t>
  </si>
  <si>
    <t>GSM590426,GSM590427,</t>
  </si>
  <si>
    <t>lincRNA-ST8SIA3 siRNA4 - gene expression, replicate 1,lincRNA-ST8SIA3 siRNA4 - gene expression, replicate 2,</t>
  </si>
  <si>
    <t>26 : 1,314 : 174 : 18,840</t>
  </si>
  <si>
    <t>1.41_3.25</t>
  </si>
  <si>
    <t>23 : 1,317 : 224 : 18,790</t>
  </si>
  <si>
    <t>0.95_2.26</t>
  </si>
  <si>
    <t>GSE24020_1.xlsx</t>
  </si>
  <si>
    <t>GSE24020</t>
  </si>
  <si>
    <t>NF-kB suppresses genomic instability in non-Hodgkin lymphomas</t>
  </si>
  <si>
    <t>GSM591366,GSM591367,GSM591368,</t>
  </si>
  <si>
    <t>Daudi-P100siRNA-1,Daudi-P100siRNA-2,Daudi-P100siRNA-3,</t>
  </si>
  <si>
    <t>GSM591372,GSM591373,GSM591374,</t>
  </si>
  <si>
    <t>Daudi-Luciferase-1,Daudi-Luciferase-2,Daudi-Luciferase-3,</t>
  </si>
  <si>
    <t>22 : 1,313 : 399 : 18,015</t>
  </si>
  <si>
    <t>0.49_1.17</t>
  </si>
  <si>
    <t>11 : 1,324 : 475 : 17,939</t>
  </si>
  <si>
    <t>0.17_0.57</t>
  </si>
  <si>
    <t>GSE24020_2.xlsx</t>
  </si>
  <si>
    <t>GSM591369,GSM591370,GSM591371,</t>
  </si>
  <si>
    <t>Daudi-P105siRNA-1,Daudi-P105siRNA-2,Daudi-P105siRNA-3,</t>
  </si>
  <si>
    <t>35 : 1,300 : 524 : 17,890</t>
  </si>
  <si>
    <t>0.65_1.30</t>
  </si>
  <si>
    <t>28 : 1,307 : 443 : 17,971</t>
  </si>
  <si>
    <t>0.59_1.28</t>
  </si>
  <si>
    <t>GSE24020_3.xlsx</t>
  </si>
  <si>
    <t>GSM591357,GSM591358,GSM591359,</t>
  </si>
  <si>
    <t>Oci-Ly3-P100siRNA-1,Oci-Ly3-P100siRNA-2,Oci-Ly3-P100siRNA-3,</t>
  </si>
  <si>
    <t>GSM591363,GSM591364,GSM591365,</t>
  </si>
  <si>
    <t>Oci-Ly3-Luciferase-1,Oci-Ly3-Luciferase-2,Oci-Ly3-Luciferase-3,</t>
  </si>
  <si>
    <t>52 : 1,283 : 508 : 17,906</t>
  </si>
  <si>
    <t>1.07_1.91</t>
  </si>
  <si>
    <t>18 : 1,317 : 482 : 17,932</t>
  </si>
  <si>
    <t>0.32_0.82</t>
  </si>
  <si>
    <t>GSE24020_4.xlsx</t>
  </si>
  <si>
    <t>GSM591360,GSM591361,GSM591362,</t>
  </si>
  <si>
    <t>Oci-Ly3-P105siRNA-1,Oci-Ly3-P105siRNA-2,Oci-Ly3-P105siRNA-3,</t>
  </si>
  <si>
    <t>76 : 1,259 : 1,339 : 17,075</t>
  </si>
  <si>
    <t>0.61_0.98</t>
  </si>
  <si>
    <t>72 : 1,263 : 1,251 : 17,163</t>
  </si>
  <si>
    <t>0.61_1.00</t>
  </si>
  <si>
    <t>GSE24182-GPL570_1.xlsx</t>
  </si>
  <si>
    <t>GSE24182</t>
  </si>
  <si>
    <t>Large intergenic non-coding RNAs as novel modulators of reprogramming</t>
  </si>
  <si>
    <t>GSE24182-GPL570_2.xlsx</t>
  </si>
  <si>
    <t>GSE24345.xlsx</t>
  </si>
  <si>
    <t>GSE24345</t>
  </si>
  <si>
    <t>UC San Diego_Friedmann_Kang_Human fibroblast knockdown</t>
  </si>
  <si>
    <t>GSM600045,GSM600047,GSM600049,</t>
  </si>
  <si>
    <t>Knockdown 1,Knockdown 2,Knockdown 3,</t>
  </si>
  <si>
    <t>GSM600044,GSM600046,GSM600048,</t>
  </si>
  <si>
    <t>Control 1,Control 2,Control 3,</t>
  </si>
  <si>
    <t>96 : 1,195 : 1,021 : 23,128</t>
  </si>
  <si>
    <t>1.46_2.26</t>
  </si>
  <si>
    <t>77 : 1,214 : 1,181 : 22,968</t>
  </si>
  <si>
    <t>0.97_1.56</t>
  </si>
  <si>
    <t>GSE24522_1.xlsx</t>
  </si>
  <si>
    <t>GSE24522</t>
  </si>
  <si>
    <t>Expression data of lentivirus sponge MicroRNA16 (miR16) downregulated RPMI 8226 and MMS1 multiple myeloma (MM) cell lines compared with control lentivirus sponge</t>
  </si>
  <si>
    <t>GSM604741,GSM604742,GSM604743,</t>
  </si>
  <si>
    <t>MMS1 cell line, miR16 KO, rep1,MMS1 cell line, miR16 KO, rep2,MMS1 cell line, miR16 KO, rep3,</t>
  </si>
  <si>
    <t>GSM604738,GSM604739,GSM604740,</t>
  </si>
  <si>
    <t>MMS1 cell line, control, rep1,MMS1 cell line, control, rep2,MMS1 cell line, control, rep3,</t>
  </si>
  <si>
    <t>59 : 1,281 : 883 : 18,151</t>
  </si>
  <si>
    <t>0.72_1.24</t>
  </si>
  <si>
    <t>40 : 1,300 : 580 : 18,454</t>
  </si>
  <si>
    <t>0.71_1.36</t>
  </si>
  <si>
    <t>GSE24522_2.xlsx</t>
  </si>
  <si>
    <t>GSM604747,GSM604748,GSM604749,</t>
  </si>
  <si>
    <t>RPMI cell line, miR16 KO, rep1,RPMI cell line, miR16 KO, rep2,RPMI cell line, miR16 KO, rep3,</t>
  </si>
  <si>
    <t>GSM604744,GSM604745,GSM604746,</t>
  </si>
  <si>
    <t>RPMI cell line, control, rep1,RPMI cell line, control, rep2,RPMI cell line, control, rep3,</t>
  </si>
  <si>
    <t>48 : 1,292 : 775 : 18,259</t>
  </si>
  <si>
    <t>0.65_1.18</t>
  </si>
  <si>
    <t>27 : 1,313 : 223 : 18,811</t>
  </si>
  <si>
    <t>1.16_2.60</t>
  </si>
  <si>
    <t>GSE24592_1.xlsx</t>
  </si>
  <si>
    <t>GSE24592</t>
  </si>
  <si>
    <t>Genomic Collaboration of Estrogen Receptor-?? and ERK2 in Regulating Gene and Proliferation Programs</t>
  </si>
  <si>
    <t>GSM606116,GSM606117,GSM606118,</t>
  </si>
  <si>
    <t>siERK2E24h_2662,siERK2E24h_2648,siERK2E24h_2652,</t>
  </si>
  <si>
    <t>GSM606110,GSM606111,GSM606112,</t>
  </si>
  <si>
    <t>siCtrlE24h_2655,siCtrlE24h_2661,siCtrlE24h_2656,</t>
  </si>
  <si>
    <t>22 : 632 : 311 : 9,154</t>
  </si>
  <si>
    <t>0.66_1.59</t>
  </si>
  <si>
    <t>16 : 638 : 245 : 9,220</t>
  </si>
  <si>
    <t>GSE24592_2.xlsx</t>
  </si>
  <si>
    <t>GSM606133,GSM606134,</t>
  </si>
  <si>
    <t>siERK1Veh24h_3499,siERK1Veh24h_3492,</t>
  </si>
  <si>
    <t>GSM606125,GSM606126,</t>
  </si>
  <si>
    <t>siCtrlVeh24h_3490,siCtrlVeh24h_3501,</t>
  </si>
  <si>
    <t>6 : 733 : 48 : 10,010</t>
  </si>
  <si>
    <t>0.73_4.00</t>
  </si>
  <si>
    <t>1 : 738 : 50 : 10,008</t>
  </si>
  <si>
    <t>0.04_1.97</t>
  </si>
  <si>
    <t>GSE24592_3.xlsx</t>
  </si>
  <si>
    <t>GSM606135,GSM606136,</t>
  </si>
  <si>
    <t>siERK1E224h_3491,siERK1E224h_3498,</t>
  </si>
  <si>
    <t>GSM606127,GSM606128,</t>
  </si>
  <si>
    <t>siCtrlE224h_3497,siCtrlE224h_3494,</t>
  </si>
  <si>
    <t>2 : 676 : 53 : 9,413</t>
  </si>
  <si>
    <t>0.13_2.16</t>
  </si>
  <si>
    <t>0 : 678 : 67 : 9,399</t>
  </si>
  <si>
    <t>GSE24592_4.xlsx</t>
  </si>
  <si>
    <t>GSM606119,GSM606120,GSM606121,</t>
  </si>
  <si>
    <t>siERK1Veh4h_2658,siERK1Veh4h_2665,siERK1Veh4h_2653,</t>
  </si>
  <si>
    <t>GSM606107,GSM606108,GSM606109,</t>
  </si>
  <si>
    <t>siCtrlVeh4h_2649,siCtrlVeh4h_2663,siCtrlVeh4h_2657,</t>
  </si>
  <si>
    <t>21 : 616 : 269 : 9,055</t>
  </si>
  <si>
    <t>0.73_1.80</t>
  </si>
  <si>
    <t>22 : 615 : 302 : 9,022</t>
  </si>
  <si>
    <t>0.69_1.66</t>
  </si>
  <si>
    <t>GSE24592_5.xlsx</t>
  </si>
  <si>
    <t>GSM606113,GSM606114,GSM606115,</t>
  </si>
  <si>
    <t>siERK2Veh4h_2650,siERK2Veh4h_2660,siERK2Veh4h_2654,</t>
  </si>
  <si>
    <t>33 : 610 : 436 : 8,990</t>
  </si>
  <si>
    <t>0.78_1.60</t>
  </si>
  <si>
    <t>31 : 612 : 418 : 9,008</t>
  </si>
  <si>
    <t>0.75_1.59</t>
  </si>
  <si>
    <t>GSE24592_6.xlsx</t>
  </si>
  <si>
    <t>GSM606131,GSM606132,</t>
  </si>
  <si>
    <t>siERK2E224h_3493,siERK2E224h_3496,</t>
  </si>
  <si>
    <t>0 : 684 : 82 : 9,382</t>
  </si>
  <si>
    <t>5 : 679 : 78 : 9,386</t>
  </si>
  <si>
    <t>0.36_2.20</t>
  </si>
  <si>
    <t>GSE24592_7.xlsx</t>
  </si>
  <si>
    <t>GSM606129,GSM606130,</t>
  </si>
  <si>
    <t>siERK2Veh24h_3495,siERK2Veh24h_3500,</t>
  </si>
  <si>
    <t>7 : 748 : 77 : 10,209</t>
  </si>
  <si>
    <t>0.57_2.70</t>
  </si>
  <si>
    <t>1 : 754 : 81 : 10,205</t>
  </si>
  <si>
    <t>0.02_1.20</t>
  </si>
  <si>
    <t>GSE24592_8.xlsx</t>
  </si>
  <si>
    <t>GSM606122,GSM606123,GSM606124,</t>
  </si>
  <si>
    <t>siERK1E24h_2659,siERK1E24h_2664,siERK1E24h_2651,</t>
  </si>
  <si>
    <t>32 : 587 : 328 : 8,992</t>
  </si>
  <si>
    <t>1.03_2.17</t>
  </si>
  <si>
    <t>21 : 598 : 308 : 9,012</t>
  </si>
  <si>
    <t>0.66_1.61</t>
  </si>
  <si>
    <t>GSE24746_1.xlsx</t>
  </si>
  <si>
    <t>GSE24746</t>
  </si>
  <si>
    <t>Effects of MMSET on gene expression in multiple myeloma</t>
  </si>
  <si>
    <t>GSM609441,GSM609442,GSM609443,</t>
  </si>
  <si>
    <t>5'shRNA_noDOX_rep01,5'shRNA_noDOX_rep02,5'shRNA_noDOX_rep03,</t>
  </si>
  <si>
    <t>GSM609447,GSM609448,GSM609449,</t>
  </si>
  <si>
    <t>Knockout_DSRed_rep01,Knockout_DSRed_rep02,Knockout_DSRed_rep03,</t>
  </si>
  <si>
    <t>41 : 1,250 : 721 : 23,426</t>
  </si>
  <si>
    <t>0.77_1.47</t>
  </si>
  <si>
    <t>30 : 1,261 : 549 : 23,598</t>
  </si>
  <si>
    <t>0.71_1.48</t>
  </si>
  <si>
    <t>GSE24746_2.xlsx</t>
  </si>
  <si>
    <t>GSM609444,GSM609445,GSM609446,</t>
  </si>
  <si>
    <t>5'shRNA_+DOX_rep01,5'shRNA_+DOX_rep02,5'shRNA_+DOX_rep03,</t>
  </si>
  <si>
    <t>53 : 1,238 : 971 : 23,176</t>
  </si>
  <si>
    <t>0.77_1.36</t>
  </si>
  <si>
    <t>62 : 1,229 : 995 : 23,152</t>
  </si>
  <si>
    <t>0.90_1.53</t>
  </si>
  <si>
    <t>GSE24896.xlsx</t>
  </si>
  <si>
    <t>GSE24896</t>
  </si>
  <si>
    <t>Global expression analysis of BAP1 knockdown in transfected 92.1 cells</t>
  </si>
  <si>
    <t>GSM612253,GSM612254,GSM612255,</t>
  </si>
  <si>
    <t>92.1 - siBAP1 - replicate1,92.1 - siBAP1 - replicate2,92.1 - siBAP1 - replicate3,</t>
  </si>
  <si>
    <t>GSM612250,GSM612251,GSM612252,</t>
  </si>
  <si>
    <t>92.1 - control #1 - replicate1,92.1 - control #1 - replicate2,92.1 - control #1 - replicate3,</t>
  </si>
  <si>
    <t>25 : 1,364 : 363 : 29,577</t>
  </si>
  <si>
    <t>0.99_2.25</t>
  </si>
  <si>
    <t>16 : 1,373 : 329 : 29,611</t>
  </si>
  <si>
    <t>0.63_1.74</t>
  </si>
  <si>
    <t>GSE25238.xlsx</t>
  </si>
  <si>
    <t>GSE25238</t>
  </si>
  <si>
    <t>Gene expression profile associated with p53R2 in human cancer cells</t>
  </si>
  <si>
    <t>GSM621126,GSM621127,</t>
  </si>
  <si>
    <t>p53r2 siRNA 1,p53r2 siRNA 2,</t>
  </si>
  <si>
    <t>GSM621124,GSM621125,</t>
  </si>
  <si>
    <t>Control siRNA 1,Control siRNA 2,</t>
  </si>
  <si>
    <t>14 : 1,323 : 249 : 18,870</t>
  </si>
  <si>
    <t>0.47_1.38</t>
  </si>
  <si>
    <t>17 : 1,320 : 259 : 18,860</t>
  </si>
  <si>
    <t>0.57_1.54</t>
  </si>
  <si>
    <t>GSE25315_1.xlsx</t>
  </si>
  <si>
    <t>GSE25315</t>
  </si>
  <si>
    <t>FoxA1 is a critical determinant of Estrogen Receptor function and endocrine response (part II)</t>
  </si>
  <si>
    <t>GSM622774,GSM622778,GSM622782,</t>
  </si>
  <si>
    <t>si FoxA1 and vehicle replicate 1,si FoxA1 and vehicle replicate 2,si FoxA1 and vehicle replicate 3,</t>
  </si>
  <si>
    <t>GSM622773,GSM622777,GSM622781,</t>
  </si>
  <si>
    <t>34 : 1,355 : 810 : 29,135</t>
  </si>
  <si>
    <t>0.64_1.28</t>
  </si>
  <si>
    <t>45 : 1,344 : 794 : 29,151</t>
  </si>
  <si>
    <t>0.91_1.67</t>
  </si>
  <si>
    <t>GSE25315_2.xlsx</t>
  </si>
  <si>
    <t>GSM622776,GSM622780,GSM622784,</t>
  </si>
  <si>
    <t>si FoxA1 and estrogen replicate 1,si FoxA1 and estrogen replicate 2,si FoxA1 and estrogen replicate 3,</t>
  </si>
  <si>
    <t>GSM622775,GSM622779,GSM622783,</t>
  </si>
  <si>
    <t>36 : 1,353 : 785 : 29,160</t>
  </si>
  <si>
    <t>0.70_1.39</t>
  </si>
  <si>
    <t>62 : 1,327 : 803 : 29,142</t>
  </si>
  <si>
    <t>1.30_2.21</t>
  </si>
  <si>
    <t>GSE25316-GPL10558_1.xlsx</t>
  </si>
  <si>
    <t>GSE25316</t>
  </si>
  <si>
    <t>FoxA1 is a critical determinant of Estrogen Receptor function and endocrine response</t>
  </si>
  <si>
    <t>GSE25316-GPL10558_2.xlsx</t>
  </si>
  <si>
    <t>GSE25458_1.xlsx</t>
  </si>
  <si>
    <t>GSE25458</t>
  </si>
  <si>
    <t>Gene expression in endometrial cancer cells treated with metastin-10 (kp10)</t>
  </si>
  <si>
    <t>GSM624847,GSM624848,GSM624849,</t>
  </si>
  <si>
    <t>GPR54-suppressed Ishikawa, biological rep1,GPR54-suppressed Ishikawa, biological rep2,GPR54-suppressed Ishikawa, biological rep3,</t>
  </si>
  <si>
    <t>GSM624844,GSM624845,GSM624846,</t>
  </si>
  <si>
    <t>Ishikawa non-treated, biological rep1,Ishikawa non-treated, biological rep2,Ishikawa non-treated, biological rep3,</t>
  </si>
  <si>
    <t>18 : 1,322 : 180 : 18,854</t>
  </si>
  <si>
    <t>0.88_2.32</t>
  </si>
  <si>
    <t>15 : 1,325 : 225 : 18,809</t>
  </si>
  <si>
    <t>GSE25458_2.xlsx</t>
  </si>
  <si>
    <t>GSM624850,GSM624851,GSM624852,</t>
  </si>
  <si>
    <t>GPR54-suppressed Ishikawa treated with metastin-10, biological rep1,GPR54-suppressed Ishikawa treated with metastin-10, biological rep2,GPR54-suppressed Ishikawa treated with metastin-10, biological rep3,</t>
  </si>
  <si>
    <t>GSM624841,GSM624842,GSM624843,</t>
  </si>
  <si>
    <t>Ishikawa treated with metastin-10, biological rep1,Ishikawa treated with metastin-10, biological rep2,Ishikawa treated with metastin-10, biological rep3,</t>
  </si>
  <si>
    <t>14 : 1,326 : 203 : 18,831</t>
  </si>
  <si>
    <t>0.57_1.69</t>
  </si>
  <si>
    <t>28 : 1,312 : 440 : 18,594</t>
  </si>
  <si>
    <t>GSE25621.xlsx</t>
  </si>
  <si>
    <t>GSE25621</t>
  </si>
  <si>
    <t>The genes regulated by SOX11 in mantle cell lymphoma</t>
  </si>
  <si>
    <t>GSM629569,GSM629572,GSM629575,GSM629578,</t>
  </si>
  <si>
    <t>Granta 519CellLine_treated with sox11 siRNA_rep1,Granta 519CellLine_treated with sox11 siRNA_rep2,Granta 519CellLine_treated with sox11 siRNA_rep3,Granta 519CellLine_treated with sox11 siRNA_rep4,</t>
  </si>
  <si>
    <t>GSM629568,GSM629571,GSM629574,GSM629577,</t>
  </si>
  <si>
    <t>Granta 519CellLine_treated with control siRNA_rep1,Granta 519CellLine_treated with control siRNA_rep2,Granta 519CellLine_treated with control siRNA_rep3,Granta 519CellLine_treated with control siRNA_rep4,</t>
  </si>
  <si>
    <t>4 : 1,333 : 102 : 19,017</t>
  </si>
  <si>
    <t>0.21_1.52</t>
  </si>
  <si>
    <t>4 : 1,333 : 27 : 19,092</t>
  </si>
  <si>
    <t>0.74_6.07</t>
  </si>
  <si>
    <t>GSE25725.xlsx</t>
  </si>
  <si>
    <t>GSE25725</t>
  </si>
  <si>
    <t>gene expression data from cep701 treated HEL cells and shPRMT5 knocking down HEL cells</t>
  </si>
  <si>
    <t>GSM631754,GSM631770,</t>
  </si>
  <si>
    <t>FP_sh86_111709,FP_sh86_120909,</t>
  </si>
  <si>
    <t>GSM631753,GSM631769,</t>
  </si>
  <si>
    <t>FP_LKO_scramble_111709,FP_LKO_scramble_120909,</t>
  </si>
  <si>
    <t>16 : 1,324 : 180 : 18,854</t>
  </si>
  <si>
    <t>0.76_2.12</t>
  </si>
  <si>
    <t>11 : 1,329 : 216 : 18,818</t>
  </si>
  <si>
    <t>0.39_1.32</t>
  </si>
  <si>
    <t>GSE25867.xlsx</t>
  </si>
  <si>
    <t>GSE25867</t>
  </si>
  <si>
    <t>Expression data from DU145 cells treated with STAT3 siRNA</t>
  </si>
  <si>
    <t>GSM635127,GSM635128,</t>
  </si>
  <si>
    <t>DU145 STAT3 siRNA-1,DU145 STAT3 siRNA-2,</t>
  </si>
  <si>
    <t>GSM635125,GSM635126,</t>
  </si>
  <si>
    <t>DU145 control (non-specific siRNA) 1,DU145 control (non-specific siRNA) 2,</t>
  </si>
  <si>
    <t>10 : 690 : 99 : 9,889</t>
  </si>
  <si>
    <t>0.75_2.79</t>
  </si>
  <si>
    <t>3 : 697 : 105 : 9,883</t>
  </si>
  <si>
    <t>0.13_1.28</t>
  </si>
  <si>
    <t>GSE25944-GPL571.xlsx</t>
  </si>
  <si>
    <t>GSE25944</t>
  </si>
  <si>
    <t>Role of STAT3 in DU145 prostate cancer cell line</t>
  </si>
  <si>
    <t>GSE25987.xlsx</t>
  </si>
  <si>
    <t>GSE25987</t>
  </si>
  <si>
    <t>Gene expression profiling of Hodgkin lymphoma cell line KMH2: Comparison of CIITA-BX648577 knockdown cultures with non-silencing controls</t>
  </si>
  <si>
    <t>GSM637968,GSM637969,</t>
  </si>
  <si>
    <t>KM-H2 cells, CIITA-BX648577 knockdown, replicate 1,KM-H2 cells, CIITA-BX648577 knockdown, replicate 2,</t>
  </si>
  <si>
    <t>GSM637966,GSM637967,</t>
  </si>
  <si>
    <t>KM-H2 cells, Non-silencing control, replicate 1,KM-H2 cells, Non-silencing control, replicate 2,</t>
  </si>
  <si>
    <t>13 : 1,327 : 188 : 18,824</t>
  </si>
  <si>
    <t>0.56_1.73</t>
  </si>
  <si>
    <t>14 : 1,326 : 225 : 18,787</t>
  </si>
  <si>
    <t>0.51_1.52</t>
  </si>
  <si>
    <t>GSE25990-GPL570.xlsx</t>
  </si>
  <si>
    <t>GSE25990</t>
  </si>
  <si>
    <t>Hodgkin lymphoma</t>
  </si>
  <si>
    <t>GSE26079_1.xlsx</t>
  </si>
  <si>
    <t>GSE26079</t>
  </si>
  <si>
    <t>Genome-wide analysis gene expression in SUM-149 cells expressing AREG shRNA</t>
  </si>
  <si>
    <t>GSM640333,GSM640337,GSM640341,</t>
  </si>
  <si>
    <t>SUM-149sh4_rep1,SUM-149sh4_rep2,SUM-149sh4_rep3,</t>
  </si>
  <si>
    <t>GSM640332,GSM640336,GSM640340,</t>
  </si>
  <si>
    <t>SUM-149_rep1,SUM-149_rep2,SUM-149_rep3,</t>
  </si>
  <si>
    <t>55 : 1,335 : 546 : 23,223</t>
  </si>
  <si>
    <t>1.32_2.32</t>
  </si>
  <si>
    <t>30 : 1,360 : 581 : 23,188</t>
  </si>
  <si>
    <t>0.61_1.28</t>
  </si>
  <si>
    <t>GSE26079_2.xlsx</t>
  </si>
  <si>
    <t>GSM640334,GSM640338,GSM640342,</t>
  </si>
  <si>
    <t>SUM-149shPld_rep1,SUM-149shPld_rep2,SUM-149shPld_rep3,</t>
  </si>
  <si>
    <t>55 : 1,335 : 662 : 23,107</t>
  </si>
  <si>
    <t>1.09_1.90</t>
  </si>
  <si>
    <t>34 : 1,356 : 630 : 23,139</t>
  </si>
  <si>
    <t>0.65_1.31</t>
  </si>
  <si>
    <t>GSE26134.xlsx</t>
  </si>
  <si>
    <t>GSE26134</t>
  </si>
  <si>
    <t>Expression data from MTDH knockdown in the Hec50co endometrial cancer cell line</t>
  </si>
  <si>
    <t>GSM641795,GSM641796,GSM641797,</t>
  </si>
  <si>
    <t>MTDH knockdown, biological replicate 1,MTDH knockdown, biological replicate 2,MTDH knockdown, biological replicate 3,</t>
  </si>
  <si>
    <t>GSM641798,GSM641799,GSM641800,</t>
  </si>
  <si>
    <t>MTDH control, biological replicate 1,MTDH control, biological replicate 2,MTDH control, biological replicate 3,</t>
  </si>
  <si>
    <t>24 : 1,313 : 256 : 18,863</t>
  </si>
  <si>
    <t>0.88_2.05</t>
  </si>
  <si>
    <t>15 : 1,322 : 171 : 18,948</t>
  </si>
  <si>
    <t>0.74_2.14</t>
  </si>
  <si>
    <t>GSE26241_1.xlsx</t>
  </si>
  <si>
    <t>GSE26241</t>
  </si>
  <si>
    <t>Expression data from TGFbeta-treated control or aPKC silenced A549 cells</t>
  </si>
  <si>
    <t>GSM644071,GSM644077,GSM644083,</t>
  </si>
  <si>
    <t>siPKCiz (+TGFbeta, 24 hours) biological replicate 1,siPKCiz (+TGFbeta, 24 hours) biological replicate 2,siPKCiz (+TGFbeta, 24 hours) biological replicate 3,</t>
  </si>
  <si>
    <t>GSM644070,GSM644076,GSM644082,</t>
  </si>
  <si>
    <t>siControl, (+TGFbeta, 24 hours), biological replicate 1,siControl, (+TGFbeta, 24 hours), biological replicate 2,siControl, (+TGFbeta, 24 hours), biological replicate 3,</t>
  </si>
  <si>
    <t>10 : 1,327 : 164 : 18,955</t>
  </si>
  <si>
    <t>0.46_1.65</t>
  </si>
  <si>
    <t>6 : 1,331 : 176 : 18,943</t>
  </si>
  <si>
    <t>0.21_1.10</t>
  </si>
  <si>
    <t>GSE26241_2.xlsx</t>
  </si>
  <si>
    <t>GSM644069,GSM644075,GSM644081,</t>
  </si>
  <si>
    <t>siPKCiz (+TGFbeta, 8 hours), biological replicate 1,siPKCiz (+TGFbeta, 8 hours), biological replicate 2,siPKCiz (+TGFbeta, 8 hours), biological replicate 3,</t>
  </si>
  <si>
    <t>GSM644068,GSM644074,GSM644080,</t>
  </si>
  <si>
    <t>siControl, (+TGFbeta, 8 hours), biological replicate 1,siControl, (+TGFbeta, 8 hours), biological replicate 2,siControl, (+TGFbeta, 8 hours), biological replicate 3,</t>
  </si>
  <si>
    <t>16 : 1,321 : 217 : 18,902</t>
  </si>
  <si>
    <t>0.63_1.76</t>
  </si>
  <si>
    <t>7 : 1,330 : 246 : 18,873</t>
  </si>
  <si>
    <t>0.19_0.86</t>
  </si>
  <si>
    <t>GSE26241_3.xlsx</t>
  </si>
  <si>
    <t>GSM644067,GSM644073,GSM644079,</t>
  </si>
  <si>
    <t>siPKCiz (-TGFbeta) biological replicate 1,siPKCiz (-TGFbeta) biological replicate 2,siPKCiz (-TGFbeta) biological replicate 3,</t>
  </si>
  <si>
    <t>GSM644066,GSM644072,GSM644078,</t>
  </si>
  <si>
    <t>siControl, (-TGFbeta) biological replicate 1,siControl, (-TGFbeta) biological replicate 2,siControl, (-TGFbeta) biological replicate 3,</t>
  </si>
  <si>
    <t>10 : 1,327 : 209 : 18,910</t>
  </si>
  <si>
    <t>30 : 1,307 : 336 : 18,783</t>
  </si>
  <si>
    <t>0.88_1.87</t>
  </si>
  <si>
    <t>GSE26298_1.xlsx</t>
  </si>
  <si>
    <t>GSE26298</t>
  </si>
  <si>
    <t>Under conditions of hormonal adjuvant treatment the estrogen receptor apoprotein supports breast cancer cell cycling through the retinoic acid receptor ??1 apoprotein</t>
  </si>
  <si>
    <t>GSM645716,GSM645717,</t>
  </si>
  <si>
    <t>MCF-7 +ER siRNA + vehicle rep1 (MD37),MCF-7 +ER siRNA + vehicle rep2 (MD38),</t>
  </si>
  <si>
    <t>GSM645710,GSM645711,GSM645718,GSM645719,</t>
  </si>
  <si>
    <t>MCF-7 +scrambled siRNA + vehicle rep1 (MD31),MCF-7 +scrambled siRNA + vehicle rep2 (MD32),MCF-7 +scrambled siRNA + vehicle rep1 (MD39),MCF-7 +scrambled siRNA + vehicle rep2 (MD40),</t>
  </si>
  <si>
    <t>41 : 1,299 : 452 : 18,582</t>
  </si>
  <si>
    <t>0.94_1.80</t>
  </si>
  <si>
    <t>38 : 1,302 : 462 : 18,572</t>
  </si>
  <si>
    <t>0.84_1.64</t>
  </si>
  <si>
    <t>GSE26298_2.xlsx</t>
  </si>
  <si>
    <t>GSM645720,GSM645721,</t>
  </si>
  <si>
    <t>MCF-7 + RARalpha siRNA + vehicle rep1 (MD41),MCF-7 + RARalpha siRNA + vehicle rep1 (MD42),</t>
  </si>
  <si>
    <t>18 : 1,322 : 327 : 18,707</t>
  </si>
  <si>
    <t>0.48_1.26</t>
  </si>
  <si>
    <t>46 : 1,294 : 385 : 18,649</t>
  </si>
  <si>
    <t>1.26_2.35</t>
  </si>
  <si>
    <t>GSE26309_1.xlsx</t>
  </si>
  <si>
    <t>GSE26309</t>
  </si>
  <si>
    <t>A Transcriptomic Analysis of NET1 (a RhoA GEF Exchange Factor) in AGS Gastric Cancer Cells</t>
  </si>
  <si>
    <t>GSM646073,GSM646074,</t>
  </si>
  <si>
    <t>GB 9 65A NO LPA,GB 10 65B NO LPA,</t>
  </si>
  <si>
    <t>GSM646075,GSM646076,</t>
  </si>
  <si>
    <t>GB 11 NTA NO LPA,GB 12 NTB NO LPA,</t>
  </si>
  <si>
    <t>12 : 907 : 133 : 12,006</t>
  </si>
  <si>
    <t>0.66_2.16</t>
  </si>
  <si>
    <t>13 : 906 : 141 : 11,998</t>
  </si>
  <si>
    <t>0.69_2.16</t>
  </si>
  <si>
    <t>GSE26309_2.xlsx</t>
  </si>
  <si>
    <t>GSM646065,GSM646066,</t>
  </si>
  <si>
    <t>GB 1 63A +LPA,GB 2 63B +LPA,</t>
  </si>
  <si>
    <t>GSM646069,GSM646070,</t>
  </si>
  <si>
    <t>GB 5 NTA +LPA,GB 6 NTB +LPA,</t>
  </si>
  <si>
    <t>19 : 900 : 149 : 11,990</t>
  </si>
  <si>
    <t>1.05_2.75</t>
  </si>
  <si>
    <t>12 : 907 : 169 : 11,970</t>
  </si>
  <si>
    <t>GSE26309_3.xlsx</t>
  </si>
  <si>
    <t>GSM646071,GSM646072,</t>
  </si>
  <si>
    <t>GB 7 63A NO LPA,GB 8 63B NO LPA,</t>
  </si>
  <si>
    <t>14 : 905 : 139 : 12,000</t>
  </si>
  <si>
    <t>0.77_2.32</t>
  </si>
  <si>
    <t>7 : 912 : 108 : 12,031</t>
  </si>
  <si>
    <t>0.40_1.84</t>
  </si>
  <si>
    <t>GSE26309_4.xlsx</t>
  </si>
  <si>
    <t>GSM646067,GSM646068,</t>
  </si>
  <si>
    <t>GB 3 65A +LPA,GB 4 65B +LPA,</t>
  </si>
  <si>
    <t>14 : 905 : 107 : 12,032</t>
  </si>
  <si>
    <t>0.99_3.05</t>
  </si>
  <si>
    <t>11 : 908 : 120 : 12,019</t>
  </si>
  <si>
    <t>0.65_2.26</t>
  </si>
  <si>
    <t>GSE26458_1.xlsx</t>
  </si>
  <si>
    <t>GSE26458</t>
  </si>
  <si>
    <t>Effects of IKAP/hELP1 deficiency on gene expression in differentiating neuroblastoma cells, implications for Familial dysautonomia</t>
  </si>
  <si>
    <t>GSM649480,GSM649481,</t>
  </si>
  <si>
    <t>B778_PLKO_DF1,B779_PLKO_DF2,</t>
  </si>
  <si>
    <t>GSM649482,GSM649483,</t>
  </si>
  <si>
    <t>B780_V71_DF1,B781_V71_DF2,</t>
  </si>
  <si>
    <t>14 : 1,323 : 148 : 18,971</t>
  </si>
  <si>
    <t>0.78_2.35</t>
  </si>
  <si>
    <t>13 : 1,324 : 190 : 18,929</t>
  </si>
  <si>
    <t>0.56_1.72</t>
  </si>
  <si>
    <t>GSE26458_2.xlsx</t>
  </si>
  <si>
    <t>GSM649476,GSM649477,</t>
  </si>
  <si>
    <t>B774_PLKO_NDF2,B775_PLKO_NDF3,</t>
  </si>
  <si>
    <t>GSM649478,GSM649479,</t>
  </si>
  <si>
    <t>B776_V71_NDF2,B777_V71_NDF3,</t>
  </si>
  <si>
    <t>10 : 1,327 : 138 : 18,981</t>
  </si>
  <si>
    <t>0.54_1.97</t>
  </si>
  <si>
    <t>22 : 1,315 : 143 : 18,976</t>
  </si>
  <si>
    <t>1.41_3.49</t>
  </si>
  <si>
    <t>GSE26462.xlsx</t>
  </si>
  <si>
    <t>GSE26462</t>
  </si>
  <si>
    <t>Expression data from WASF3 knockdown stable MDA-MB-231 cells and control cells</t>
  </si>
  <si>
    <t>GSM650467,GSM650468,GSM650469,</t>
  </si>
  <si>
    <t>231-knockdown-rep 1,231-knockdown-rep 2,231-knockdown-rep 3,</t>
  </si>
  <si>
    <t>GSM650470,GSM650471,GSM650472,</t>
  </si>
  <si>
    <t>231-control-rep 1,231-control-rep 2,231-control-rep 3,</t>
  </si>
  <si>
    <t>25 : 1,315 : 344 : 18,690</t>
  </si>
  <si>
    <t>0.69_1.56</t>
  </si>
  <si>
    <t>39 : 1,301 : 313 : 18,721</t>
  </si>
  <si>
    <t>1.28_2.51</t>
  </si>
  <si>
    <t>GSE26529.xlsx</t>
  </si>
  <si>
    <t>GSE26529</t>
  </si>
  <si>
    <t>Bidirectional manipulation of SF-1 (NR5A1) in NCI-H295R cells</t>
  </si>
  <si>
    <t>GSM652267,GSM652268,GSM652269,GSM652270,GSM652271,</t>
  </si>
  <si>
    <t>SF-1 knockdown with shRNA, biol replicate 1,SF-1 knockdown with shRNA, biol replicate 2,SF-1 knockdown with shRNA, biol replicate 3,SF-1 knockdown with shRNA, biol replicate 4,SF-1 knockdown with shRNA, biol replicate 5,</t>
  </si>
  <si>
    <t>GSM652272,GSM652273,GSM652274,GSM652275,</t>
  </si>
  <si>
    <t>control mismatch shRNA, biol replicate 1,control mismatch shRNA, biol replicate 2,control mismatch shRNA, biol replicate 3,control mismatch shRNA, biol replicate 4,</t>
  </si>
  <si>
    <t>20 : 1,317 : 183 : 18,936</t>
  </si>
  <si>
    <t>0.99_2.50</t>
  </si>
  <si>
    <t>26 : 1,311 : 190 : 18,929</t>
  </si>
  <si>
    <t>1.31_2.99</t>
  </si>
  <si>
    <t>GSE26888.xlsx</t>
  </si>
  <si>
    <t>GSE26888</t>
  </si>
  <si>
    <t>Expression data from HeLa cells transiently transfected with control siRNA or SON siRNA</t>
  </si>
  <si>
    <t>GSM662185,GSM662187,GSM662189,</t>
  </si>
  <si>
    <t>SON siRNA rep1,SON siRNA rep2,SON siRNA rep3,</t>
  </si>
  <si>
    <t>GSM662184,GSM662186,GSM662188,</t>
  </si>
  <si>
    <t>control siRNA rep1,control siRNA rep2,control siRNA rep3,</t>
  </si>
  <si>
    <t>7 : 912 : 289 : 11,850</t>
  </si>
  <si>
    <t>0.15_0.67</t>
  </si>
  <si>
    <t>12 : 907 : 150 : 11,989</t>
  </si>
  <si>
    <t>0.59_1.91</t>
  </si>
  <si>
    <t>GSE27275.xlsx</t>
  </si>
  <si>
    <t>GSE27275</t>
  </si>
  <si>
    <t>Effect of PITX2 knockdown on transcriptome of primary human trabecular meshwork cell cultures</t>
  </si>
  <si>
    <t>GSM674336,GSM674337,GSM674338,GSM674339,</t>
  </si>
  <si>
    <t>siRNA 1 PITX2-TM1,siRNA 2 PITX2-TM1,siRNA 1 PITX2-TM2,siRNA 2 PITX2-TM2,</t>
  </si>
  <si>
    <t>GSM674340,GSM674341,GSM674342,GSM674343,</t>
  </si>
  <si>
    <t>Control 1-TM1,Control 2-TM1,Control 1-TM2,Control 2-TM2,</t>
  </si>
  <si>
    <t>21 : 1,132 : 142 : 16,017</t>
  </si>
  <si>
    <t>1.32_3.32</t>
  </si>
  <si>
    <t>11 : 1,142 : 182 : 15,977</t>
  </si>
  <si>
    <t>0.46_1.56</t>
  </si>
  <si>
    <t>GSE27473.xlsx</t>
  </si>
  <si>
    <t>GSE27473</t>
  </si>
  <si>
    <t>Expression data from MCF7 cell line after silencing of Estrogen receptor</t>
  </si>
  <si>
    <t>GSM678805,GSM678806,GSM678807,</t>
  </si>
  <si>
    <t>MCF7 silenced Estrogen receptor, biological rep1,MCF7 silenced Estrogen receptor, biological rep2,MCF7 silenced Estrogen receptor, biological rep3,</t>
  </si>
  <si>
    <t>GSM678802,GSM678803,GSM678804,</t>
  </si>
  <si>
    <t>MCF7, biological rep1,MCF7, biological rep2,MCF7, biological rep3,</t>
  </si>
  <si>
    <t>292 : 1,048 : 3,957 : 15,077</t>
  </si>
  <si>
    <t>0.93_1.21</t>
  </si>
  <si>
    <t>314 : 1,026 : 3,355 : 15,679</t>
  </si>
  <si>
    <t>1.25_1.63</t>
  </si>
  <si>
    <t>GSE27682_1.xlsx</t>
  </si>
  <si>
    <t>GSE27682</t>
  </si>
  <si>
    <t>Reprogramming Transcriptional Responses through Functionally-Distinct Classes of Enhancers in Prostate Cancer Cells [gene expression]</t>
  </si>
  <si>
    <t>GSM685663,GSM685664,GSM685665,</t>
  </si>
  <si>
    <t>LNCaP-RNA-dht-siFoxA1 rep1 [gene expr],LNCaP-RNA-dht-siFoxA1 rep2 [gene expr],LNCaP-RNA-dht-siFoxA1 rep3 [gene expr],</t>
  </si>
  <si>
    <t>GSM685657,GSM685658,GSM685659,</t>
  </si>
  <si>
    <t>LNCaP-RNA-dht-siCTRL rep1 [gene expr],LNCaP-RNA-dht-siCTRL rep2 [gene expr],LNCaP-RNA-dht-siCTRL rep3 [gene expr],</t>
  </si>
  <si>
    <t>71 : 1,261 : 868 : 22,348</t>
  </si>
  <si>
    <t>1.13_1.86</t>
  </si>
  <si>
    <t>57 : 1,275 : 917 : 22,299</t>
  </si>
  <si>
    <t>0.83_1.43</t>
  </si>
  <si>
    <t>GSE27682_2.xlsx</t>
  </si>
  <si>
    <t>GSM685660,GSM685661,GSM685662,</t>
  </si>
  <si>
    <t>LNCaP-RNA-vehicle-siFoxA1 rep1 [gene expr],LNCaP-RNA-vehicle-siFoxA1 rep2 [gene expr],LNCaP-RNA-vehicle-siFoxA1 rep3 [gene expr],</t>
  </si>
  <si>
    <t>GSM685654,GSM685655,GSM685656,</t>
  </si>
  <si>
    <t>LNCaP-RNA-vehicle-siCTRL rep1 [gene expr],LNCaP-RNA-vehicle-siCTRL rep2 [gene expr],LNCaP-RNA-vehicle-siCTRL rep3 [gene expr],</t>
  </si>
  <si>
    <t>37 : 1,295 : 555 : 22,661</t>
  </si>
  <si>
    <t>0.83_1.63</t>
  </si>
  <si>
    <t>38 : 1,294 : 543 : 22,673</t>
  </si>
  <si>
    <t>0.88_1.71</t>
  </si>
  <si>
    <t>GSE27824-GPL6102_1.xlsx</t>
  </si>
  <si>
    <t>GSE27824</t>
  </si>
  <si>
    <t>Reprogramming Transcriptional Responses through Functionally-Distinct Classes of Enhancers in Prostate Cancer Cells</t>
  </si>
  <si>
    <t>GSE27824-GPL6102_2.xlsx</t>
  </si>
  <si>
    <t>GSE27828.xlsx</t>
  </si>
  <si>
    <t>GSE27828</t>
  </si>
  <si>
    <t>Expression data from metadherin (MTDH) knockdown in the Ishikawa H endometrial cancer cell line</t>
  </si>
  <si>
    <t>GSM687008,GSM687009,GSM687010,</t>
  </si>
  <si>
    <t>GSM687005,GSM687006,GSM687007,</t>
  </si>
  <si>
    <t>18 : 1,159 : 250 : 14,760</t>
  </si>
  <si>
    <t>26 : 1,151 : 176 : 14,834</t>
  </si>
  <si>
    <t>1.26_2.89</t>
  </si>
  <si>
    <t>GSE27897_1.xlsx</t>
  </si>
  <si>
    <t>GSE27897</t>
  </si>
  <si>
    <t>Attenuation of EIF4E Translation Initiation Adversely Affects Multiple Myeloma Cells</t>
  </si>
  <si>
    <t>GSM688874,GSM688880,GSM688886,</t>
  </si>
  <si>
    <t>CAG 82N1, rep1,CAG 82N1, rep2,CAG 82N1, rep3,</t>
  </si>
  <si>
    <t>GSM688872,GSM688878,GSM688884,</t>
  </si>
  <si>
    <t>CAG N1, rep1,CAG N1, rep2,CAG N1, rep3,</t>
  </si>
  <si>
    <t>2 : 1,335 : 42 : 19,077</t>
  </si>
  <si>
    <t>0 : 1,337 : 35 : 19,084</t>
  </si>
  <si>
    <t>GSE27897_2.xlsx</t>
  </si>
  <si>
    <t>GSM688870,GSM688876,GSM688882,</t>
  </si>
  <si>
    <t>8226 81N1, rep1,8226 81N1, rep2,8226 81N1, rep3,</t>
  </si>
  <si>
    <t>GSM688869,GSM688875,GSM688881,</t>
  </si>
  <si>
    <t>8226 N1, rep1,8226 N1, rep2,8226 N1, rep3,</t>
  </si>
  <si>
    <t>4 : 1,333 : 76 : 19,043</t>
  </si>
  <si>
    <t>0.27_2.06</t>
  </si>
  <si>
    <t>6 : 1,331 : 89 : 19,030</t>
  </si>
  <si>
    <t>0.42_2.21</t>
  </si>
  <si>
    <t>GSE27897_3.xlsx</t>
  </si>
  <si>
    <t>GSM688873,GSM688879,GSM688885,</t>
  </si>
  <si>
    <t>CAG 81N1, rep1,CAG 81N1, rep2,CAG 81N1, rep3,</t>
  </si>
  <si>
    <t>2 : 1,335 : 43 : 19,076</t>
  </si>
  <si>
    <t>0.16_2.75</t>
  </si>
  <si>
    <t>1 : 1,336 : 36 : 19,083</t>
  </si>
  <si>
    <t>0.05_2.90</t>
  </si>
  <si>
    <t>GSE27897_4.xlsx</t>
  </si>
  <si>
    <t>GSM688871,GSM688877,GSM688883,</t>
  </si>
  <si>
    <t>8226 82N1, rep1,8226 82N1, rep2,8226 82N1, rep3,</t>
  </si>
  <si>
    <t>4 : 1,333 : 73 : 19,046</t>
  </si>
  <si>
    <t>0.29_2.15</t>
  </si>
  <si>
    <t>0 : 1,337 : 46 : 19,073</t>
  </si>
  <si>
    <t>GSE27914_1.xlsx</t>
  </si>
  <si>
    <t>GSE27914</t>
  </si>
  <si>
    <t>Expression data from LNCap cell line treated with COP1 (RFWD2), ETV1, and JUN siRNAs</t>
  </si>
  <si>
    <t>GSM689410,GSM689411,GSM689421,GSM689424,GSM689430,GSM689437,</t>
  </si>
  <si>
    <t>BIO586229,BIO586232,BIO586230,BIO586231,BIO586228,BIO586233,</t>
  </si>
  <si>
    <t>GSM689415,GSM689418,GSM689426,GSM689428,GSM689432,GSM689433,GSM689434,GSM689435,</t>
  </si>
  <si>
    <t>BIO586219,BIO588359,BIO586218,BIO588356,BIO588358,BIO586220,BIO586221,BIO588357,</t>
  </si>
  <si>
    <t>78 : 1,262 : 1,109 : 17,925</t>
  </si>
  <si>
    <t>0.79_1.27</t>
  </si>
  <si>
    <t>111 : 1,229 : 1,259 : 17,775</t>
  </si>
  <si>
    <t>1.04_1.56</t>
  </si>
  <si>
    <t>GSE27914_2.xlsx</t>
  </si>
  <si>
    <t>GSM689412,GSM689413,GSM689417,GSM689431,GSM689438,</t>
  </si>
  <si>
    <t>BIO588363,BIO588370,BIO588371,BIO588364,BIO588365,</t>
  </si>
  <si>
    <t>77 : 1,263 : 1,046 : 17,988</t>
  </si>
  <si>
    <t>124 : 1,216 : 1,083 : 17,951</t>
  </si>
  <si>
    <t>1.39_2.05</t>
  </si>
  <si>
    <t>GSE27914_3.xlsx</t>
  </si>
  <si>
    <t>GSM689414,GSM689422,GSM689425,GSM689427,GSM689439,GSM689440,</t>
  </si>
  <si>
    <t>BIO588360,BIO588361,BIO588367,BIO588366,BIO588368,BIO588362,</t>
  </si>
  <si>
    <t>96 : 1,244 : 1,801 : 17,233</t>
  </si>
  <si>
    <t>0.60_0.91</t>
  </si>
  <si>
    <t>105 : 1,235 : 1,084 : 17,950</t>
  </si>
  <si>
    <t>1.14_1.73</t>
  </si>
  <si>
    <t>GSE27914_4.xlsx</t>
  </si>
  <si>
    <t>GSM689416,GSM689419,GSM689420,GSM689423,GSM689429,GSM689436,</t>
  </si>
  <si>
    <t>BIO586227,BIO586222,BIO586225,BIO586226,BIO586223,BIO586224,</t>
  </si>
  <si>
    <t>61 : 1,279 : 725 : 18,309</t>
  </si>
  <si>
    <t>0.92_1.57</t>
  </si>
  <si>
    <t>58 : 1,282 : 595 : 18,439</t>
  </si>
  <si>
    <t>1.06_1.85</t>
  </si>
  <si>
    <t>GSE28008-GPL10558_1.xlsx</t>
  </si>
  <si>
    <t>GSE28008</t>
  </si>
  <si>
    <t>The pioneer factor PBX1 guides a distinct ERa signaling in breast cancer</t>
  </si>
  <si>
    <t>GSM692737,GSM692741,</t>
  </si>
  <si>
    <t>siPBX1 treated with DMSO rep1,siPBX1 treated with DMSO rep2,</t>
  </si>
  <si>
    <t>GSM692735,GSM692739,</t>
  </si>
  <si>
    <t>siControl treated with DMSO rep1,siControl treated with DMSO rep2,</t>
  </si>
  <si>
    <t>8 : 1,381 : 219 : 29,726</t>
  </si>
  <si>
    <t>0.39_1.60</t>
  </si>
  <si>
    <t>11 : 1,378 : 223 : 29,722</t>
  </si>
  <si>
    <t>0.58_1.95</t>
  </si>
  <si>
    <t>GSE28008-GPL10558_2.xlsx</t>
  </si>
  <si>
    <t>GSM692738,GSM692742,</t>
  </si>
  <si>
    <t>siPBX1 treated with E2 rep1,siPBX1 treated with E2 rep2,</t>
  </si>
  <si>
    <t>GSM692736,GSM692740,</t>
  </si>
  <si>
    <t>siControl treated with E2 rep1,siControl treated with E2 rep2,</t>
  </si>
  <si>
    <t>12 : 1,377 : 202 : 29,743</t>
  </si>
  <si>
    <t>0.71_2.30</t>
  </si>
  <si>
    <t>5 : 1,384 : 214 : 29,731</t>
  </si>
  <si>
    <t>0.21_1.22</t>
  </si>
  <si>
    <t>GSE28053-GPL570_1.xlsx</t>
  </si>
  <si>
    <t>GSE28053</t>
  </si>
  <si>
    <t>Role of BACH1 in HEK 293T cells</t>
  </si>
  <si>
    <t>GSM693930,GSM693931,GSM693932,</t>
  </si>
  <si>
    <t>HEK293T_BACH1-siRNA1_24h_rep1,HEK293T_BACH1-siRNA1_24h_rep2,HEK293T_BACH1-siRNA1_24h_rep3,</t>
  </si>
  <si>
    <t>GSM693936,GSM693937,GSM693938,GSM693939,</t>
  </si>
  <si>
    <t>HEK293T_mock-transfection_24h_rep1,HEK293T_mock-transfection_24h_rep2,HEK293T_mock-transfection_24h_rep3,HEK293T_mock-transfection_24h_rep4,</t>
  </si>
  <si>
    <t>206 : 1,134 : 2,893 : 16,141</t>
  </si>
  <si>
    <t>0.87_1.18</t>
  </si>
  <si>
    <t>154 : 1,186 : 2,067 : 16,967</t>
  </si>
  <si>
    <t>0.90_1.27</t>
  </si>
  <si>
    <t>GSE28053-GPL570_2.xlsx</t>
  </si>
  <si>
    <t>GSM693927,GSM693928,GSM693929,</t>
  </si>
  <si>
    <t>HEK293T_BACH1-esiRNA_24h_rep1,HEK293T_BACH1-esiRNA_24h_rep2,HEK293T_BACH1-esiRNA_24h_rep3,</t>
  </si>
  <si>
    <t>276 : 1,064 : 4,503 : 14,531</t>
  </si>
  <si>
    <t>0.73_0.96</t>
  </si>
  <si>
    <t>295 : 1,045 : 3,319 : 15,715</t>
  </si>
  <si>
    <t>1.17_1.53</t>
  </si>
  <si>
    <t>GSE28053-GPL570_3.xlsx</t>
  </si>
  <si>
    <t>GSM693933,GSM693934,GSM693935,</t>
  </si>
  <si>
    <t>HEK293T_BACH1-siRNA2_24h_rep1,HEK293T_BACH1-siRNA2_24h_rep2,HEK293T_BACH1-siRNA2_24h_rep3,</t>
  </si>
  <si>
    <t>58 : 1,282 : 619 : 18,415</t>
  </si>
  <si>
    <t>1.02_1.77</t>
  </si>
  <si>
    <t>77 : 1,263 : 1,089 : 17,945</t>
  </si>
  <si>
    <t>GSE28053-GPL570_4.xlsx</t>
  </si>
  <si>
    <t>GSM693940,GSM693941,GSM693942,</t>
  </si>
  <si>
    <t>HEK293T_BACH1-esiRNA_72h_rep1,HEK293T_BACH1-esiRNA_72h_rep2,HEK293T_BACH1-esiRNA_72h_rep3,</t>
  </si>
  <si>
    <t>GSM693949,GSM693950,GSM693951,</t>
  </si>
  <si>
    <t>HEK293T_mock-transfection_72h_rep1,HEK293T_mock-transfection_72h_rep2,HEK293T_mock-transfection_72h_rep3,</t>
  </si>
  <si>
    <t>96 : 1,244 : 1,305 : 17,729</t>
  </si>
  <si>
    <t>0.85_1.30</t>
  </si>
  <si>
    <t>112 : 1,228 : 1,467 : 17,567</t>
  </si>
  <si>
    <t>0.89_1.33</t>
  </si>
  <si>
    <t>GSE28053-GPL570_5.xlsx</t>
  </si>
  <si>
    <t>GSM693943,GSM693944,GSM693945,</t>
  </si>
  <si>
    <t>HEK293T_BACH1-siRNA1_72h_rep1,HEK293T_BACH1-siRNA1_72h_rep2,HEK293T_BACH1-siRNA1_72h_rep3,</t>
  </si>
  <si>
    <t>136 : 1,204 : 2,190 : 16,844</t>
  </si>
  <si>
    <t>0.72_1.04</t>
  </si>
  <si>
    <t>293 : 1,047 : 3,215 : 15,819</t>
  </si>
  <si>
    <t>1.20_1.58</t>
  </si>
  <si>
    <t>GSE28053-GPL570_6.xlsx</t>
  </si>
  <si>
    <t>GSM693946,GSM693947,GSM693948,</t>
  </si>
  <si>
    <t>HEK293T_BACH1-siRNA2_72h_rep1,HEK293T_BACH1-siRNA2_72h_rep2,HEK293T_BACH1-siRNA2_72h_rep3,</t>
  </si>
  <si>
    <t>51 : 1,289 : 516 : 18,518</t>
  </si>
  <si>
    <t>1.06_1.90</t>
  </si>
  <si>
    <t>49 : 1,291 : 530 : 18,504</t>
  </si>
  <si>
    <t>0.98_1.79</t>
  </si>
  <si>
    <t>GSE28059_1.xlsx</t>
  </si>
  <si>
    <t>GSE28059</t>
  </si>
  <si>
    <t>Expression in Huh7 cells 72 hours after treatment with scramble, SPTLC123, or DEGS siRNA</t>
  </si>
  <si>
    <t>GSM694034,GSM694035,GSM694036,</t>
  </si>
  <si>
    <t>Huh7 DEGS1 siRNA, biological rep1,Huh7 DEGS1 siRNA, biological rep2,Huh7 DEGS1 siRNA, biological rep3,</t>
  </si>
  <si>
    <t>GSM694037,GSM694038,GSM694039,</t>
  </si>
  <si>
    <t>Huh7 scramble siRNA, biological rep1,Huh7 scramble siRNA, biological rep2,Huh7 scramble siRNA, biological rep3,</t>
  </si>
  <si>
    <t>34 : 1,306 : 388 : 18,646</t>
  </si>
  <si>
    <t>0.88_1.78</t>
  </si>
  <si>
    <t>33 : 1,307 : 385 : 18,649</t>
  </si>
  <si>
    <t>GSE28059_2.xlsx</t>
  </si>
  <si>
    <t>GSM694040,GSM694041,GSM694042,</t>
  </si>
  <si>
    <t>Huh7 SPTLC123 siRNA, biological rep1,Huh7 SPTLC123 siRNA, biological rep2,Huh7 SPTLC123 siRNA, biological rep3,</t>
  </si>
  <si>
    <t>35 : 1,305 : 502 : 18,532</t>
  </si>
  <si>
    <t>40 : 1,300 : 608 : 18,426</t>
  </si>
  <si>
    <t>0.67_1.29</t>
  </si>
  <si>
    <t>GSE28135_1.xlsx</t>
  </si>
  <si>
    <t>GSE28135</t>
  </si>
  <si>
    <t>PRMT1 interacts with leukemia fusion protein AML1-ETO for activation of transcription and transformation</t>
  </si>
  <si>
    <t>GSM697055,GSM697056,GSM697057,</t>
  </si>
  <si>
    <t>WT_siPRMT1_rep1,WT_siPRMT1_rep2,WT_siPRMT1_rep3,</t>
  </si>
  <si>
    <t>GSM697052,GSM697053,GSM697054,</t>
  </si>
  <si>
    <t>WT_(-)siRNA_rep1,WT_(-)siRNA_rep2,WT_(-)siRNA_rep3,</t>
  </si>
  <si>
    <t>8 : 1,381 : 222 : 29,722</t>
  </si>
  <si>
    <t>0.38_1.57</t>
  </si>
  <si>
    <t>19 : 1,370 : 280 : 29,664</t>
  </si>
  <si>
    <t>0.92_2.35</t>
  </si>
  <si>
    <t>GSE28135_2.xlsx</t>
  </si>
  <si>
    <t>GSM697061,GSM697062,GSM697063,</t>
  </si>
  <si>
    <t>AE9a_siPRMT1_rep1,AE9a_siPRMT1_rep2,AE9a_siPRMT1_rep3,</t>
  </si>
  <si>
    <t>GSM697058,GSM697059,GSM697060,</t>
  </si>
  <si>
    <t>AE9a_(-)siRNA_rep1,AE9a_(-)siRNA_rep2,AE9a_(-)siRNA_rep3,</t>
  </si>
  <si>
    <t>55 : 1,334 : 971 : 28,974</t>
  </si>
  <si>
    <t>0.93_1.62</t>
  </si>
  <si>
    <t>21 : 1,368 : 721 : 29,224</t>
  </si>
  <si>
    <t>0.40_0.96</t>
  </si>
  <si>
    <t>GSE28339_1.xlsx</t>
  </si>
  <si>
    <t>GSE28339</t>
  </si>
  <si>
    <t>Gene expression data following Cyclin T2 and Cyclin T1 depletion by shRNA in HeLa cells</t>
  </si>
  <si>
    <t>GSM700770,GSM700773,</t>
  </si>
  <si>
    <t>Cyclin T1 shRNA-biological replicate 1,Cyclin T1 shRNA-biological replicate 2,</t>
  </si>
  <si>
    <t>GSM700769,GSM700772,</t>
  </si>
  <si>
    <t>MM control shRNA- biological replicate 1,MM control shRNA- biological replicate 2,</t>
  </si>
  <si>
    <t>13 : 1,327 : 188 : 18,844</t>
  </si>
  <si>
    <t>14 : 1,326 : 232 : 18,800</t>
  </si>
  <si>
    <t>0.50_1.47</t>
  </si>
  <si>
    <t>GSE28339_2.xlsx</t>
  </si>
  <si>
    <t>GSM700771,GSM700774,</t>
  </si>
  <si>
    <t>Cyclin T2 shRNA-biological replicate 1,Cyclin T2 shRNA-biological replicate 2,</t>
  </si>
  <si>
    <t>16 : 1,323 : 170 : 18,861</t>
  </si>
  <si>
    <t>0.80_2.25</t>
  </si>
  <si>
    <t>13 : 1,326 : 187 : 18,844</t>
  </si>
  <si>
    <t>0.56_1.74</t>
  </si>
  <si>
    <t>GSE28448_1.xlsx</t>
  </si>
  <si>
    <t>GSE28448</t>
  </si>
  <si>
    <t>Antagonistic regulation of EMT by TIF1?? and Smad4 in mammary epithelial cells</t>
  </si>
  <si>
    <t>GSM703138,GSM703143,</t>
  </si>
  <si>
    <t>SiTIF- rep1,SiTIF- rep2,</t>
  </si>
  <si>
    <t>GSM703137,GSM703142,</t>
  </si>
  <si>
    <t>ctrl- rep1,ctrl- rep2,</t>
  </si>
  <si>
    <t>10 : 1,330 : 220 : 18,814</t>
  </si>
  <si>
    <t>0.34_1.21</t>
  </si>
  <si>
    <t>17 : 1,323 : 127 : 18,907</t>
  </si>
  <si>
    <t>1.15_3.18</t>
  </si>
  <si>
    <t>GSE28448_2.xlsx</t>
  </si>
  <si>
    <t>GSM703140,GSM703146,</t>
  </si>
  <si>
    <t>SiTIF+ rep1,SiTIF+ rep2,</t>
  </si>
  <si>
    <t>GSM703139,GSM703145,</t>
  </si>
  <si>
    <t>ctrl+ rep1,ctrl+ rep2,</t>
  </si>
  <si>
    <t>9 : 1,331 : 107 : 18,927</t>
  </si>
  <si>
    <t>0.60_2.37</t>
  </si>
  <si>
    <t>GSE28448_3.xlsx</t>
  </si>
  <si>
    <t>GSM703141,GSM703147,</t>
  </si>
  <si>
    <t>SiS4+ rep1,SiS4+ rep2,</t>
  </si>
  <si>
    <t>9 : 1,331 : 167 : 18,867</t>
  </si>
  <si>
    <t>0.39_1.50</t>
  </si>
  <si>
    <t>GSE28558_1.xlsx</t>
  </si>
  <si>
    <t>GSE28558</t>
  </si>
  <si>
    <t>Gene expression analysis in A549 cells</t>
  </si>
  <si>
    <t>GSE28558_2.xlsx</t>
  </si>
  <si>
    <t>GSE28656_1.xlsx</t>
  </si>
  <si>
    <t>GSE28656</t>
  </si>
  <si>
    <t>Genes regulated by Nkx2-3 in human intestinal microvascular endothelial cells</t>
  </si>
  <si>
    <t>GSM709983,GSM709984,</t>
  </si>
  <si>
    <t>21B siRNA-Nkx2-3--rep1,21B siRNA-Nkx2-3--rep2,</t>
  </si>
  <si>
    <t>GSM709981,GSM709982,</t>
  </si>
  <si>
    <t>21B vector--rep1,21B vector--rep2,</t>
  </si>
  <si>
    <t>23 : 1,366 : 372 : 29,573</t>
  </si>
  <si>
    <t>17 : 1,372 : 407 : 29,538</t>
  </si>
  <si>
    <t>GSE28656_2.xlsx</t>
  </si>
  <si>
    <t>GSM709987,GSM709988,</t>
  </si>
  <si>
    <t>432 siRNA-Nkx2-3--rep1,432 siRNA-Nkx2-3--rep2,</t>
  </si>
  <si>
    <t>GSM709985,GSM709986,</t>
  </si>
  <si>
    <t>432 vector--rep1,432 vector--rep2,</t>
  </si>
  <si>
    <t>17 : 1,372 : 270 : 29,675</t>
  </si>
  <si>
    <t>0.83_2.23</t>
  </si>
  <si>
    <t>15 : 1,374 : 285 : 29,660</t>
  </si>
  <si>
    <t>GSE28715_1.xlsx</t>
  </si>
  <si>
    <t>GSE28715</t>
  </si>
  <si>
    <t>Identification of Med26 target genes in Human HEK 293T cells</t>
  </si>
  <si>
    <t>GSM711413,GSM711414,GSM711415,</t>
  </si>
  <si>
    <t>HEK293Tcells_si74_rep1,HEK293Tcells_si74_rep2,HEK293Tcells_si74_rep3,</t>
  </si>
  <si>
    <t>GSM711410,GSM711411,GSM711412,</t>
  </si>
  <si>
    <t>HEK293Tcells_wt_rep1,HEK293Tcells_wt_rep2,HEK293Tcells_wt_rep3,</t>
  </si>
  <si>
    <t>51 : 1,289 : 800 : 18,234</t>
  </si>
  <si>
    <t>67 : 1,273 : 805 : 18,229</t>
  </si>
  <si>
    <t>GSE28715_2.xlsx</t>
  </si>
  <si>
    <t>GSM711416,GSM711417,GSM711418,</t>
  </si>
  <si>
    <t>HEK293Tcells_si75_rep1,HEK293Tcells_si75_rep2,HEK293Tcells_si75_rep3,</t>
  </si>
  <si>
    <t>53 : 1,287 : 921 : 18,113</t>
  </si>
  <si>
    <t>0.61_1.07</t>
  </si>
  <si>
    <t>103 : 1,237 : 961 : 18,073</t>
  </si>
  <si>
    <t>1.27_1.93</t>
  </si>
  <si>
    <t>GSE28715_3.xlsx</t>
  </si>
  <si>
    <t>GSM711419,GSM711420,GSM711421,</t>
  </si>
  <si>
    <t>HEK293Tcells_si76_rep1,HEK293Tcells_si76_rep2,HEK293Tcells_si76_rep3,</t>
  </si>
  <si>
    <t>38 : 1,302 : 726 : 18,308</t>
  </si>
  <si>
    <t>0.53_1.02</t>
  </si>
  <si>
    <t>90 : 1,250 : 1,006 : 18,028</t>
  </si>
  <si>
    <t>1.03_1.61</t>
  </si>
  <si>
    <t>GSE28786_1.xlsx</t>
  </si>
  <si>
    <t>GSE28786</t>
  </si>
  <si>
    <t>siRNA off-target effects can be reduced at concentrations that match their individual potency</t>
  </si>
  <si>
    <t>GSM712721,GSM712722,GSM712723,</t>
  </si>
  <si>
    <t>STAT3-1676 at 1nM biological replicate 1,STAT3-1676 at 1nM biological replicate 2,STAT3-1676 at 1nM biological replicate 3,</t>
  </si>
  <si>
    <t>GSM712724,GSM712725,GSM712726,</t>
  </si>
  <si>
    <t>STAT3-1676 at 0nM biological replicate 1,STAT3-1676 at 0nM biological replicate 2,STAT3-1676 at 0nM biological replicate 3,</t>
  </si>
  <si>
    <t>3 : 1,306 : 73 : 16,343</t>
  </si>
  <si>
    <t>0.16_1.63</t>
  </si>
  <si>
    <t>12 : 1,297 : 93 : 16,323</t>
  </si>
  <si>
    <t>0.89_2.97</t>
  </si>
  <si>
    <t>GSE28786_10.xlsx</t>
  </si>
  <si>
    <t>GSM712757,GSM712758,GSM712759,</t>
  </si>
  <si>
    <t>HK2-3581M at 1nM biological replicate 1,HK2-3581M at 1nM biological replicate 2,HK2-3581M at 1nM biological replicate 3,</t>
  </si>
  <si>
    <t>GSM712760,GSM712761,GSM712762,</t>
  </si>
  <si>
    <t>HK2-3581M at 0nM biological replicate 1,HK2-3581M at 0nM biological replicate 2,HK2-3581M at 0nM biological replicate 3,</t>
  </si>
  <si>
    <t>12 : 1,297 : 189 : 16,227</t>
  </si>
  <si>
    <t>0.44_1.43</t>
  </si>
  <si>
    <t>9 : 1,300 : 109 : 16,307</t>
  </si>
  <si>
    <t>0.52_2.05</t>
  </si>
  <si>
    <t>GSE28786_11.xlsx</t>
  </si>
  <si>
    <t>GSM712754,GSM712755,GSM712756,</t>
  </si>
  <si>
    <t>HK2-3581M at 10nM biological replicate 1,HK2-3581M at 10nM biological replicate 2,HK2-3581M at 10nM biological replicate 3,</t>
  </si>
  <si>
    <t>11 : 1,298 : 157 : 16,259</t>
  </si>
  <si>
    <t>0.47_1.62</t>
  </si>
  <si>
    <t>27 : 1,282 : 164 : 16,252</t>
  </si>
  <si>
    <t>1.38_3.15</t>
  </si>
  <si>
    <t>GSE28786_12.xlsx</t>
  </si>
  <si>
    <t>GSM712751,GSM712752,GSM712753,</t>
  </si>
  <si>
    <t>HK2-3581M at 25nM biological replicate 1,HK2-3581M at 25nM biological replicate 2,HK2-3581M at 25nM biological replicate 3,</t>
  </si>
  <si>
    <t>81 : 1,228 : 621 : 15,795</t>
  </si>
  <si>
    <t>1.32_2.13</t>
  </si>
  <si>
    <t>53 : 1,256 : 772 : 15,644</t>
  </si>
  <si>
    <t>0.64_1.14</t>
  </si>
  <si>
    <t>GSE28786_13.xlsx</t>
  </si>
  <si>
    <t>GSM712765,GSM712766,</t>
  </si>
  <si>
    <t>HK2-4031 at 1nM biological replicate 1,HK2-4031 at 1nM biological replicate 2,</t>
  </si>
  <si>
    <t>GSM712767,GSM712768,</t>
  </si>
  <si>
    <t>HK2-4031 at 0nM biological replicate 1,HK2-4031 at 0nM biological replicate 2,</t>
  </si>
  <si>
    <t>5 : 1,304 : 95 : 16,321</t>
  </si>
  <si>
    <t>0.27_1.62</t>
  </si>
  <si>
    <t>10 : 1,299 : 55 : 16,361</t>
  </si>
  <si>
    <t>1.16_4.50</t>
  </si>
  <si>
    <t>GSE28786_14.xlsx</t>
  </si>
  <si>
    <t>GSM712763,GSM712764,</t>
  </si>
  <si>
    <t>HK2-4031 at 10nM biological replicate 1,HK2-4031 at 10nM biological replicate 2,</t>
  </si>
  <si>
    <t>10 : 1,299 : 147 : 16,269</t>
  </si>
  <si>
    <t>0.45_1.62</t>
  </si>
  <si>
    <t>8 : 1,301 : 132 : 16,284</t>
  </si>
  <si>
    <t>0.37_1.55</t>
  </si>
  <si>
    <t>GSE28786_2.xlsx</t>
  </si>
  <si>
    <t>GSM712718,GSM712719,GSM712720,</t>
  </si>
  <si>
    <t>STAT3-1676 at 10nM biological replicate 1,STAT3-1676 at 10nM biological replicate 2,STAT3-1676 at 10nM biological replicate 3,</t>
  </si>
  <si>
    <t>14 : 1,295 : 210 : 16,206</t>
  </si>
  <si>
    <t>0.48_1.44</t>
  </si>
  <si>
    <t>16 : 1,293 : 286 : 16,130</t>
  </si>
  <si>
    <t>0.42_1.16</t>
  </si>
  <si>
    <t>GSE28786_3.xlsx</t>
  </si>
  <si>
    <t>GSM712715,GSM712716,GSM712717,</t>
  </si>
  <si>
    <t>STAT3-1676 at 25nM biological replicate 1,STAT3-1676 at 25nM biological replicate 2,STAT3-1676 at 25nM biological replicate 3,</t>
  </si>
  <si>
    <t>8 : 1,301 : 66 : 16,350</t>
  </si>
  <si>
    <t>0.73_3.18</t>
  </si>
  <si>
    <t>7 : 1,302 : 209 : 16,207</t>
  </si>
  <si>
    <t>0.20_0.89</t>
  </si>
  <si>
    <t>GSE28786_4.xlsx</t>
  </si>
  <si>
    <t>GSM712733,GSM712734,GSM712735,</t>
  </si>
  <si>
    <t>HK2-3581 at 1nM biological replciate 1,HK2-3581 at 1nM biological replciate 2,HK2-3581 at 1nM biological replciate 3,</t>
  </si>
  <si>
    <t>GSM712736,GSM712737,GSM712738,</t>
  </si>
  <si>
    <t>HK2-3581 at 0nM biological replciate 1,HK2-3581 at 0nM biological replciate 2,HK2-3581 at 0nM biological replciate 3,</t>
  </si>
  <si>
    <t>6 : 1,303 : 36 : 16,380</t>
  </si>
  <si>
    <t>0.88_4.98</t>
  </si>
  <si>
    <t>4 : 1,305 : 59 : 16,357</t>
  </si>
  <si>
    <t>0.31_2.34</t>
  </si>
  <si>
    <t>GSE28786_5.xlsx</t>
  </si>
  <si>
    <t>GSM712730,GSM712731,GSM712732,</t>
  </si>
  <si>
    <t>HK2-3581 at 10nM biological replicate 1,HK2-3581 at 10nM biological replicate 2,HK2-3581 at 10nM biological replicate 3,</t>
  </si>
  <si>
    <t>14 : 1,295 : 107 : 16,309</t>
  </si>
  <si>
    <t>0.94_2.88</t>
  </si>
  <si>
    <t>3 : 1,306 : 107 : 16,309</t>
  </si>
  <si>
    <t>0.11_1.10</t>
  </si>
  <si>
    <t>GSE28786_6.xlsx</t>
  </si>
  <si>
    <t>GSM712727,GSM712728,GSM712729,</t>
  </si>
  <si>
    <t>HK2-3581 at 25nM biological replicate 1,HK2-3581 at 25nM biological replicate 2,HK2-3581 at 25nM biological replicate 3,</t>
  </si>
  <si>
    <t>82 : 1,227 : 698 : 15,718</t>
  </si>
  <si>
    <t>1.19_1.91</t>
  </si>
  <si>
    <t>22 : 1,287 : 528 : 15,888</t>
  </si>
  <si>
    <t>0.33_0.79</t>
  </si>
  <si>
    <t>GSE28786_7.xlsx</t>
  </si>
  <si>
    <t>GSM712745,GSM712746,GSM712747,</t>
  </si>
  <si>
    <t>STAT3-1676M at 1nM biological replicate 1,STAT3-1676M at 1nM biological replicate 2,STAT3-1676M at 1nM biological replicate 3,</t>
  </si>
  <si>
    <t>GSM712748,GSM712749,GSM712750,</t>
  </si>
  <si>
    <t>STAT3-1676M at 0nM biological replicate 1,STAT3-1676M at 0nM biological replicate 2,STAT3-1676M at 0nM biological replicate 3,</t>
  </si>
  <si>
    <t>16 : 1,293 : 111 : 16,305</t>
  </si>
  <si>
    <t>1.07_3.08</t>
  </si>
  <si>
    <t>12 : 1,297 : 108 : 16,308</t>
  </si>
  <si>
    <t>0.77_2.54</t>
  </si>
  <si>
    <t>GSE28786_8.xlsx</t>
  </si>
  <si>
    <t>GSM712742,GSM712743,GSM712744,</t>
  </si>
  <si>
    <t>STAT3-1676M at 10nM biological replicate 1,STAT3-1676M at 10nM biological replicate 2,STAT3-1676M at 10nM biological replicate 3,</t>
  </si>
  <si>
    <t>29 : 1,280 : 452 : 15,964</t>
  </si>
  <si>
    <t>0.55_1.17</t>
  </si>
  <si>
    <t>55 : 1,254 : 583 : 15,833</t>
  </si>
  <si>
    <t>0.90_1.58</t>
  </si>
  <si>
    <t>GSE28786_9.xlsx</t>
  </si>
  <si>
    <t>GSM712739,GSM712740,GSM712741,</t>
  </si>
  <si>
    <t>STAT3-1676M at 25nM biological replicate 1,STAT3-1676M at 25nM biological replicate 2,STAT3-1676M at 25nM biological replicate 3,</t>
  </si>
  <si>
    <t>74 : 1,235 : 1,021 : 15,395</t>
  </si>
  <si>
    <t>0.71_1.15</t>
  </si>
  <si>
    <t>86 : 1,223 : 1,059 : 15,357</t>
  </si>
  <si>
    <t>0.81_1.28</t>
  </si>
  <si>
    <t>GSE28813.xlsx</t>
  </si>
  <si>
    <t>GSE28813</t>
  </si>
  <si>
    <t>Transcriptomic and proteomic profiling of KEAP1 disrupted and sulforaphane treated human breast epithelial cells</t>
  </si>
  <si>
    <t>GSM713529,GSM713530,GSM713531,GSM713532,</t>
  </si>
  <si>
    <t>MCF10A_Keap1 siNA_rep1,MCF10A_Keap1 siNA_rep2,MCF10A_Keap1 siNA_rep3,MCF10A_Keap1 siNA_rep4,</t>
  </si>
  <si>
    <t>GSM713525,GSM713526,GSM713527,GSM713528,</t>
  </si>
  <si>
    <t>MCF10A_NTC siRNA_rep1,MCF10A_NTC siRNA_rep2,MCF10A_NTC siRNA_rep3,MCF10A_NTC siRNA_rep4,</t>
  </si>
  <si>
    <t>46 : 1,289 : 676 : 17,738</t>
  </si>
  <si>
    <t>0.69_1.27</t>
  </si>
  <si>
    <t>102 : 1,233 : 1,471 : 16,943</t>
  </si>
  <si>
    <t>0.77_1.17</t>
  </si>
  <si>
    <t>GSE29084.xlsx</t>
  </si>
  <si>
    <t>GSE29084</t>
  </si>
  <si>
    <t>Expression Data from HNF4a RNAi Knockdown in HepG2 cells</t>
  </si>
  <si>
    <t>GSM720617,GSM720619,</t>
  </si>
  <si>
    <t>HepG2 cells, HNF4a RNAi treated,  rep1,HepG2 cells, HNF4a RNAi treated, rep2,</t>
  </si>
  <si>
    <t>GSM720616,GSM720618,</t>
  </si>
  <si>
    <t>HepG2 cells, control, rep1,HepG2 cells, control, rep2,</t>
  </si>
  <si>
    <t>25 : 1,315 : 303 : 18,719</t>
  </si>
  <si>
    <t>0.78_1.77</t>
  </si>
  <si>
    <t>26 : 1,314 : 276 : 18,746</t>
  </si>
  <si>
    <t>0.90_2.02</t>
  </si>
  <si>
    <t>GSE29750_1.xlsx</t>
  </si>
  <si>
    <t>GSE29750</t>
  </si>
  <si>
    <t>Expression data from targeting of NOS2 in glioma stem cells</t>
  </si>
  <si>
    <t>GSM737526,GSM737532,</t>
  </si>
  <si>
    <t>T3359 iNOS shRNA1 replicate1,T3359 iNOS shRNA1 replicate2,</t>
  </si>
  <si>
    <t>GSM737524,GSM737530,</t>
  </si>
  <si>
    <t>T3359 non-targeting control replicate1,T3359 non-targeting control replicate2,</t>
  </si>
  <si>
    <t>19 : 1,272 : 353 : 23,796</t>
  </si>
  <si>
    <t>0.63_1.60</t>
  </si>
  <si>
    <t>24 : 1,267 : 367 : 23,782</t>
  </si>
  <si>
    <t>0.81_1.86</t>
  </si>
  <si>
    <t>GSE29750_2.xlsx</t>
  </si>
  <si>
    <t>GSM737528,GSM737534,</t>
  </si>
  <si>
    <t>T3359 iNOS shRNA2 replicate1,T3359 iNOS shRNA2 replicate2,</t>
  </si>
  <si>
    <t>13 : 1,278 : 253 : 23,896</t>
  </si>
  <si>
    <t>0.55_1.68</t>
  </si>
  <si>
    <t>15 : 1,276 : 243 : 23,906</t>
  </si>
  <si>
    <t>0.68_1.95</t>
  </si>
  <si>
    <t>GSE29750_3.xlsx</t>
  </si>
  <si>
    <t>GSM737527,GSM737533,</t>
  </si>
  <si>
    <t>T3691 iNOS shRNA1 replicate1,T3691 iNOS shRNA1 replicate2,</t>
  </si>
  <si>
    <t>GSM737525,GSM737531,</t>
  </si>
  <si>
    <t>T3691 non-targeting control replicate1,T3691 non-targeting control replicate2,</t>
  </si>
  <si>
    <t>13 : 1,278 : 232 : 23,917</t>
  </si>
  <si>
    <t>0.60_1.84</t>
  </si>
  <si>
    <t>16 : 1,275 : 197 : 23,952</t>
  </si>
  <si>
    <t>0.91_2.55</t>
  </si>
  <si>
    <t>GSE29750_4.xlsx</t>
  </si>
  <si>
    <t>GSM737529,GSM737535,</t>
  </si>
  <si>
    <t>T3691 iNOS shRNA2 replicate1,T3691 iNOS shRNA2 replicate2,</t>
  </si>
  <si>
    <t>13 : 1,278 : 186 : 23,962</t>
  </si>
  <si>
    <t>0.74_2.31</t>
  </si>
  <si>
    <t>13 : 1,278 : 185 : 23,963</t>
  </si>
  <si>
    <t>0.75_2.32</t>
  </si>
  <si>
    <t>GSE29778-GPL5188.xlsx</t>
  </si>
  <si>
    <t>GSE29778</t>
  </si>
  <si>
    <t>HuR (ELAVL1) RIP-chip and knockdown exon array</t>
  </si>
  <si>
    <t>GSM738179,GSM738180,GSM738181,</t>
  </si>
  <si>
    <t>HuR siRNA knockdown, biological replicate 1,HuR siRNA knockdown, biological replicate 2,HuR siRNA knockdown, biological replicate 3,</t>
  </si>
  <si>
    <t>GSM738182,GSM738183,GSM738184,</t>
  </si>
  <si>
    <t>Mock siRNA knockdown, biological replicate 1,Mock siRNA knockdown, biological replicate 2,Mock siRNA knockdown, biological replicate 3,</t>
  </si>
  <si>
    <t>190 : 1,141 : 1,889 : 18,881</t>
  </si>
  <si>
    <t>1.42_1.95</t>
  </si>
  <si>
    <t>99 : 1,232 : 1,653 : 19,117</t>
  </si>
  <si>
    <t>0.75_1.15</t>
  </si>
  <si>
    <t>GSE29780-GPL5188.xlsx</t>
  </si>
  <si>
    <t>GSE29780</t>
  </si>
  <si>
    <t>Integrative regulatory mapping indicates that the RNA-binding protein HuR (ELAVL1) couples pre-mRNA processing and mRNA stability</t>
  </si>
  <si>
    <t>GSE30361.xlsx</t>
  </si>
  <si>
    <t>GSE30361</t>
  </si>
  <si>
    <t>The UBC9 E2 SUMO conjugating enzyme binds the PR-Set7 histone methyltransferase to facilitate target gene repression</t>
  </si>
  <si>
    <t>GSM753482,GSM753483,</t>
  </si>
  <si>
    <t>pSuperior prSET-7 shRNA, 4 days post-transfection, replicate 1,pSuperior prSET-7 shRNA, 4 days post-transfection, replicate 2,</t>
  </si>
  <si>
    <t>GSM753480,GSM753481,</t>
  </si>
  <si>
    <t>pSuperior empty shRNA control, 4 days post transfection, replicate 1,pSuperior empty shRNA control, 4 days post transfection, replicate 2,</t>
  </si>
  <si>
    <t>7 : 1,284 : 164 : 23,984</t>
  </si>
  <si>
    <t>0.37_1.70</t>
  </si>
  <si>
    <t>15 : 1,276 : 192 : 23,956</t>
  </si>
  <si>
    <t>0.86_2.49</t>
  </si>
  <si>
    <t>GSE30494_1.xlsx</t>
  </si>
  <si>
    <t>GSE30494</t>
  </si>
  <si>
    <t>Expression data in cancer cell lines using Affymetrix GeneChip</t>
  </si>
  <si>
    <t>GSM756418,GSM756419,</t>
  </si>
  <si>
    <t>A549-siKDM3A-1,A549-siKDM3A-2,</t>
  </si>
  <si>
    <t>GSM756416,GSM756417,</t>
  </si>
  <si>
    <t>A549-siFFluc-1,A549-siFFluc-2,</t>
  </si>
  <si>
    <t>34 : 1,306 : 332 : 18,686</t>
  </si>
  <si>
    <t>1.02_2.09</t>
  </si>
  <si>
    <t>18 : 1,322 : 298 : 18,720</t>
  </si>
  <si>
    <t>GSE30494_2.xlsx</t>
  </si>
  <si>
    <t>GSM756424,GSM756425,</t>
  </si>
  <si>
    <t>SW780-siKDM3A-1,SW780-siKDM3A-2,</t>
  </si>
  <si>
    <t>GSM756422,GSM756423,</t>
  </si>
  <si>
    <t>SW780-siFFluc-1,SW780-siFFluc-2,</t>
  </si>
  <si>
    <t>19 : 1,321 : 214 : 18,808</t>
  </si>
  <si>
    <t>0.79_2.03</t>
  </si>
  <si>
    <t>12 : 1,328 : 246 : 18,776</t>
  </si>
  <si>
    <t>0.39_1.23</t>
  </si>
  <si>
    <t>GSE30622-GPL10558_1.xlsx</t>
  </si>
  <si>
    <t>GSE30622</t>
  </si>
  <si>
    <t>Dual Role of FoxA1 in Androgen Receptor Binding to Chromatin, Androgen Signaling and Prostate Cancer [Expression Array]</t>
  </si>
  <si>
    <t>GSM759653,GSM759654,</t>
  </si>
  <si>
    <t>Vehicle siFoxA1 rep1_v4,Vehicle siFoxA1 rep2_v4,</t>
  </si>
  <si>
    <t>GSM759649,GSM759650,</t>
  </si>
  <si>
    <t>Vehicle parental rep1_v4,Vehicle parental rep2_v4,</t>
  </si>
  <si>
    <t>13 : 1,374 : 311 : 29,604</t>
  </si>
  <si>
    <t>0.52_1.57</t>
  </si>
  <si>
    <t>10 : 1,377 : 219 : 29,696</t>
  </si>
  <si>
    <t>0.52_1.86</t>
  </si>
  <si>
    <t>GSE30622-GPL10558_2.xlsx</t>
  </si>
  <si>
    <t>GSM759655,GSM759656,</t>
  </si>
  <si>
    <t>DEX siFoxA1 rep1_v4,DEX siFoxA1 rep 2_v4,</t>
  </si>
  <si>
    <t>GSM759651,GSM759652,</t>
  </si>
  <si>
    <t>DEX parental rep1_v4,DEX parental rep 2_v4,</t>
  </si>
  <si>
    <t>4 : 1,383 : 236 : 29,689</t>
  </si>
  <si>
    <t>0.14_0.98</t>
  </si>
  <si>
    <t>14 : 1,373 : 229 : 29,696</t>
  </si>
  <si>
    <t>0.77_2.27</t>
  </si>
  <si>
    <t>GSE30622-GPL6947_1.xlsx</t>
  </si>
  <si>
    <t>GSM759645,GSM759646,</t>
  </si>
  <si>
    <t>Vehicle siFoxA1 rep1_v3,Vehicle siFoxA1 rep2_v3,</t>
  </si>
  <si>
    <t>GSM759641,GSM759642,</t>
  </si>
  <si>
    <t>Vehicle parental rep1_v3,Vehicle parental rep2_v3,</t>
  </si>
  <si>
    <t>12 : 1,378 : 146 : 23,604</t>
  </si>
  <si>
    <t>0.78_2.54</t>
  </si>
  <si>
    <t>8 : 1,382 : 165 : 23,585</t>
  </si>
  <si>
    <t>0.41_1.69</t>
  </si>
  <si>
    <t>GSE30622-GPL6947_2.xlsx</t>
  </si>
  <si>
    <t>GSM759647,GSM759648,</t>
  </si>
  <si>
    <t>DHT siFoxA1 rep1_v3,DHT siFoxA1 rep 2_v3,</t>
  </si>
  <si>
    <t>GSM759643,GSM759644,</t>
  </si>
  <si>
    <t>DHT parental rep1_v3,DHT parental rep 2_v3,</t>
  </si>
  <si>
    <t>11 : 1,379 : 154 : 23,597</t>
  </si>
  <si>
    <t>0.66_2.26</t>
  </si>
  <si>
    <t>12 : 1,378 : 188 : 23,563</t>
  </si>
  <si>
    <t>0.61_1.96</t>
  </si>
  <si>
    <t>GSE30624-GPL10558_1.xlsx</t>
  </si>
  <si>
    <t>GSE30624</t>
  </si>
  <si>
    <t>Dual Role of FoxA1 in Androgen Receptor Binding to Chromatin, Androgen Signaling and Prostate Cancer</t>
  </si>
  <si>
    <t>GSE30624-GPL10558_2.xlsx</t>
  </si>
  <si>
    <t>GSE30624-GPL6947_1.xlsx</t>
  </si>
  <si>
    <t>GSE30624-GPL6947_2.xlsx</t>
  </si>
  <si>
    <t>GSE30670.xlsx</t>
  </si>
  <si>
    <t>GSE30670</t>
  </si>
  <si>
    <t>Context-Specific Regulation of NF-??B Target Gene Expression by EZH2 in Breast Cancers</t>
  </si>
  <si>
    <t>GSM760677,GSM760679,GSM760682,</t>
  </si>
  <si>
    <t>MB231_siEZH2_CTRL_rep1,MB231_siEZH2_CTRL_rep2,MB231_siEZH2_CTRL_rep3,</t>
  </si>
  <si>
    <t>GSM760676,GSM760678,GSM760680,</t>
  </si>
  <si>
    <t>MB231_siNC_CTRL_rep1,MB231_siNC_CTRL_rep2,MB231_siNC_CTRL_rep3,</t>
  </si>
  <si>
    <t>65 : 1,249 : 795 : 16,088</t>
  </si>
  <si>
    <t>63 : 1,251 : 973 : 15,910</t>
  </si>
  <si>
    <t>0.63_1.07</t>
  </si>
  <si>
    <t>GSE30775.xlsx</t>
  </si>
  <si>
    <t>GSE30775</t>
  </si>
  <si>
    <t>Gene expression change after LSD1 siRNA treatment in ER-negative breast cancer cells MDA-MB-231</t>
  </si>
  <si>
    <t>GSM763580,GSM763581,GSM763582,</t>
  </si>
  <si>
    <t>231_LSD1 siRNA_rep1,231_LSD1 siRNA_rep2,231_LSD1 siRNA_rep3,</t>
  </si>
  <si>
    <t>GSM763577,GSM763578,GSM763579,</t>
  </si>
  <si>
    <t>231_control siRNA_rep1,231_control siRNA_rep2,231_control siRNA_rep3,</t>
  </si>
  <si>
    <t>58 : 1,282 : 1,283 : 17,751</t>
  </si>
  <si>
    <t>0.48_0.82</t>
  </si>
  <si>
    <t>139 : 1,201 : 1,241 : 17,793</t>
  </si>
  <si>
    <t>1.38_2.00</t>
  </si>
  <si>
    <t>GSE31092.xlsx</t>
  </si>
  <si>
    <t>GSE31092</t>
  </si>
  <si>
    <t>Expression analysis of ZBP-89 deficient human primary erythroid progenitors</t>
  </si>
  <si>
    <t>GSM769891,GSM769892,</t>
  </si>
  <si>
    <t>shZBP-89, biological rep1,shZBP-89, biological rep2,</t>
  </si>
  <si>
    <t>GSM769889,GSM769890,</t>
  </si>
  <si>
    <t>Empty vector, biological rep1,Empty vector, biological rep2,</t>
  </si>
  <si>
    <t>12 : 906 : 165 : 11,973</t>
  </si>
  <si>
    <t>10 : 908 : 184 : 11,954</t>
  </si>
  <si>
    <t>0.38_1.36</t>
  </si>
  <si>
    <t>GSE31093.xlsx</t>
  </si>
  <si>
    <t>GSE31093</t>
  </si>
  <si>
    <t>Knockdown and Overexpression of Cbx4 wild type and of a Cbx4 chromodomain mutant in human epidermal stem cells</t>
  </si>
  <si>
    <t>GSM769905,GSM769906,GSM769907,GSM769908,</t>
  </si>
  <si>
    <t>Ri4 technical replicate 1,Ri4 technical replicate 2,Ri4 technical replicate 3,Ri4 technical replicate 4,</t>
  </si>
  <si>
    <t>GSM769909,GSM769910,GSM769911,</t>
  </si>
  <si>
    <t>RND technical replicate 1,RND technical replicate 2,RND technical replicate 3,</t>
  </si>
  <si>
    <t>124 : 1,211 : 2,028 : 16,386</t>
  </si>
  <si>
    <t>0.68_1.00</t>
  </si>
  <si>
    <t>230 : 1,105 : 2,446 : 15,968</t>
  </si>
  <si>
    <t>1.17_1.58</t>
  </si>
  <si>
    <t>GSE31397.xlsx</t>
  </si>
  <si>
    <t>GSE31397</t>
  </si>
  <si>
    <t>Expression profile of miR-101 transfection in MCF-7 cells compared with scramble control</t>
  </si>
  <si>
    <t>GSM778829,GSM778830,GSM778831,</t>
  </si>
  <si>
    <t>miR-101 transfection in MCF-7 cell line at 24 hours, rep1,miR-101 transfection in MCF-7 cell line at 24 hours, rep2,miR-101 transfection in MCF-7 cell line at 24 hours, rep3,</t>
  </si>
  <si>
    <t>GSM778832,GSM778833,GSM778834,</t>
  </si>
  <si>
    <t>Scramble control in MCF-7 cell line at 24 hours, rep1,Scramble control in MCF-7 cell line at 24 hours, rep2,Scramble control in MCF-7 cell line at 24 hours, rep3,</t>
  </si>
  <si>
    <t>20 : 1,320 : 371 : 18,663</t>
  </si>
  <si>
    <t>0.48_1.20</t>
  </si>
  <si>
    <t>29 : 1,311 : 189 : 18,845</t>
  </si>
  <si>
    <t>1.49_3.27</t>
  </si>
  <si>
    <t>GSE31772_1.xlsx</t>
  </si>
  <si>
    <t>GSE31772</t>
  </si>
  <si>
    <t>Functional Genomic Analyses Identify Pathways Dysregulated by Progranulin Deficiency Implicating Wnt Signaling</t>
  </si>
  <si>
    <t>GSM788287,GSM788288,GSM788293,GSM788296,</t>
  </si>
  <si>
    <t>P1_1,P1_2,P1_3,P1_4,</t>
  </si>
  <si>
    <t>GSM788290,GSM788292,GSM788294,GSM788295,</t>
  </si>
  <si>
    <t>C_1,C_2,C_3,C_4,</t>
  </si>
  <si>
    <t>39 : 1,220 : 397 : 16,975</t>
  </si>
  <si>
    <t>0.98_1.91</t>
  </si>
  <si>
    <t>29 : 1,230 : 401 : 16,971</t>
  </si>
  <si>
    <t>0.68_1.46</t>
  </si>
  <si>
    <t>GSE31772_2.xlsx</t>
  </si>
  <si>
    <t>GSM788289,GSM788291,GSM788297,GSM788298,</t>
  </si>
  <si>
    <t>P2_1,P2_2,P2_3,P2_4,</t>
  </si>
  <si>
    <t>9 : 1,250 : 127 : 17,244</t>
  </si>
  <si>
    <t>0.50_1.93</t>
  </si>
  <si>
    <t>17 : 1,242 : 136 : 17,235</t>
  </si>
  <si>
    <t>1.04_2.88</t>
  </si>
  <si>
    <t>GSE3202.xlsx</t>
  </si>
  <si>
    <t>GSE3202</t>
  </si>
  <si>
    <t>MK886 treatment of H720 non-small cell lung cancer cell line</t>
  </si>
  <si>
    <t>GSM75018,GSM75020,GSM75022,</t>
  </si>
  <si>
    <t>Cell culture. A549 treated by HNRPA2B1, silenced 1,Cell culture. H209 treated by HNRPA2B1, silenced 2,Cell culture. H720 treated by HNRPA2B1 construct, silenced,</t>
  </si>
  <si>
    <t>GSM75017,GSM75019,GSM75021,</t>
  </si>
  <si>
    <t>Cell culture. A549 treated by HNRPA2B1 construct, control,Cell culture. H209 treated by HNRPA2B1, control 1,Cell culture. H720 treated by HNRPA2B1, control 2,</t>
  </si>
  <si>
    <t>12 : 1,328 : 159 : 18,875</t>
  </si>
  <si>
    <t>0.59_1.93</t>
  </si>
  <si>
    <t>10 : 1,330 : 159 : 18,875</t>
  </si>
  <si>
    <t>0.47_1.70</t>
  </si>
  <si>
    <t>GSE32108_1.xlsx</t>
  </si>
  <si>
    <t>GSE32108</t>
  </si>
  <si>
    <t>Knockdown effect of CDK8 or CDK19 in HeLa S3 cell</t>
  </si>
  <si>
    <t>GSM796023,GSM796024,GSM796025,</t>
  </si>
  <si>
    <t>Against CDK8-1 rep1,Against CDK8-1 rep2,Against CDK8-1 rep3,</t>
  </si>
  <si>
    <t>GSM796020,GSM796021,GSM796022,</t>
  </si>
  <si>
    <t>Control siRNA rep1,Control siRNA rep2,Control siRNA rep3,</t>
  </si>
  <si>
    <t>31 : 1,309 : 480 : 18,554</t>
  </si>
  <si>
    <t>0.63_1.32</t>
  </si>
  <si>
    <t>37 : 1,303 : 367 : 18,667</t>
  </si>
  <si>
    <t>1.03_2.03</t>
  </si>
  <si>
    <t>GSE32108_2.xlsx</t>
  </si>
  <si>
    <t>GSM796026,GSM796027,GSM796028,</t>
  </si>
  <si>
    <t>Against CDK8-2 rep1,Against CDK8-2 rep2,Against CDK8-2 rep3,</t>
  </si>
  <si>
    <t>32 : 1,308 : 396 : 18,638</t>
  </si>
  <si>
    <t>0.80_1.66</t>
  </si>
  <si>
    <t>73 : 1,267 : 694 : 18,340</t>
  </si>
  <si>
    <t>1.19_1.95</t>
  </si>
  <si>
    <t>GSE32108_3.xlsx</t>
  </si>
  <si>
    <t>GSM796029,GSM796030,GSM796031,</t>
  </si>
  <si>
    <t>Against CDK19-1 rep1,Against CDK19-1 rep2,Against CDK19-1 rep3,</t>
  </si>
  <si>
    <t>21 : 1,319 : 325 : 18,709</t>
  </si>
  <si>
    <t>0.59_1.43</t>
  </si>
  <si>
    <t>58 : 1,282 : 531 : 18,503</t>
  </si>
  <si>
    <t>1.20_2.08</t>
  </si>
  <si>
    <t>GSE32108_4.xlsx</t>
  </si>
  <si>
    <t>GSM796032,GSM796033,GSM796034,</t>
  </si>
  <si>
    <t>Against CDK19-2 rep1,Against CDK19-2 rep2,Against CDK19-2 rep3,</t>
  </si>
  <si>
    <t>29 : 1,311 : 454 : 18,580</t>
  </si>
  <si>
    <t>0.62_1.32</t>
  </si>
  <si>
    <t>74 : 1,266 : 762 : 18,272</t>
  </si>
  <si>
    <t>1.10_1.79</t>
  </si>
  <si>
    <t>GSE32301_1.xlsx</t>
  </si>
  <si>
    <t>GSE32301</t>
  </si>
  <si>
    <t>Expression profiling of RBM38-knocked down and control MCF7 cells with and without doxorubicin treatment</t>
  </si>
  <si>
    <t>GSM800358,GSM800359,</t>
  </si>
  <si>
    <t>MCF7.si38.1,MCF7 si38.2,</t>
  </si>
  <si>
    <t>GSM800356,GSM800357,</t>
  </si>
  <si>
    <t>MCF7.scrl1,MCF7.scrl2,</t>
  </si>
  <si>
    <t>8 : 1,381 : 262 : 29,683</t>
  </si>
  <si>
    <t>0.32_1.33</t>
  </si>
  <si>
    <t>12 : 1,377 : 251 : 29,694</t>
  </si>
  <si>
    <t>0.58_1.84</t>
  </si>
  <si>
    <t>GSE32301_2.xlsx</t>
  </si>
  <si>
    <t>GSM800362,GSM800363,</t>
  </si>
  <si>
    <t>MCF7.Dox.si38.1,MCF7.Dox.si38.2,</t>
  </si>
  <si>
    <t>GSM800360,GSM800361,</t>
  </si>
  <si>
    <t>MCF7.Dox.scrbl.1,MCF7.Dox.scrl.2,</t>
  </si>
  <si>
    <t>14 : 1,375 : 292 : 29,652</t>
  </si>
  <si>
    <t>0.60_1.77</t>
  </si>
  <si>
    <t>18 : 1,371 : 316 : 29,628</t>
  </si>
  <si>
    <t>0.76_1.99</t>
  </si>
  <si>
    <t>GSE3369.xlsx</t>
  </si>
  <si>
    <t>GSE3369</t>
  </si>
  <si>
    <t>Affymetrix U133Plus2.0 data sets of Human Myeloma Cellline JJN3 with non-specific, scrambled shRNA or CKS1B shRNA</t>
  </si>
  <si>
    <t>GSM76202,GSM76204,GSM76206,</t>
  </si>
  <si>
    <t>A-011-JJN3+CKS1B,B-021-JJN3+CKS1B,C-025-JJN3+CKS1B,</t>
  </si>
  <si>
    <t>GSM76201,GSM76203,GSM76205,</t>
  </si>
  <si>
    <t>A-010-JJN3+SCRAMBLE,B-020-JJN3+SCRAMBLE+poly,C-024-JJN3+SCRAMB,</t>
  </si>
  <si>
    <t>8 : 1,332 : 120 : 18,914</t>
  </si>
  <si>
    <t>0.46_1.94</t>
  </si>
  <si>
    <t>1 : 1,339 : 48 : 18,986</t>
  </si>
  <si>
    <t>GSE3485.xlsx</t>
  </si>
  <si>
    <t>GSE3485</t>
  </si>
  <si>
    <t>Identification of LEDGF-regulated genes.</t>
  </si>
  <si>
    <t>GSM78968,GSM78969,GSM78970,GSM78971,</t>
  </si>
  <si>
    <t>293TsiLL-1,293TsiLL-2,293TsiLL-3,293TsiLL-4,</t>
  </si>
  <si>
    <t>GSM78972,GSM78973,GSM78974,GSM78975,</t>
  </si>
  <si>
    <t>293TsiScram-1,293TsiScram-2,293TsiScram-3,293TsiScram-4,</t>
  </si>
  <si>
    <t>106 : 1,234 : 982 : 18,052</t>
  </si>
  <si>
    <t>1.28_1.95</t>
  </si>
  <si>
    <t>42 : 1,298 : 633 : 18,401</t>
  </si>
  <si>
    <t>0.68_1.29</t>
  </si>
  <si>
    <t>GSE3697_1.xlsx</t>
  </si>
  <si>
    <t>GSE3697</t>
  </si>
  <si>
    <t>Treatment of heat shocked HeLa cells with siRNA (siHSF1#1)</t>
  </si>
  <si>
    <t>GSM84566,GSM84567,GSM84568,GSM84569,GSM84570,GSM84571,GSM84572,GSM84573,GSM84574,GSM84575,GSM84576,GSM84577,</t>
  </si>
  <si>
    <t>HeLa_06_21_04 TP-1,HeLa_06_21_04 TP-10,HeLa_06_21_04 TP-11,HeLa_06_21_04 TP-12,HeLa_06_21_04 TP-2,HeLa_06_21_04 TP-3,HeLa_06_21_04 TP-4,HeLa_06_21_04 TP-5,HeLa_06_21_04 TP-6,HeLa_06_21_04 TP-7,HeLa_06_21_04 TP-8,HeLa_06_21_04 TP-9,</t>
  </si>
  <si>
    <t>GSM84590,GSM84591,GSM84592,GSM84593,GSM84594,GSM84595,GSM84596,GSM84597,GSM84598,GSM84599,GSM84600,GSM84601,GSM84602,GSM84603,GSM84604,GSM84605,GSM84606,GSM84607,</t>
  </si>
  <si>
    <t>HeLa_TP082505-19_HG-U133A_2_IMFGN0023,HeLa_TP082505-25_HG-U133A_2_IMFGN0023,HeLa_TP082505-26_HG-U133A_2_IMFGN0023,HeLa_TP082505-27_HG-U133A_2_IMFGN0023,HeLa_TP082505-28_HG-U133A_2_IMFGN0023,HeLa_TP082505-30_HG-U133A_2_IMFGN0023,HeLa_TP082505-31_HG-U133A_2_IMFGN0023,HeLa_TP082505-32_HG-U133A_2_IMFGN0023,HeLa_TP082505-33_HG-U133A_2_IMFGN0023,HeLa_TP082505-34_HG-U133A_2_IMFGN0023,HeLa_TP082505-35_HG-U133A_2_IMFGN0023,HeLa_TP082505-36_HG-U133A_2_IMFGN0023,HeLa_TP082505_20_HG-U133A_2_IMFGN0023,HeLa_TP082505_21_HG-U133A_2_IMFGN0023,HeLa_TP082505_22_HG-U133A_2_IMFGN0023,HeLa_TP082505_23_HG-U133A_2_IMFGN0023,HeLa_TP082505_24_HG-U133A_2_IMFGN0023,HeLa_TP090705_29_HG-U133A_2_IMFGN0023,</t>
  </si>
  <si>
    <t>205 : 714 : 3,693 : 8,446</t>
  </si>
  <si>
    <t>0.56_0.77</t>
  </si>
  <si>
    <t>274 : 645 : 3,136 : 9,003</t>
  </si>
  <si>
    <t>1.05_1.41</t>
  </si>
  <si>
    <t>GSE3697_2.xlsx</t>
  </si>
  <si>
    <t>GSM84578,GSM84579,GSM84580,GSM84581,GSM84582,GSM84583,GSM84584,GSM84585,GSM84586,GSM84587,GSM84588,GSM84589,</t>
  </si>
  <si>
    <t>HeLa_01-04-05 TP10_HG-U133A_2_Page_IMFGN0023_05-1_HSF1-2,HeLa_01-04-05 TP11_HG-U133A_2_Page_IMFGN0023_05-1_HSF1-2,HeLa_01-04-05 TP12_HG-U133A_2_Page_IMFGN0023_05-1_HSF1-2,HeLa_01-04-05 TP1_HG-U133A_2_Page_IMFGN0023_05-1_HSF1-2,HeLa_01-04-05 TP2_HG-U133A_2_Page_IMFGN0023_05-1_HSF1-2,HeLa_01-04-05 TP3_HG-U133A_2_Page_IMFGN0023_05-1_HSF1-2,HeLa_01-04-05 TP4_HG-U133A_2_Page_IMFGN0023_05-1_HSF1-2,HeLa_01-04-05 TP5_HG-U133A_2_Page_IMFGN0023_05-1_HSF1-2,HeLa_01-04-05 TP6_HG-U133A_2_Page_IMFGN0023_05-1_HSF1-2,HeLa_01-04-05 TP7_HG-U133A_2_Page_IMFGN0023_05-1_HSF1-2,HeLa_01-04-05 TP8_HG-U133A_2_Page_IMFGN0023_05-1_HSF1-2,HeLa_01-04-05 TP9_HG-U133A_2_Page_IMFGN0023_05-1_HSF1-2,</t>
  </si>
  <si>
    <t>244 : 675 : 3,130 : 9,009</t>
  </si>
  <si>
    <t>0.89_1.21</t>
  </si>
  <si>
    <t>186 : 733 : 2,947 : 9,192</t>
  </si>
  <si>
    <t>0.67_0.93</t>
  </si>
  <si>
    <t>GSE4246_1.xlsx</t>
  </si>
  <si>
    <t>GSE4246</t>
  </si>
  <si>
    <t>Analysis of transcripts regulated by Dicer and Argonaute proteins in human HEK-293 cells</t>
  </si>
  <si>
    <t>GSM96818,GSM96819,</t>
  </si>
  <si>
    <t>Ago2 knock down replicate 1,Ago2 knock down replicate 2,</t>
  </si>
  <si>
    <t>GSM96816,GSM96817,</t>
  </si>
  <si>
    <t>shRNA ctrl replicate 1,shRNA ctrl replicate 2,</t>
  </si>
  <si>
    <t>15 : 743 : 244 : 9,788</t>
  </si>
  <si>
    <t>0.48_1.37</t>
  </si>
  <si>
    <t>31 : 727 : 250 : 9,782</t>
  </si>
  <si>
    <t>1.14_2.44</t>
  </si>
  <si>
    <t>GSE4246_10.xlsx</t>
  </si>
  <si>
    <t>GSM96850,GSM96851,</t>
  </si>
  <si>
    <t>Dicer knockdown clone #2b2 replicate 1 6 days induced,Dicer knockdown clone #2b2 replicate 2 6 days induced,</t>
  </si>
  <si>
    <t>GSM96846,GSM96847,</t>
  </si>
  <si>
    <t>empty vector ctrl replicate 1 6 days induced,empty vector ctrl replicate 2 6 days induced,</t>
  </si>
  <si>
    <t>8 : 771 : 169 : 10,186</t>
  </si>
  <si>
    <t>22 : 757 : 178 : 10,177</t>
  </si>
  <si>
    <t>1.06_2.60</t>
  </si>
  <si>
    <t>GSE4246_2.xlsx</t>
  </si>
  <si>
    <t>GSM96820,GSM96821,</t>
  </si>
  <si>
    <t>Ago3 knock down replicate 1,Ago3 knock down replicate 2,</t>
  </si>
  <si>
    <t>17 : 729 : 189 : 9,803</t>
  </si>
  <si>
    <t>0.73_2.00</t>
  </si>
  <si>
    <t>9 : 737 : 171 : 9,821</t>
  </si>
  <si>
    <t>0.36_1.38</t>
  </si>
  <si>
    <t>GSE4246_3.xlsx</t>
  </si>
  <si>
    <t>GSM96822,GSM96823,GSM96824,GSM96825,</t>
  </si>
  <si>
    <t>Ago1 knock down clone #1 replicate 1,Ago1 knock down clone #1 replicate 2,Ago1 knock down clone #2 replicate 1,Ago1 knock down clone #2 replicate 2,</t>
  </si>
  <si>
    <t>68 : 696 : 738 : 9,374</t>
  </si>
  <si>
    <t>0.96_1.61</t>
  </si>
  <si>
    <t>38 : 726 : 881 : 9,231</t>
  </si>
  <si>
    <t>0.39_0.77</t>
  </si>
  <si>
    <t>GSE4246_4.xlsx</t>
  </si>
  <si>
    <t>GSM96826,GSM96827,GSM96828,GSM96829,</t>
  </si>
  <si>
    <t>Ago4 knock down clone #1 replicate 1,Ago4 knock down clone #1 replicate 2,Ago4 knock down clone #2 replicate 1,Ago4 knock down clone #2 replicate 2,</t>
  </si>
  <si>
    <t>65 : 699 : 685 : 9,489</t>
  </si>
  <si>
    <t>0.99_1.68</t>
  </si>
  <si>
    <t>27 : 737 : 999 : 9,175</t>
  </si>
  <si>
    <t>0.23_0.50</t>
  </si>
  <si>
    <t>GSE4246_5.xlsx</t>
  </si>
  <si>
    <t>GSM96836,GSM96837,</t>
  </si>
  <si>
    <t>Dicer knockdown clone #2-2 replicate 1,Dicer knockdown clone #2-2 replicate 2,</t>
  </si>
  <si>
    <t>GSM96832,GSM96833,</t>
  </si>
  <si>
    <t>shRNA ctrl replicate 1 exp2,shRNA ctrl replicate 2 exp2,</t>
  </si>
  <si>
    <t>12 : 747 : 264 : 9,924</t>
  </si>
  <si>
    <t>0.34_1.08</t>
  </si>
  <si>
    <t>10 : 749 : 116 : 10,072</t>
  </si>
  <si>
    <t>0.61_2.22</t>
  </si>
  <si>
    <t>GSE4246_6.xlsx</t>
  </si>
  <si>
    <t>GSM96838,GSM96839,</t>
  </si>
  <si>
    <t>Dicer knockdown clone #2b2 replicate 1,Dicer knockdown clone #2b2 replicate 2,</t>
  </si>
  <si>
    <t>11 : 749 : 264 : 9,938</t>
  </si>
  <si>
    <t>0.30_1.02</t>
  </si>
  <si>
    <t>10 : 750 : 121 : 10,081</t>
  </si>
  <si>
    <t>0.58_2.13</t>
  </si>
  <si>
    <t>GSE4246_7.xlsx</t>
  </si>
  <si>
    <t>GSM96842,GSM96843,</t>
  </si>
  <si>
    <t>Dicer knockdown clone #2-2 replicate 1 2 days induced,Dicer knockdown clone #2-2 replicate 2 2 days induced,</t>
  </si>
  <si>
    <t>GSM96840,GSM96841,</t>
  </si>
  <si>
    <t>empty vector ctrl replicate 1 2 days induced,empty vector ctrl replicate 2 2 days induced,</t>
  </si>
  <si>
    <t>9 : 758 : 140 : 10,153</t>
  </si>
  <si>
    <t>13 : 754 : 134 : 10,159</t>
  </si>
  <si>
    <t>GSE4246_8.xlsx</t>
  </si>
  <si>
    <t>GSM96844,GSM96845,</t>
  </si>
  <si>
    <t>Dicer knockdown clone #2b2 replicate 1 2 days induced,Dicer knockdown clone #2b2 replicate 2 2 days induced,</t>
  </si>
  <si>
    <t>13 : 745 : 208 : 9,992</t>
  </si>
  <si>
    <t>0.48_1.48</t>
  </si>
  <si>
    <t>23 : 735 : 229 : 9,971</t>
  </si>
  <si>
    <t>0.88_2.11</t>
  </si>
  <si>
    <t>GSE4246_9.xlsx</t>
  </si>
  <si>
    <t>GSM96848,GSM96849,</t>
  </si>
  <si>
    <t>Dicer knockdown clone #2-2 replicate 1 6 days induced,Dicer knockdown clone #2-2 replicate 2 6 days induced,</t>
  </si>
  <si>
    <t>7 : 773 : 168 : 10,249</t>
  </si>
  <si>
    <t>0.26_1.18</t>
  </si>
  <si>
    <t>17 : 763 : 201 : 10,216</t>
  </si>
  <si>
    <t>0.69_1.87</t>
  </si>
  <si>
    <t>GSE4561_1.xlsx</t>
  </si>
  <si>
    <t>GSE4561</t>
  </si>
  <si>
    <t>Inhibition of NOX1 Gene Expression with shRNA in Human Colon Cancer</t>
  </si>
  <si>
    <t>GSM101924,GSM101925,GSM101926,GSM101927,</t>
  </si>
  <si>
    <t>HT-29 cell line - shNOX1 - Rep 4,HT-29 cell line - shNOX1 - Rep 1,HT-29 cell line - shNOX1 - Rep 2,HT-29 cell line - shNOX1 - Rep 3,</t>
  </si>
  <si>
    <t>GSM101928,GSM101929,GSM101930,</t>
  </si>
  <si>
    <t>HT-29 cell line - Scrambled - Rep 1,HT-29 cell line - Scrambled - Rep 2,HT-29 cell line - Scrambled - Rep 3,</t>
  </si>
  <si>
    <t>77 : 842 : 1,623 : 10,516</t>
  </si>
  <si>
    <t>0.47_0.75</t>
  </si>
  <si>
    <t>127 : 792 : 1,483 : 10,656</t>
  </si>
  <si>
    <t>0.95_1.40</t>
  </si>
  <si>
    <t>GSE4561_2.xlsx</t>
  </si>
  <si>
    <t>GSM101937,GSM101938,GSM101939,GSM101940,</t>
  </si>
  <si>
    <t>Xenograft - shNOX1 - Rep 1,Xenograft - shNOX1 - Rep 2,Xenograft - shNOX1 - Rep 3,Xenograft - shNOX1 - Rep 4,</t>
  </si>
  <si>
    <t>GSM101934,GSM101935,GSM101936,</t>
  </si>
  <si>
    <t>Xenograft - Scrambled - Rep 1,Xenograft - Scrambled - Rep 2,Xenograft - Scrambled - Rep 3,</t>
  </si>
  <si>
    <t>82 : 837 : 1,169 : 10,970</t>
  </si>
  <si>
    <t>0.73_1.16</t>
  </si>
  <si>
    <t>104 : 815 : 1,318 : 10,821</t>
  </si>
  <si>
    <t>GSE5417-GPL3921_1.xlsx</t>
  </si>
  <si>
    <t>GSE5417</t>
  </si>
  <si>
    <t>Expression data of control-shRNA and SATB1-shRNA expressing MDA-MB-231 cells from 2D and 3D culture system</t>
  </si>
  <si>
    <t>GSM229007,GSM229008,</t>
  </si>
  <si>
    <t>AM55p3,BM55p3,</t>
  </si>
  <si>
    <t>GSM229005,GSM229006,</t>
  </si>
  <si>
    <t>AMDA231p3,BMDA231p3,</t>
  </si>
  <si>
    <t>17 : 895 : 228 : 11,938</t>
  </si>
  <si>
    <t>0.60_1.64</t>
  </si>
  <si>
    <t>15 : 897 : 182 : 11,984</t>
  </si>
  <si>
    <t>0.65_1.87</t>
  </si>
  <si>
    <t>GSE5417-GPL3921_2.xlsx</t>
  </si>
  <si>
    <t>GSM229011,GSM229012,</t>
  </si>
  <si>
    <t>shRNA_3D_1,shRNA_3D_2,</t>
  </si>
  <si>
    <t>GSM229009,GSM229010,</t>
  </si>
  <si>
    <t>MDA231_3D_1,MDA231_3D_2,</t>
  </si>
  <si>
    <t>9 : 903 : 116 : 12,049</t>
  </si>
  <si>
    <t>6 : 906 : 99 : 12,066</t>
  </si>
  <si>
    <t>0.35_1.85</t>
  </si>
  <si>
    <t>GSE5417-GPL4044.xlsx</t>
  </si>
  <si>
    <t>GSM124327,GSM124328,</t>
  </si>
  <si>
    <t>SATB1_shRNA1-MDA-MB-231_2D,SATB1_shRNA1-MDA-MB-231_3D,</t>
  </si>
  <si>
    <t>GSM124329,GSM124330,</t>
  </si>
  <si>
    <t>Control_shRNA-MDA-MB-231_2D,Control_shRNA-MDA-MB-231_3D,</t>
  </si>
  <si>
    <t>4 : 1,012 : 61 : 13,000</t>
  </si>
  <si>
    <t>0.31_2.32</t>
  </si>
  <si>
    <t>5 : 1,011 : 77 : 12,984</t>
  </si>
  <si>
    <t>0.34_2.07</t>
  </si>
  <si>
    <t>GSE5823_1.xlsx</t>
  </si>
  <si>
    <t>GSE5823</t>
  </si>
  <si>
    <t>Effects of RNA interference-mediated c-MYC depletion on gene expression profiles in human cancer cell lines</t>
  </si>
  <si>
    <t>GSM136080,GSM136082,</t>
  </si>
  <si>
    <t>Cell line BT-474_c-myc KD_expt1,Cell line BT-474_c-myc KD_expt2,</t>
  </si>
  <si>
    <t>GSM136079,GSM136081,</t>
  </si>
  <si>
    <t>Cell line BT-474_control_expt1,Cell line BT-474_control_expt2,</t>
  </si>
  <si>
    <t>14 : 1,326 : 221 : 18,813</t>
  </si>
  <si>
    <t>0.52_1.55</t>
  </si>
  <si>
    <t>17 : 1,323 : 197 : 18,837</t>
  </si>
  <si>
    <t>0.75_2.02</t>
  </si>
  <si>
    <t>GSE5823_2.xlsx</t>
  </si>
  <si>
    <t>GSM136090,GSM136092,</t>
  </si>
  <si>
    <t>Cell line MDA-MB-231_c-myc KD_expt1,Cell line MDA-MB-231_c-myc KD_expt2,</t>
  </si>
  <si>
    <t>GSM136089,GSM136091,</t>
  </si>
  <si>
    <t>Cell line MDA-MB-231_control_expt1,Cell line MDA-MB-231_control_expt2,</t>
  </si>
  <si>
    <t>18 : 1,322 : 288 : 18,746</t>
  </si>
  <si>
    <t>0.55_1.43</t>
  </si>
  <si>
    <t>19 : 1,321 : 293 : 18,741</t>
  </si>
  <si>
    <t>0.58_1.47</t>
  </si>
  <si>
    <t>GSE5823_3.xlsx</t>
  </si>
  <si>
    <t>GSM136084,GSM136086,GSM136088,</t>
  </si>
  <si>
    <t>Cell line MCF-7_c-myc KD_expt1,Cell line MCF-7_c-myc KD_expt2,Cell line MCF-7_c-myc KD_expt3,</t>
  </si>
  <si>
    <t>GSM136083,GSM136085,GSM136087,</t>
  </si>
  <si>
    <t>Cell line MCF-7_control_expt1,Cell line MCF-7_control_expt2,Cell line MCF-7_control_expt3,</t>
  </si>
  <si>
    <t>24 : 1,316 : 269 : 18,765</t>
  </si>
  <si>
    <t>0.83_1.94</t>
  </si>
  <si>
    <t>30 : 1,310 : 349 : 18,685</t>
  </si>
  <si>
    <t>0.84_1.79</t>
  </si>
  <si>
    <t>GSE5823_4.xlsx</t>
  </si>
  <si>
    <t>GSM136094,GSM136096,GSM136098,</t>
  </si>
  <si>
    <t>Cell line HeLa_c-myc KD_expt1,Cell line HeLa_c-myc KD_expt2,Cell line HeLa_c-myc KD_expt3,</t>
  </si>
  <si>
    <t>GSM136093,GSM136095,GSM136097,</t>
  </si>
  <si>
    <t>Cell line HeLa_control_expt1,Cell line HeLa_control_expt2,Cell line HeLa_control_expt3,</t>
  </si>
  <si>
    <t>34 : 1,306 : 358 : 18,676</t>
  </si>
  <si>
    <t>0.95_1.94</t>
  </si>
  <si>
    <t>35 : 1,305 : 313 : 18,721</t>
  </si>
  <si>
    <t>1.13_2.29</t>
  </si>
  <si>
    <t>GSE5993.xlsx</t>
  </si>
  <si>
    <t>GSE5993</t>
  </si>
  <si>
    <t>mRNA expression profiling of p63-depleted versus wildtype ME180 cells</t>
  </si>
  <si>
    <t>GSM139220,GSM139221,GSM139222,</t>
  </si>
  <si>
    <t>p63shRNA_B1, p63-depleted,p63shRNA_B2, p63-depleted,p63shRNA_B3, p63-depleted,</t>
  </si>
  <si>
    <t>GSM139217,GSM139218,GSM139219,</t>
  </si>
  <si>
    <t>control_B1, empty vector,control_B2, empty vector,control_B3, empty vector,</t>
  </si>
  <si>
    <t>48 : 1,292 : 596 : 18,438</t>
  </si>
  <si>
    <t>0.85_1.55</t>
  </si>
  <si>
    <t>21 : 1,319 : 300 : 18,734</t>
  </si>
  <si>
    <t>0.64_1.55</t>
  </si>
  <si>
    <t>GSE6015_1.xlsx</t>
  </si>
  <si>
    <t>GSE6015</t>
  </si>
  <si>
    <t>Genome-wide mapping of Polycomb target genes unravels their roles in cell fate transitions</t>
  </si>
  <si>
    <t>GSM139680,GSM139681,GSM139682,</t>
  </si>
  <si>
    <t>The Identification of gene expression changes in human embryonic fibroblast cells depleted of SUZ12. Sample A,The Identification of gene expression changes in human embryonic fibroblast cells depleted of SUZ12. Sample B,The Identification of gene expression changes in human embryonic fibroblast cells depleted of SUZ12. Sample C,</t>
  </si>
  <si>
    <t>GSM139762,GSM139763,GSM139764,</t>
  </si>
  <si>
    <t>The Identification of gene expression changes in human embryonic fibroblast cells, background. Sample A,The Identification of gene expression changes in human embryonic fibroblast cells, background. Sample B,The Identification of gene expression changes in human embryonic fibroblast cells, background. Sample C,</t>
  </si>
  <si>
    <t>16 : 903 : 213 : 11,924</t>
  </si>
  <si>
    <t>0.59_1.66</t>
  </si>
  <si>
    <t>15 : 904 : 240 : 11,897</t>
  </si>
  <si>
    <t>0.49_1.39</t>
  </si>
  <si>
    <t>GSE6015_2.xlsx</t>
  </si>
  <si>
    <t>GSM139677,GSM139678,GSM139679,</t>
  </si>
  <si>
    <t>The Identification of gene expression changes in human embryonic fibroblast cells depleted of EZH2. Sample A,The Identification of gene expression changes in human embryonic fibroblast cells depleted of EZH2. Sample B,The Identification of gene expression changes in human embryonic fibroblast cells depleted of EZH2. Sample C,</t>
  </si>
  <si>
    <t>26 : 893 : 426 : 11,713</t>
  </si>
  <si>
    <t>0.54_1.20</t>
  </si>
  <si>
    <t>38 : 881 : 422 : 11,717</t>
  </si>
  <si>
    <t>0.85_1.68</t>
  </si>
  <si>
    <t>GSE6015_3.xlsx</t>
  </si>
  <si>
    <t>GSM139673,GSM139674,GSM139675,</t>
  </si>
  <si>
    <t>The Identification of gene expression changes in human embryonic fibroblast cells depleted of EED. Sample A,The Identification of gene expression changes in human embryonic fibroblast cells depleted of EED. Sample B,The Identification of gene expression changes in human embryonic fibroblast cells depleted of EED. Sample C,</t>
  </si>
  <si>
    <t>41 : 878 : 861 : 11,278</t>
  </si>
  <si>
    <t>0.44_0.84</t>
  </si>
  <si>
    <t>46 : 873 : 575 : 11,564</t>
  </si>
  <si>
    <t>0.78_1.44</t>
  </si>
  <si>
    <t>GSE6015_4.xlsx</t>
  </si>
  <si>
    <t>GSM139650,GSM139671,GSM139672,</t>
  </si>
  <si>
    <t>The Identification of gene expression changes in human embryonic fibroblast cells depleted of BMI-1. Sample A,The Identification of gene expression changes in human embryonic fibroblast cells depleted of BMI-1. Sample B,The Identification of gene expression changes in human embryonic fibroblast cells depleted of BMI-1. Sample C,</t>
  </si>
  <si>
    <t>6 : 913 : 208 : 11,931</t>
  </si>
  <si>
    <t>0.17_0.85</t>
  </si>
  <si>
    <t>22 : 897 : 204 : 11,935</t>
  </si>
  <si>
    <t>0.92_2.24</t>
  </si>
  <si>
    <t>GSE6406.xlsx</t>
  </si>
  <si>
    <t>GSE6406</t>
  </si>
  <si>
    <t>Effect on gene expression after administration of siRNA/siLNA targeting GFP</t>
  </si>
  <si>
    <t>GSM147789,GSM147790,GSM147791,</t>
  </si>
  <si>
    <t>siLNA 1,siLNA 2,siLNA 3,</t>
  </si>
  <si>
    <t>GSM147786,GSM147787,GSM147788,</t>
  </si>
  <si>
    <t>siRNA 1,siRNA 2,siRNA 3,</t>
  </si>
  <si>
    <t>31 : 1,309 : 412 : 18,622</t>
  </si>
  <si>
    <t>0.74_1.55</t>
  </si>
  <si>
    <t>31 : 1,309 : 333 : 18,701</t>
  </si>
  <si>
    <t>0.92_1.93</t>
  </si>
  <si>
    <t>GSE6576.xlsx</t>
  </si>
  <si>
    <t>GSE6576</t>
  </si>
  <si>
    <t>Prostate cancer cell line with slienceing of PDEF or control (GFP) gene using siRNA.</t>
  </si>
  <si>
    <t>GSM152020,GSM152021,</t>
  </si>
  <si>
    <t>PC-3 siPDEF_1 (Experimental cell line with slienceing of  PDEF),PC-3 siPDEF_2 (Experimental cell line with slienceing of  PDEF),</t>
  </si>
  <si>
    <t>GSM152018,GSM152019,</t>
  </si>
  <si>
    <t>PC-3 siGFP_1 (Contol cell line with slienceing of  GFP),PC-3 siGFP_2 (Contol cell line with slienceing of  GFP),</t>
  </si>
  <si>
    <t>16 : 834 : 234 : 12,001</t>
  </si>
  <si>
    <t>0.59_1.64</t>
  </si>
  <si>
    <t>17 : 833 : 205 : 12,030</t>
  </si>
  <si>
    <t>0.73_1.97</t>
  </si>
  <si>
    <t>GSE6679.xlsx</t>
  </si>
  <si>
    <t>GSE6679</t>
  </si>
  <si>
    <t>Staufen1 regulates a variety of mammalian transcripts</t>
  </si>
  <si>
    <t>GSM154357,GSM154358,GSM154359,</t>
  </si>
  <si>
    <t>siRNA Stau1,siRNA Stau1 Duplicate 1,siRNA Stau1 Duplicate 2,</t>
  </si>
  <si>
    <t>GSM154319,GSM154355,GSM154356,</t>
  </si>
  <si>
    <t>siRNA Control,siRNA Control Duplicate 1,siRNA Control Duplicate 2,</t>
  </si>
  <si>
    <t>7 : 1,333 : 127 : 18,907</t>
  </si>
  <si>
    <t>0.36_1.68</t>
  </si>
  <si>
    <t>6 : 1,334 : 94 : 18,940</t>
  </si>
  <si>
    <t>0.40_2.07</t>
  </si>
  <si>
    <t>GSE6819.xlsx</t>
  </si>
  <si>
    <t>GSE6819</t>
  </si>
  <si>
    <t>Identification of genes that are linked with optineurin expression</t>
  </si>
  <si>
    <t>GSM157218,GSM157219,GSM157220,</t>
  </si>
  <si>
    <t>optineurin expression-a03,optineurin expression-a02,optineurin expression-a01,</t>
  </si>
  <si>
    <t>GSM157215,GSM157216,GSM157217,</t>
  </si>
  <si>
    <t>optineurin expression-b03,optineurin expression-b02,optineurin expression-b01,</t>
  </si>
  <si>
    <t>11 : 1,329 : 220 : 18,814</t>
  </si>
  <si>
    <t>0.39_1.30</t>
  </si>
  <si>
    <t>17 : 1,323 : 328 : 18,706</t>
  </si>
  <si>
    <t>0.45_1.20</t>
  </si>
  <si>
    <t>GSE6926.xlsx</t>
  </si>
  <si>
    <t>GSE6926</t>
  </si>
  <si>
    <t>Identification of downstream targets of the human papillomavirus E6 and E7 oncoproteins by RNA interference</t>
  </si>
  <si>
    <t>GSM159391,GSM159392,GSM159393,</t>
  </si>
  <si>
    <t>HPV18-positive Hela cell line, siRNA 18E6E7 mediated knockdown_rep1,HPV18-positive Hela cell line, siRNA 18E6E7 mediated knockdown_rep2,HPV18-positive Hela cell line, siRNA 18E6E7 mediated knockdown_rep3,</t>
  </si>
  <si>
    <t>GSM159394,GSM159395,GSM159396,</t>
  </si>
  <si>
    <t>HPV18-positive Hela cell line, siRNA 18E6E7 mediated knockdown_dyeswap_rep1,HPV18-positive Hela cell line, siRNA 18E6E7 mediated knockdown_dyeswap_rep2,HPV18-positive Hela cell line, siRNA 18E6E7 mediated knockdown_dyeswap_rep3,</t>
  </si>
  <si>
    <t>58 : 996 : 519 : 11,385</t>
  </si>
  <si>
    <t>0.97_1.69</t>
  </si>
  <si>
    <t>34 : 1,020 : 319 : 11,585</t>
  </si>
  <si>
    <t>0.85_1.73</t>
  </si>
  <si>
    <t>GSE7009.xlsx</t>
  </si>
  <si>
    <t>GSE7009</t>
  </si>
  <si>
    <t>UPF1-depleted HeLa cells - effect on physiological targets</t>
  </si>
  <si>
    <t>GSM161678,GSM161679,GSM161686,</t>
  </si>
  <si>
    <t>HeLa cells transfected with UPF1 siRNA 1 (experiment),HeLa cells transfected with UPF1 siRNA 2 (experiment),HeLa cells transfected with UPF1 siRNA 3 (experiment),</t>
  </si>
  <si>
    <t>GSM161670,GSM161671,GSM161674,</t>
  </si>
  <si>
    <t>HeLa cells control 1 (Luciferase siRNA transfection),HeLa cells control 2 (Luciferase siRNA transfection),HeLa cells control 3 (Luciferase siRNA transfection),</t>
  </si>
  <si>
    <t>17 : 902 : 185 : 11,954</t>
  </si>
  <si>
    <t>0.74_2.01</t>
  </si>
  <si>
    <t>15 : 904 : 164 : 11,975</t>
  </si>
  <si>
    <t>0.71_2.06</t>
  </si>
  <si>
    <t>GSE7102_1.xlsx</t>
  </si>
  <si>
    <t>GSE7102</t>
  </si>
  <si>
    <t>siRNA-mediated knockdown of Sp3 induces a pro-inflammatory pattern of cytokine production: relevance to MS</t>
  </si>
  <si>
    <t>GSM170817,GSM170818,GSM170821,</t>
  </si>
  <si>
    <t>GSM170822,GSM170824,GSM170825,</t>
  </si>
  <si>
    <t>Control 4,Control 5,Control 6,</t>
  </si>
  <si>
    <t>4 : 915 : 36 : 12,103</t>
  </si>
  <si>
    <t>0.52_4.14</t>
  </si>
  <si>
    <t>3 : 916 : 51 : 12,088</t>
  </si>
  <si>
    <t>0.24_2.49</t>
  </si>
  <si>
    <t>GSE7102_2.xlsx</t>
  </si>
  <si>
    <t>GSM170826,GSM170827,GSM170829,</t>
  </si>
  <si>
    <t>Treatment 1,Treatment 2,Treatment 3,</t>
  </si>
  <si>
    <t>2 : 917 : 52 : 12,087</t>
  </si>
  <si>
    <t>0.12_2.08</t>
  </si>
  <si>
    <t>9 : 910 : 57 : 12,082</t>
  </si>
  <si>
    <t>1.03_4.25</t>
  </si>
  <si>
    <t>GSE7102_3.xlsx</t>
  </si>
  <si>
    <t>GSM170830,GSM170831,GSM170832,</t>
  </si>
  <si>
    <t>Treatment 4,Treatment 5,Treatment 6,</t>
  </si>
  <si>
    <t>6 : 913 : 58 : 12,081</t>
  </si>
  <si>
    <t>0.59_3.18</t>
  </si>
  <si>
    <t>6 : 913 : 75 : 12,064</t>
  </si>
  <si>
    <t>0.46_2.43</t>
  </si>
  <si>
    <t>GSE7161_1.xlsx</t>
  </si>
  <si>
    <t>GSE7161</t>
  </si>
  <si>
    <t>Non-Classical Functions of Human Topoisomerase I: Genome-wide and Pharmacological Analyses</t>
  </si>
  <si>
    <t>GSM172459,GSM172460,</t>
  </si>
  <si>
    <t>siTOP1 MCF7-repeat 1 - mAdbID:83286,siTOP1 MCF7-repeat 2 - mAdbID:83287,</t>
  </si>
  <si>
    <t>GSM172461,GSM172462,</t>
  </si>
  <si>
    <t>si Control MCF7-repeat 1 - mAdbID:83291,si Control MCF7-repeat 2 - mAdbID:83292,</t>
  </si>
  <si>
    <t>43 : 1,297 : 438 : 18,581</t>
  </si>
  <si>
    <t>1.02_1.93</t>
  </si>
  <si>
    <t>32 : 1,308 : 563 : 18,456</t>
  </si>
  <si>
    <t>0.56_1.15</t>
  </si>
  <si>
    <t>GSE7161_2.xlsx</t>
  </si>
  <si>
    <t>GSM172451,GSM172452,GSM172455,GSM172456,</t>
  </si>
  <si>
    <t>siTOP1 HCT116-repeat 1 - mAdbID:83278,siTOP1 HCT116-repeat 2 - mAdbID:83279,siTOP1 HCT116-repeat 3 - mAdbID:83282,siTOP1 HCT116-repeat 4 - mAdbID:83283,</t>
  </si>
  <si>
    <t>GSM172453,GSM172454,GSM172457,GSM172458,</t>
  </si>
  <si>
    <t>si Control HCT116-repeat 1 - mAdbID:83280,si Control HCT116-repeat 2 - mAdbID:83281,si Control HCT116-repeat 3 - mAdbID:83284,si Control HCT116-repeat 4 - mAdbID:83285,</t>
  </si>
  <si>
    <t>120 : 1,220 : 1,331 : 17,703</t>
  </si>
  <si>
    <t>1.08_1.59</t>
  </si>
  <si>
    <t>45 : 1,295 : 1,019 : 18,015</t>
  </si>
  <si>
    <t>0.45_0.83</t>
  </si>
  <si>
    <t>GSE7508.xlsx</t>
  </si>
  <si>
    <t>GSE7508</t>
  </si>
  <si>
    <t>Identification of LEDGF-responsive genes in Jurkat cells</t>
  </si>
  <si>
    <t>GSM181975,GSM181977,GSM181979,</t>
  </si>
  <si>
    <t>Jurkat-KD1,Jurkat-KD2,Jurkat-KD3,</t>
  </si>
  <si>
    <t>GSM181864,GSM181865,GSM181866,</t>
  </si>
  <si>
    <t>Jurkat-J1d,Jurkat-J2,Jurkat-J3,</t>
  </si>
  <si>
    <t>30 : 1,310 : 306 : 18,728</t>
  </si>
  <si>
    <t>0.96_2.05</t>
  </si>
  <si>
    <t>21 : 1,319 : 350 : 18,684</t>
  </si>
  <si>
    <t>0.55_1.32</t>
  </si>
  <si>
    <t>GSE7700_1.xlsx</t>
  </si>
  <si>
    <t>GSE7700</t>
  </si>
  <si>
    <t>Genes regulated by YAP in normal breast cell line and breast cancer cell lines</t>
  </si>
  <si>
    <t>GSM187271,GSM187272,</t>
  </si>
  <si>
    <t>MDA MB231 YAP knock down cell pmig-YAP/pRS-IRES-GFP-YAP rep1,MDA MB231 YAP knock down cell pmig-YAP/pRS-IRES-GFP-YAP rep2,</t>
  </si>
  <si>
    <t>GSM187268,GSM187269,</t>
  </si>
  <si>
    <t>MDA MB231 control cell pmig/pRS-IRES-GFP  rep1,MDA MB231 control cell pmig/pRS-IRES-GFP  rep2,</t>
  </si>
  <si>
    <t>24 : 1,316 : 237 : 18,797</t>
  </si>
  <si>
    <t>0.95_2.21</t>
  </si>
  <si>
    <t>23 : 1,317 : 174 : 18,860</t>
  </si>
  <si>
    <t>1.22_2.93</t>
  </si>
  <si>
    <t>GSE7700_2.xlsx</t>
  </si>
  <si>
    <t>GSM187276,GSM187277,GSM187278,</t>
  </si>
  <si>
    <t>Normal luminal YAP knock down cell pmig-YAP/pRS-IRES-GFP-YAP rep1,Normal luminal YAP knock down cell pmig-YAP/pRS-IRES-GFP-YAP rep2,Normal luminal YAP knock down cell pmig-YAP/pRS-IRES-GFP-YAP rep3,</t>
  </si>
  <si>
    <t>GSM187273,GSM187274,GSM187275,</t>
  </si>
  <si>
    <t>Normal luminal  control cell pmig/pRS-IRES-GFP  rep1,Normal luminal  control cell pmig/pRS-IRES-GFP  rep2,Normal luminal  control cell pmig/pRS-IRES-GFP  rep3,</t>
  </si>
  <si>
    <t>68 : 1,272 : 854 : 18,180</t>
  </si>
  <si>
    <t>0.88_1.47</t>
  </si>
  <si>
    <t>35 : 1,305 : 839 : 18,195</t>
  </si>
  <si>
    <t>0.41_0.82</t>
  </si>
  <si>
    <t>GSE7835.xlsx</t>
  </si>
  <si>
    <t>GSE7835</t>
  </si>
  <si>
    <t>Modulating hypoxia-inducible transcription by disrupting the HIF-1-DNA interface</t>
  </si>
  <si>
    <t>GSM190181,GSM190182,GSM190183,</t>
  </si>
  <si>
    <t>GSM190178,GSM190179,GSM190180,</t>
  </si>
  <si>
    <t>79 : 1,261 : 782 : 18,252</t>
  </si>
  <si>
    <t>1.15_1.86</t>
  </si>
  <si>
    <t>103 : 1,237 : 1,663 : 17,371</t>
  </si>
  <si>
    <t>0.71_1.07</t>
  </si>
  <si>
    <t>GSE8087.xlsx</t>
  </si>
  <si>
    <t>GSE8087</t>
  </si>
  <si>
    <t>RhoGDIbeta-responsive genes in MDA-MB-231 cells</t>
  </si>
  <si>
    <t>GSM200680,GSM200682,GSM200684,</t>
  </si>
  <si>
    <t>MDA-MB-231 cells siRhoGDIbeta transfected rep1 HG-U133A,MDA-MB-231 cells siRhoGDIbeta transfected rep2 HG-U133A,MDA-MB-231 cells siRhoGDIbeta transfected rep3 HG-U133A,</t>
  </si>
  <si>
    <t>GSM200678,GSM200681,GSM200683,</t>
  </si>
  <si>
    <t>MDA-MB-231 cells siLuc (control) transfected rep1 HG-U133A,MDA-MB-231 cells siLuc (ctrl) transfected rep2 HG-U133A,MDA-MB-231 cells siLuc (control) transfected rep3 HG-U133A,</t>
  </si>
  <si>
    <t>8 : 911 : 76 : 12,063</t>
  </si>
  <si>
    <t>0.67_2.90</t>
  </si>
  <si>
    <t>5 : 914 : 71 : 12,068</t>
  </si>
  <si>
    <t>0.37_2.31</t>
  </si>
  <si>
    <t>GSE8145_1.xlsx</t>
  </si>
  <si>
    <t>GSE8145</t>
  </si>
  <si>
    <t>human prostate and breast epithelial cell lines with EZH2 siRNA interference</t>
  </si>
  <si>
    <t>GSM201758,GSM201759,GSM201760,</t>
  </si>
  <si>
    <t>H16N2 cell treated with EZH2 siRNA Replicate  1,H16N2 cell treated with EZH2 siRNA Replicate  2,H16N2 cell treated with EZH2 siRNA Replicate  3,</t>
  </si>
  <si>
    <t>GSM201755,GSM201756,GSM201757,</t>
  </si>
  <si>
    <t>H16N2 cell treated with luciferase siRNA Replicate 1,H16N2 cell treated with luciferase siRNA Replicate  2,H16N2 cell treated with luciferase siRNA Replicate  3,</t>
  </si>
  <si>
    <t>19 : 723 : 314 : 8,897</t>
  </si>
  <si>
    <t>15 : 727 : 211 : 9,000</t>
  </si>
  <si>
    <t>0.52_1.49</t>
  </si>
  <si>
    <t>GSE8145_2.xlsx</t>
  </si>
  <si>
    <t>GSM201764,GSM201765,GSM201766,</t>
  </si>
  <si>
    <t>RWPE cell treated with EZH2 siRNA Replicate  1,RWPE cell treated with EZH2 siRNA Replicate  2,RWPE cell treated with EZH2 siRNA Replicate  3,</t>
  </si>
  <si>
    <t>GSM201761,GSM201762,GSM201763,</t>
  </si>
  <si>
    <t>RWPE cell treated with control siRNA Replicate 1,RWPE cell treated with control siRNA Replicate  2,RWPE cell treated with control siRNA Replicate  3,</t>
  </si>
  <si>
    <t>37 : 705 : 595 : 8,616</t>
  </si>
  <si>
    <t>0.54_1.07</t>
  </si>
  <si>
    <t>26 : 716 : 360 : 8,851</t>
  </si>
  <si>
    <t>0.60_1.34</t>
  </si>
  <si>
    <t>GSE8714_1.xlsx</t>
  </si>
  <si>
    <t>GSE8714</t>
  </si>
  <si>
    <t>Gene expression after transfection of IGF-II specific siRNAs</t>
  </si>
  <si>
    <t>GSM215345,GSM215346,</t>
  </si>
  <si>
    <t>ds1 A chip5,ds1 B chip6,</t>
  </si>
  <si>
    <t>GSM215556,GSM215559,</t>
  </si>
  <si>
    <t>control chip9,control chip10,</t>
  </si>
  <si>
    <t>8 : 696 : 134 : 9,418</t>
  </si>
  <si>
    <t>0.39_1.66</t>
  </si>
  <si>
    <t>58 : 646 : 667 : 8,885</t>
  </si>
  <si>
    <t>GSE8714_2.xlsx</t>
  </si>
  <si>
    <t>GSM215359,GSM215360,</t>
  </si>
  <si>
    <t>ds3 A chip7,ds3 B chip8,</t>
  </si>
  <si>
    <t>14 : 690 : 157 : 9,395</t>
  </si>
  <si>
    <t>0.70_2.11</t>
  </si>
  <si>
    <t>76 : 628 : 689 : 8,863</t>
  </si>
  <si>
    <t>1.21_2.00</t>
  </si>
  <si>
    <t>GSE8866_1.xlsx</t>
  </si>
  <si>
    <t>GSE8866</t>
  </si>
  <si>
    <t>The undifferentiated phenotype in neuroblastoma depends on Cyclin D1 and CDK4 activity</t>
  </si>
  <si>
    <t>GSM220188,GSM220206,GSM220209,</t>
  </si>
  <si>
    <t>imr-32,ccnd1 siRNA,T=48, 1,imr-32,ccnd1 siRNA,t=48,3,imr-32,ccnd1siRNA, t=48, 4,</t>
  </si>
  <si>
    <t>GSM220187,GSM220189,GSM220205,GSM220208,</t>
  </si>
  <si>
    <t>imr-32,GFP,T=48, 1,imr-32,gfp siRNA,T=48,2,imr-32,gfp siRNA,t=48,3,imr-32,gfp siRNA, t=48, 4,</t>
  </si>
  <si>
    <t>63 : 1,277 : 655 : 18,379</t>
  </si>
  <si>
    <t>1.06_1.80</t>
  </si>
  <si>
    <t>54 : 1,286 : 632 : 18,402</t>
  </si>
  <si>
    <t>0.92_1.62</t>
  </si>
  <si>
    <t>GSE8866_2.xlsx</t>
  </si>
  <si>
    <t>GSM220191,GSM220207,GSM220210,</t>
  </si>
  <si>
    <t>imr-32,cdk4 siRNA,t=48, 2,imr-32,cdk4 siRNA,t=48,3,imr-32, cdk4 siRNA, t=48, 4,</t>
  </si>
  <si>
    <t>78 : 1,262 : 981 : 18,053</t>
  </si>
  <si>
    <t>0.90_1.44</t>
  </si>
  <si>
    <t>63 : 1,277 : 847 : 18,187</t>
  </si>
  <si>
    <t>0.82_1.38</t>
  </si>
  <si>
    <t>GSE8866_3.xlsx</t>
  </si>
  <si>
    <t>GSM220186,GSM220199,GSM220203,</t>
  </si>
  <si>
    <t>IMR-32 ,T=0, 1,imr-32,t=0,2,imr-32,t=0,3,</t>
  </si>
  <si>
    <t>28 : 1,312 : 429 : 18,605</t>
  </si>
  <si>
    <t>0.63_1.36</t>
  </si>
  <si>
    <t>71 : 1,269 : 451 : 18,583</t>
  </si>
  <si>
    <t>1.78_2.98</t>
  </si>
  <si>
    <t>GSE9182.xlsx</t>
  </si>
  <si>
    <t>GSE9182</t>
  </si>
  <si>
    <t>Expression data from overexpression and knockdown of HOXC6 in LNCaP cells</t>
  </si>
  <si>
    <t>GSM231998,GSM231999,</t>
  </si>
  <si>
    <t>LNCaP HOXC6 siRNA, biological rep 1,LNCaP HOXC6 siRNA, biological rep 2,</t>
  </si>
  <si>
    <t>GSM231996,GSM231997,</t>
  </si>
  <si>
    <t>LNCaP control, biological rep 1,LNCAp control, biological rep 2,</t>
  </si>
  <si>
    <t>8 : 911 : 98 : 12,033</t>
  </si>
  <si>
    <t>0.52_2.22</t>
  </si>
  <si>
    <t>3 : 916 : 80 : 12,051</t>
  </si>
  <si>
    <t>0.16_1.57</t>
  </si>
  <si>
    <t>GSE9187_1.xlsx</t>
  </si>
  <si>
    <t>GSE9187</t>
  </si>
  <si>
    <t>Human breast cancer LM2 cell lines: control vs. MTDH knockdown</t>
  </si>
  <si>
    <t>GSM232043,GSM232044,GSM232045,</t>
  </si>
  <si>
    <t>Knockdown Cell on HMVEC-L Replicate 1,Knockdown Cell on HMVEC-L Replicate 2,Knockdown Cell on HMVEC-L Replicate 3,</t>
  </si>
  <si>
    <t>GSM232040,GSM232041,GSM232042,</t>
  </si>
  <si>
    <t>Control LM2 Cell on HMVEC-L Replicate 1,Control LM2 Cell on HMVEC-L Replicate 2,Control LM2 Cell on HMVEC-L Replicate 3,</t>
  </si>
  <si>
    <t>37 : 1,298 : 563 : 17,850</t>
  </si>
  <si>
    <t>0.64_1.27</t>
  </si>
  <si>
    <t>118 : 1,217 : 1,882 : 16,531</t>
  </si>
  <si>
    <t>0.70_1.03</t>
  </si>
  <si>
    <t>GSE9187_2.xlsx</t>
  </si>
  <si>
    <t>GSM232037,GSM232038,GSM232039,</t>
  </si>
  <si>
    <t>Knockdown Cell Replicate 1,Knockdown Cell Replicate 2,Knockdown Cell Replicate 3,</t>
  </si>
  <si>
    <t>GSM232034,GSM232035,GSM232036,</t>
  </si>
  <si>
    <t>Control LM2 Cell Replicate 1,Control LM2 Cell Replicate 2,Control LM2 Cell Replicate 3,</t>
  </si>
  <si>
    <t>121 : 1,214 : 1,861 : 16,551</t>
  </si>
  <si>
    <t>0.73_1.08</t>
  </si>
  <si>
    <t>79 : 1,256 : 834 : 17,578</t>
  </si>
  <si>
    <t>1.05_1.68</t>
  </si>
  <si>
    <t>GSE9206_1.xlsx</t>
  </si>
  <si>
    <t>GSE9206</t>
  </si>
  <si>
    <t>Role of CSN5 in breast cancer</t>
  </si>
  <si>
    <t>GSM232908,GSM232909,</t>
  </si>
  <si>
    <t>PHMLER_siMYC_1,PHMLER_siMYC_2,</t>
  </si>
  <si>
    <t>GSM232906,GSM232907,</t>
  </si>
  <si>
    <t>PHMLER_siGFP_1,PHMLER_siGFP_2,</t>
  </si>
  <si>
    <t>12 : 985 : 96 : 12,544</t>
  </si>
  <si>
    <t>0.87_2.91</t>
  </si>
  <si>
    <t>9 : 988 : 107 : 12,533</t>
  </si>
  <si>
    <t>0.54_2.11</t>
  </si>
  <si>
    <t>GSE9206_2.xlsx</t>
  </si>
  <si>
    <t>GSM232910,GSM232911,</t>
  </si>
  <si>
    <t>PHMLER_siCSN5_1,PHMLER_siCSN5_2,</t>
  </si>
  <si>
    <t>9 : 989 : 90 : 12,523</t>
  </si>
  <si>
    <t>0.64_2.52</t>
  </si>
  <si>
    <t>13 : 985 : 153 : 12,460</t>
  </si>
  <si>
    <t>0.61_1.90</t>
  </si>
  <si>
    <t>GSE9206_3.xlsx</t>
  </si>
  <si>
    <t>GSM232912,GSM232913,</t>
  </si>
  <si>
    <t>PHMLER_siMYC+CSN5_1,PHMLER_siMYC+CSN5_2,</t>
  </si>
  <si>
    <t>11 : 984 : 92 : 12,548</t>
  </si>
  <si>
    <t>0.81_2.86</t>
  </si>
  <si>
    <t>9 : 986 : 166 : 12,474</t>
  </si>
  <si>
    <t>0.35_1.35</t>
  </si>
  <si>
    <t>GSE9361_1.xlsx</t>
  </si>
  <si>
    <t>GSE9361</t>
  </si>
  <si>
    <t>Functional interaction between a PIP2 novel polyA polymerase and type 1 PIPKIalpha</t>
  </si>
  <si>
    <t>GSM238405,GSM238406,GSM238407,</t>
  </si>
  <si>
    <t>HEK293 siStarPap 4,HEK293 siStarPap 5,HEK293 siStarPap 6,</t>
  </si>
  <si>
    <t>GSM238399,GSM238400,GSM238401,</t>
  </si>
  <si>
    <t>HEK293 siControl 4,HEK293 siControl 5,HEK293 siControl 6,</t>
  </si>
  <si>
    <t>85 : 1,255 : 1,433 : 17,601</t>
  </si>
  <si>
    <t>0.66_1.04</t>
  </si>
  <si>
    <t>113 : 1,227 : 1,550 : 17,484</t>
  </si>
  <si>
    <t>0.85_1.27</t>
  </si>
  <si>
    <t>GSE9361_2.xlsx</t>
  </si>
  <si>
    <t>GSM238402,GSM238403,GSM238404,</t>
  </si>
  <si>
    <t>HEK293 siPIPKIa 4,HEK293 siPIPKIa 5,HEK293 siPIPKIa 6,</t>
  </si>
  <si>
    <t>105 : 1,235 : 1,275 : 17,758</t>
  </si>
  <si>
    <t>0.96_1.46</t>
  </si>
  <si>
    <t>109 : 1,231 : 1,742 : 17,291</t>
  </si>
  <si>
    <t>0.72_1.08</t>
  </si>
  <si>
    <t>GSE9487_1.xlsx</t>
  </si>
  <si>
    <t>GSE9487</t>
  </si>
  <si>
    <t>Genome-wide expression profiling of cells infected with control or RPS14 shRNAs</t>
  </si>
  <si>
    <t>GSM240724,GSM240725,GSM240726,</t>
  </si>
  <si>
    <t>RPS14_G4_72_hr_A,RPS14_G4_72_hr_B,RPS14_G4_72_hr_C,</t>
  </si>
  <si>
    <t>GSM240721,GSM240722,GSM240723,</t>
  </si>
  <si>
    <t>Luc_72_hr_A,Luc_72_hr_B,Luc_72_hr_C,</t>
  </si>
  <si>
    <t>10 : 902 : 85 : 12,096</t>
  </si>
  <si>
    <t>0.82_3.05</t>
  </si>
  <si>
    <t>7 : 905 : 69 : 12,112</t>
  </si>
  <si>
    <t>0.62_2.96</t>
  </si>
  <si>
    <t>GSE9487_2.xlsx</t>
  </si>
  <si>
    <t>GSM240727,GSM240728,GSM240729,</t>
  </si>
  <si>
    <t>RPS14_G6_72_hr_A,RPS14_G6_72_hr_B,RPS14_G6_72_hr_C,</t>
  </si>
  <si>
    <t>10 : 902 : 108 : 12,073</t>
  </si>
  <si>
    <t>0.65_2.38</t>
  </si>
  <si>
    <t>11 : 901 : 190 : 11,991</t>
  </si>
  <si>
    <t>0.42_1.42</t>
  </si>
  <si>
    <t>GSE9487_3.xlsx</t>
  </si>
  <si>
    <t>GSM240730,GSM240731,GSM240732,</t>
  </si>
  <si>
    <t>RPS14_G8_72_hr_A,RPS14_G8_72_hr_B,RPS14_G8_72_hr_C,</t>
  </si>
  <si>
    <t>5 : 907 : 59 : 12,122</t>
  </si>
  <si>
    <t>0.45_2.83</t>
  </si>
  <si>
    <t>4 : 908 : 34 : 12,147</t>
  </si>
  <si>
    <t>0.56_4.44</t>
  </si>
  <si>
    <t>GSE9690.xlsx</t>
  </si>
  <si>
    <t>GSE9690</t>
  </si>
  <si>
    <t>SAOS-2 cells, RBP2 knockdown or pRB overexpression</t>
  </si>
  <si>
    <t>GSM245043,GSM245046,GSM245049,</t>
  </si>
  <si>
    <t>RBP2 siRNA, biol. repl. 1,RBP2 siRNA, biol. repl. 2,RBP2 siRNA, biol. repl. 3,</t>
  </si>
  <si>
    <t>GSM245042,GSM245045,GSM245048,</t>
  </si>
  <si>
    <t>scrambled siRNA, biol. repl. 1,scrambled siRNA, biol. repl. 2,scrambled siRNA, biol. repl. 3,</t>
  </si>
  <si>
    <t>29 : 890 : 281 : 11,858</t>
  </si>
  <si>
    <t>0.93_2.03</t>
  </si>
  <si>
    <t>GSE9691_1.xlsx</t>
  </si>
  <si>
    <t>GSE9691</t>
  </si>
  <si>
    <t>Analysis of the effects of loss of E-cadherin and cell adhesion on human mammary epithelial cells</t>
  </si>
  <si>
    <t>GSM245054,GSM245055,GSM245056,</t>
  </si>
  <si>
    <t>HMLE_shEcad_rep1,HMLE_shEcad_rep2,HMLE_shEcad_rep3,</t>
  </si>
  <si>
    <t>GSM245051,GSM245052,GSM245053,</t>
  </si>
  <si>
    <t>HMLE_shCntrl_rep1,HMLE_shCntrl_rep2,HMLE_shCntrl_rep3,</t>
  </si>
  <si>
    <t>92 : 820 : 1,101 : 11,080</t>
  </si>
  <si>
    <t>0.90_1.41</t>
  </si>
  <si>
    <t>75 : 837 : 1,203 : 10,978</t>
  </si>
  <si>
    <t>0.64_1.04</t>
  </si>
  <si>
    <t>GSE9691_2.xlsx</t>
  </si>
  <si>
    <t>GSM245057,GSM245058,GSM245059,</t>
  </si>
  <si>
    <t>HMLE_shEcad+shBcat_rep1,HMLE_shEcad+shBcat_rep2,HMLE_shEcad+shBcat_rep3,</t>
  </si>
  <si>
    <t>95 : 817 : 1,083 : 11,098</t>
  </si>
  <si>
    <t>0.95_1.49</t>
  </si>
  <si>
    <t>83 : 829 : 1,268 : 10,913</t>
  </si>
  <si>
    <t>0.68_1.09</t>
  </si>
  <si>
    <t>7 : 223 : 224 : 12,639</t>
  </si>
  <si>
    <t>0.83_3.80</t>
  </si>
  <si>
    <t>7 : 223 : 277 : 12,586</t>
  </si>
  <si>
    <t>0.67_3.05</t>
  </si>
  <si>
    <t>3 : 308 : 255 : 19,808</t>
  </si>
  <si>
    <t>0.24_2.37</t>
  </si>
  <si>
    <t>7 : 304 : 296 : 19,767</t>
  </si>
  <si>
    <t>0.72_3.28</t>
  </si>
  <si>
    <t>9 : 302 : 510 : 19,553</t>
  </si>
  <si>
    <t>0.59_2.23</t>
  </si>
  <si>
    <t>4 : 307 : 609 : 19,454</t>
  </si>
  <si>
    <t>0.15_1.12</t>
  </si>
  <si>
    <t>3 : 308 : 236 : 19,827</t>
  </si>
  <si>
    <t>0.26_2.57</t>
  </si>
  <si>
    <t>6 : 305 : 301 : 19,762</t>
  </si>
  <si>
    <t>0.57_2.92</t>
  </si>
  <si>
    <t>3 : 303 : 263 : 24,045</t>
  </si>
  <si>
    <t>0.29_2.84</t>
  </si>
  <si>
    <t>4 : 302 : 199 : 24,109</t>
  </si>
  <si>
    <t>0.59_4.35</t>
  </si>
  <si>
    <t>24 : 287 : 1,542 : 18,521</t>
  </si>
  <si>
    <t>0.66_1.53</t>
  </si>
  <si>
    <t>34 : 277 : 1,624 : 18,439</t>
  </si>
  <si>
    <t>0.97_2.00</t>
  </si>
  <si>
    <t>4 : 307 : 179 : 19,884</t>
  </si>
  <si>
    <t>0.53_3.92</t>
  </si>
  <si>
    <t>4 : 307 : 155 : 19,908</t>
  </si>
  <si>
    <t>0.62_4.54</t>
  </si>
  <si>
    <t>4 : 307 : 250 : 19,813</t>
  </si>
  <si>
    <t>0.38_2.79</t>
  </si>
  <si>
    <t>3 : 308 : 226 : 19,837</t>
  </si>
  <si>
    <t>0.27_2.69</t>
  </si>
  <si>
    <t>13 : 298 : 749 : 19,314</t>
  </si>
  <si>
    <t>0.64_1.97</t>
  </si>
  <si>
    <t>13 : 298 : 921 : 19,142</t>
  </si>
  <si>
    <t>0.52_1.59</t>
  </si>
  <si>
    <t>2 : 309 : 219 : 19,844</t>
  </si>
  <si>
    <t>0.15_2.37</t>
  </si>
  <si>
    <t>4 : 307 : 241 : 19,822</t>
  </si>
  <si>
    <t>0.40_2.90</t>
  </si>
  <si>
    <t>7 : 212 : 334 : 12,333</t>
  </si>
  <si>
    <t>0.57_2.61</t>
  </si>
  <si>
    <t>3 : 216 : 208 : 12,459</t>
  </si>
  <si>
    <t>0.26_2.62</t>
  </si>
  <si>
    <t>2 : 211 : 383 : 12,207</t>
  </si>
  <si>
    <t>0.07_1.22</t>
  </si>
  <si>
    <t>5 : 208 : 318 : 12,272</t>
  </si>
  <si>
    <t>0.38_2.27</t>
  </si>
  <si>
    <t>2 : 285 : 113 : 18,266</t>
  </si>
  <si>
    <t>0.28_4.61</t>
  </si>
  <si>
    <t>2 : 285 : 129 : 18,250</t>
  </si>
  <si>
    <t>0.24_4.03</t>
  </si>
  <si>
    <t>2 : 309 : 71 : 19,992</t>
  </si>
  <si>
    <t>0.45_7.46</t>
  </si>
  <si>
    <t>2 : 309 : 87 : 19,976</t>
  </si>
  <si>
    <t>0.36_6.06</t>
  </si>
  <si>
    <t>2 : 309 : 98 : 19,964</t>
  </si>
  <si>
    <t>0.32_5.37</t>
  </si>
  <si>
    <t>4 : 307 : 118 : 19,944</t>
  </si>
  <si>
    <t>0.81_6.00</t>
  </si>
  <si>
    <t>1 : 310 : 102 : 19,961</t>
  </si>
  <si>
    <t>0.09_4.54</t>
  </si>
  <si>
    <t>5 : 306 : 193 : 19,870</t>
  </si>
  <si>
    <t>0.69_4.12</t>
  </si>
  <si>
    <t>6 : 305 : 205 : 19,858</t>
  </si>
  <si>
    <t>0.84_4.33</t>
  </si>
  <si>
    <t>8 : 303 : 290 : 19,773</t>
  </si>
  <si>
    <t>0.88_3.67</t>
  </si>
  <si>
    <t>4 : 307 : 193 : 19,870</t>
  </si>
  <si>
    <t>0.50_3.63</t>
  </si>
  <si>
    <t>9 : 302 : 296 : 19,767</t>
  </si>
  <si>
    <t>1.02_3.90</t>
  </si>
  <si>
    <t>2 : 224 : 112 : 12,720</t>
  </si>
  <si>
    <t>0.25_4.13</t>
  </si>
  <si>
    <t>2 : 224 : 107 : 12,725</t>
  </si>
  <si>
    <t>0.26_4.33</t>
  </si>
  <si>
    <t>0 : 306 : 250 : 24,058</t>
  </si>
  <si>
    <t>6 : 300 : 370 : 23,938</t>
  </si>
  <si>
    <t>2 : 304 : 207 : 24,101</t>
  </si>
  <si>
    <t>0.19_3.10</t>
  </si>
  <si>
    <t>7 : 299 : 313 : 23,995</t>
  </si>
  <si>
    <t>0.84_3.83</t>
  </si>
  <si>
    <t>21 : 290 : 1,412 : 18,651</t>
  </si>
  <si>
    <t>0.61_1.49</t>
  </si>
  <si>
    <t>40 : 271 : 1,916 : 18,147</t>
  </si>
  <si>
    <t>1.00_1.95</t>
  </si>
  <si>
    <t>1 : 263 : 128 : 15,794</t>
  </si>
  <si>
    <t>0.07_3.37</t>
  </si>
  <si>
    <t>2 : 262 : 254 : 15,668</t>
  </si>
  <si>
    <t>0.12_1.90</t>
  </si>
  <si>
    <t>0 : 285 : 40 : 15,261</t>
  </si>
  <si>
    <t>3 : 282 : 85 : 15,216</t>
  </si>
  <si>
    <t>0.60_6.06</t>
  </si>
  <si>
    <t>7 : 304 : 295 : 19,767</t>
  </si>
  <si>
    <t>0.72_3.29</t>
  </si>
  <si>
    <t>3 : 308 : 254 : 19,808</t>
  </si>
  <si>
    <t>0.24_2.38</t>
  </si>
  <si>
    <t>5 : 306 : 316 : 19,746</t>
  </si>
  <si>
    <t>0.42_2.49</t>
  </si>
  <si>
    <t>6 : 305 : 297 : 19,765</t>
  </si>
  <si>
    <t>0.58_2.96</t>
  </si>
  <si>
    <t>1 : 310 : 172 : 19,891</t>
  </si>
  <si>
    <t>0.05_2.67</t>
  </si>
  <si>
    <t>10 : 301 : 257 : 19,806</t>
  </si>
  <si>
    <t>1.35_4.86</t>
  </si>
  <si>
    <t>1 : 225 : 67 : 12,765</t>
  </si>
  <si>
    <t>0.12_6.13</t>
  </si>
  <si>
    <t>0 : 226 : 145 : 12,687</t>
  </si>
  <si>
    <t>15 : 289 : 844 : 19,308</t>
  </si>
  <si>
    <t>0.70_2.00</t>
  </si>
  <si>
    <t>8 : 296 : 544 : 19,608</t>
  </si>
  <si>
    <t>0.48_1.98</t>
  </si>
  <si>
    <t>8 : 296 : 309 : 19,843</t>
  </si>
  <si>
    <t>0.85_3.53</t>
  </si>
  <si>
    <t>4 : 300 : 341 : 19,811</t>
  </si>
  <si>
    <t>0.29_2.09</t>
  </si>
  <si>
    <t>17 : 294 : 821 : 19,242</t>
  </si>
  <si>
    <t>0.83_2.22</t>
  </si>
  <si>
    <t>17 : 294 : 948 : 19,115</t>
  </si>
  <si>
    <t>0.71_1.91</t>
  </si>
  <si>
    <t>19 : 292 : 814 : 19,235</t>
  </si>
  <si>
    <t>0.96_2.46</t>
  </si>
  <si>
    <t>5 : 306 : 304 : 19,745</t>
  </si>
  <si>
    <t>0.44_2.59</t>
  </si>
  <si>
    <t>1 : 189 : 98 : 16,210</t>
  </si>
  <si>
    <t>0.12_6.31</t>
  </si>
  <si>
    <t>1 : 189 : 120 : 16,188</t>
  </si>
  <si>
    <t>0.10_5.14</t>
  </si>
  <si>
    <t>3 : 223 : 160 : 12,672</t>
  </si>
  <si>
    <t>0.34_3.36</t>
  </si>
  <si>
    <t>1 : 225 : 118 : 12,714</t>
  </si>
  <si>
    <t>0.07_3.44</t>
  </si>
  <si>
    <t>1 : 225 : 131 : 12,700</t>
  </si>
  <si>
    <t>0.06_3.10</t>
  </si>
  <si>
    <t>4 : 222 : 100 : 12,731</t>
  </si>
  <si>
    <t>0.84_6.29</t>
  </si>
  <si>
    <t>4 : 222 : 87 : 12,745</t>
  </si>
  <si>
    <t>0.96_7.25</t>
  </si>
  <si>
    <t>2 : 224 : 115 : 12,717</t>
  </si>
  <si>
    <t>0.24_4.02</t>
  </si>
  <si>
    <t>2 : 224 : 100 : 12,732</t>
  </si>
  <si>
    <t>0.28_4.64</t>
  </si>
  <si>
    <t>4 : 222 : 113 : 12,719</t>
  </si>
  <si>
    <t>0.74_5.55</t>
  </si>
  <si>
    <t>3 : 301 : 103 : 20,049</t>
  </si>
  <si>
    <t>0.61_6.15</t>
  </si>
  <si>
    <t>0 : 304 : 142 : 20,010</t>
  </si>
  <si>
    <t>0 : 304 : 125 : 20,027</t>
  </si>
  <si>
    <t>1 : 303 : 144 : 20,008</t>
  </si>
  <si>
    <t>0.06_3.29</t>
  </si>
  <si>
    <t>2 : 302 : 91 : 20,061</t>
  </si>
  <si>
    <t>0.36_5.95</t>
  </si>
  <si>
    <t>0 : 304 : 110 : 20,042</t>
  </si>
  <si>
    <t>0 : 304 : 147 : 20,005</t>
  </si>
  <si>
    <t>3 : 301 : 135 : 20,017</t>
  </si>
  <si>
    <t>0.47_4.67</t>
  </si>
  <si>
    <t>5 : 306 : 172 : 19,884</t>
  </si>
  <si>
    <t>0.77_4.63</t>
  </si>
  <si>
    <t>6 : 305 : 132 : 19,924</t>
  </si>
  <si>
    <t>1.30_6.78</t>
  </si>
  <si>
    <t>4 : 307 : 184 : 19,871</t>
  </si>
  <si>
    <t>0.52_3.81</t>
  </si>
  <si>
    <t>3 : 308 : 192 : 19,863</t>
  </si>
  <si>
    <t>0.32_3.17</t>
  </si>
  <si>
    <t>3 : 308 : 219 : 19,834</t>
  </si>
  <si>
    <t>0.28_2.77</t>
  </si>
  <si>
    <t>3 : 308 : 159 : 19,894</t>
  </si>
  <si>
    <t>0.39_3.84</t>
  </si>
  <si>
    <t>2 : 309 : 217 : 19,834</t>
  </si>
  <si>
    <t>0.15_2.39</t>
  </si>
  <si>
    <t>3 : 308 : 178 : 19,873</t>
  </si>
  <si>
    <t>0.35_3.42</t>
  </si>
  <si>
    <t>8 : 276 : 1,031 : 23,886</t>
  </si>
  <si>
    <t>0.33_1.36</t>
  </si>
  <si>
    <t>19 : 265 : 1,017 : 23,900</t>
  </si>
  <si>
    <t>1.05_2.70</t>
  </si>
  <si>
    <t>3 : 281 : 392 : 24,525</t>
  </si>
  <si>
    <t>0.21_2.09</t>
  </si>
  <si>
    <t>6 : 278 : 414 : 24,503</t>
  </si>
  <si>
    <t>0.57_2.88</t>
  </si>
  <si>
    <t>42 : 184 : 2,682 : 10,150</t>
  </si>
  <si>
    <t>0.62_1.21</t>
  </si>
  <si>
    <t>64 : 162 : 4,059 : 8,773</t>
  </si>
  <si>
    <t>47 : 179 : 2,674 : 10,158</t>
  </si>
  <si>
    <t>0.72_1.38</t>
  </si>
  <si>
    <t>69 : 157 : 4,114 : 8,718</t>
  </si>
  <si>
    <t>0.70_1.24</t>
  </si>
  <si>
    <t>21 : 290 : 1,252 : 18,811</t>
  </si>
  <si>
    <t>0.70_1.70</t>
  </si>
  <si>
    <t>19 : 292 : 1,003 : 19,060</t>
  </si>
  <si>
    <t>0.77_1.98</t>
  </si>
  <si>
    <t>24 : 287 : 1,078 : 18,985</t>
  </si>
  <si>
    <t>0.97_2.24</t>
  </si>
  <si>
    <t>9 : 302 : 571 : 19,492</t>
  </si>
  <si>
    <t>0.52_1.98</t>
  </si>
  <si>
    <t>0 : 290 : 46 : 17,968</t>
  </si>
  <si>
    <t>1 : 289 : 48 : 17,966</t>
  </si>
  <si>
    <t>0.18_9.42</t>
  </si>
  <si>
    <t>3 : 223 : 219 : 12,588</t>
  </si>
  <si>
    <t>0.25_2.43</t>
  </si>
  <si>
    <t>3 : 223 : 137 : 12,670</t>
  </si>
  <si>
    <t>0.39_3.94</t>
  </si>
  <si>
    <t>3 : 223 : 228 : 12,585</t>
  </si>
  <si>
    <t>0.24_2.34</t>
  </si>
  <si>
    <t>5 : 221 : 207 : 12,606</t>
  </si>
  <si>
    <t>0.56_3.38</t>
  </si>
  <si>
    <t>8 : 294 : 357 : 23,652</t>
  </si>
  <si>
    <t>0.89_3.67</t>
  </si>
  <si>
    <t>3 : 299 : 367 : 23,642</t>
  </si>
  <si>
    <t>0.21_2.02</t>
  </si>
  <si>
    <t>20 : 286 : 1,043 : 23,264</t>
  </si>
  <si>
    <t>0.99_2.46</t>
  </si>
  <si>
    <t>21 : 285 : 969 : 23,338</t>
  </si>
  <si>
    <t>1.13_2.78</t>
  </si>
  <si>
    <t>16 : 295 : 1,560 : 18,503</t>
  </si>
  <si>
    <t>0.39_1.07</t>
  </si>
  <si>
    <t>22 : 289 : 1,984 : 18,079</t>
  </si>
  <si>
    <t>0.45_1.07</t>
  </si>
  <si>
    <t>6 : 304 : 316 : 19,720</t>
  </si>
  <si>
    <t>0.54_2.78</t>
  </si>
  <si>
    <t>7 : 303 : 288 : 19,748</t>
  </si>
  <si>
    <t>0.74_3.38</t>
  </si>
  <si>
    <t>1 : 305 : 187 : 24,121</t>
  </si>
  <si>
    <t>0.06_3.03</t>
  </si>
  <si>
    <t>4 : 302 : 239 : 24,069</t>
  </si>
  <si>
    <t>0.49_3.61</t>
  </si>
  <si>
    <t>2 : 304 : 223 : 24,085</t>
  </si>
  <si>
    <t>0.18_2.87</t>
  </si>
  <si>
    <t>3 : 303 : 209 : 24,099</t>
  </si>
  <si>
    <t>0.36_3.59</t>
  </si>
  <si>
    <t>6 : 300 : 209 : 24,099</t>
  </si>
  <si>
    <t>1.02_5.23</t>
  </si>
  <si>
    <t>2 : 304 : 198 : 24,110</t>
  </si>
  <si>
    <t>0.20_3.24</t>
  </si>
  <si>
    <t>2 : 304 : 183 : 24,124</t>
  </si>
  <si>
    <t>0.21_3.51</t>
  </si>
  <si>
    <t>3 : 303 : 181 : 24,126</t>
  </si>
  <si>
    <t>0.42_4.15</t>
  </si>
  <si>
    <t>0 : 226 : 41 : 12,789</t>
  </si>
  <si>
    <t>0 : 226 : 22 : 12,808</t>
  </si>
  <si>
    <t>0 : 226 : 43 : 12,789</t>
  </si>
  <si>
    <t>0 : 226 : 27 : 12,805</t>
  </si>
  <si>
    <t>3 : 308 : 285 : 19,778</t>
  </si>
  <si>
    <t>0.22_2.12</t>
  </si>
  <si>
    <t>8 : 303 : 414 : 19,649</t>
  </si>
  <si>
    <t>0.62_2.55</t>
  </si>
  <si>
    <t>5 : 306 : 180 : 19,883</t>
  </si>
  <si>
    <t>0.74_4.42</t>
  </si>
  <si>
    <t>4 : 307 : 221 : 19,842</t>
  </si>
  <si>
    <t>0.43_3.16</t>
  </si>
  <si>
    <t>1 : 310 : 205 : 19,858</t>
  </si>
  <si>
    <t>0.04_2.24</t>
  </si>
  <si>
    <t>8 : 303 : 416 : 19,647</t>
  </si>
  <si>
    <t>0.61_2.53</t>
  </si>
  <si>
    <t>5 : 306 : 215 : 19,848</t>
  </si>
  <si>
    <t>0.62_3.69</t>
  </si>
  <si>
    <t>1 : 310 : 188 : 19,875</t>
  </si>
  <si>
    <t>0.05_2.44</t>
  </si>
  <si>
    <t>3 : 308 : 229 : 19,834</t>
  </si>
  <si>
    <t>0.27_2.65</t>
  </si>
  <si>
    <t>3 : 308 : 158 : 19,905</t>
  </si>
  <si>
    <t>0.39_3.87</t>
  </si>
  <si>
    <t>6 : 220 : 679 : 12,153</t>
  </si>
  <si>
    <t>0.22_1.10</t>
  </si>
  <si>
    <t>7 : 219 : 897 : 11,935</t>
  </si>
  <si>
    <t>0.20_0.91</t>
  </si>
  <si>
    <t>11 : 215 : 1,099 : 11,733</t>
  </si>
  <si>
    <t>0.30_1.00</t>
  </si>
  <si>
    <t>20 : 206 : 1,082 : 11,750</t>
  </si>
  <si>
    <t>0.66_1.68</t>
  </si>
  <si>
    <t>10 : 301 : 658 : 19,405</t>
  </si>
  <si>
    <t>0.52_1.85</t>
  </si>
  <si>
    <t>4 : 307 : 244 : 19,819</t>
  </si>
  <si>
    <t>0.39_2.86</t>
  </si>
  <si>
    <t>14 : 297 : 641 : 19,422</t>
  </si>
  <si>
    <t>0.83_2.46</t>
  </si>
  <si>
    <t>5 : 306 : 448 : 19,615</t>
  </si>
  <si>
    <t>0.29_1.74</t>
  </si>
  <si>
    <t>10 : 301 : 474 : 19,589</t>
  </si>
  <si>
    <t>0.73_2.59</t>
  </si>
  <si>
    <t>6 : 305 : 470 : 19,593</t>
  </si>
  <si>
    <t>0.36_1.85</t>
  </si>
  <si>
    <t>0 : 244 : 92 : 13,768</t>
  </si>
  <si>
    <t>2 : 242 : 138 : 13,722</t>
  </si>
  <si>
    <t>0.20_3.34</t>
  </si>
  <si>
    <t>1 : 243 : 68 : 13,792</t>
  </si>
  <si>
    <t>0.12_6.04</t>
  </si>
  <si>
    <t>0 : 244 : 35 : 13,825</t>
  </si>
  <si>
    <t>0 : 244 : 248 : 13,612</t>
  </si>
  <si>
    <t>2 : 242 : 191 : 13,669</t>
  </si>
  <si>
    <t>0.15_2.40</t>
  </si>
  <si>
    <t>1 : 243 : 399 : 13,460</t>
  </si>
  <si>
    <t>0.02_0.99</t>
  </si>
  <si>
    <t>6 : 238 : 186 : 13,673</t>
  </si>
  <si>
    <t>0.81_4.22</t>
  </si>
  <si>
    <t>6 : 238 : 514 : 13,344</t>
  </si>
  <si>
    <t>0.29_1.48</t>
  </si>
  <si>
    <t>10 : 234 : 333 : 13,525</t>
  </si>
  <si>
    <t>0.91_3.30</t>
  </si>
  <si>
    <t>8 : 303 : 293 : 19,770</t>
  </si>
  <si>
    <t>0.87_3.63</t>
  </si>
  <si>
    <t>7 : 304 : 551 : 19,512</t>
  </si>
  <si>
    <t>0.38_1.73</t>
  </si>
  <si>
    <t>18 : 288 : 670 : 23,638</t>
  </si>
  <si>
    <t>1.36_3.57</t>
  </si>
  <si>
    <t>5 : 301 : 529 : 23,779</t>
  </si>
  <si>
    <t>0.31_1.81</t>
  </si>
  <si>
    <t>19 : 287 : 804 : 23,504</t>
  </si>
  <si>
    <t>1.21_3.10</t>
  </si>
  <si>
    <t>7 : 299 : 642 : 23,666</t>
  </si>
  <si>
    <t>0.41_1.83</t>
  </si>
  <si>
    <t>3 : 313 : 211 : 24,632</t>
  </si>
  <si>
    <t>0.36_3.52</t>
  </si>
  <si>
    <t>0 : 316 : 213 : 24,630</t>
  </si>
  <si>
    <t>1 : 315 : 137 : 24,706</t>
  </si>
  <si>
    <t>0.08_4.11</t>
  </si>
  <si>
    <t>2 : 314 : 166 : 24,677</t>
  </si>
  <si>
    <t>0.23_3.83</t>
  </si>
  <si>
    <t>3 : 223 : 224 : 12,608</t>
  </si>
  <si>
    <t>1 : 225 : 130 : 12,702</t>
  </si>
  <si>
    <t>0.06_3.12</t>
  </si>
  <si>
    <t>2 : 224 : 91 : 12,741</t>
  </si>
  <si>
    <t>0.31_5.11</t>
  </si>
  <si>
    <t>3 : 223 : 82 : 12,750</t>
  </si>
  <si>
    <t>0.66_6.67</t>
  </si>
  <si>
    <t>2 : 304 : 223 : 24,012</t>
  </si>
  <si>
    <t>0.18_2.86</t>
  </si>
  <si>
    <t>2 : 304 : 165 : 24,070</t>
  </si>
  <si>
    <t>0.24_3.89</t>
  </si>
  <si>
    <t>3 : 303 : 201 : 24,019</t>
  </si>
  <si>
    <t>0.38_3.72</t>
  </si>
  <si>
    <t>2 : 304 : 192 : 24,028</t>
  </si>
  <si>
    <t>0.20_3.33</t>
  </si>
  <si>
    <t>28 : 283 : 2,004 : 18,059</t>
  </si>
  <si>
    <t>0.60_1.32</t>
  </si>
  <si>
    <t>32 : 279 : 1,647 : 18,416</t>
  </si>
  <si>
    <t>0.89_1.86</t>
  </si>
  <si>
    <t>10 : 289 : 527 : 19,398</t>
  </si>
  <si>
    <t>0.67_2.41</t>
  </si>
  <si>
    <t>4 : 295 : 439 : 19,486</t>
  </si>
  <si>
    <t>0.22_1.62</t>
  </si>
  <si>
    <t>4 : 295 : 197 : 19,571</t>
  </si>
  <si>
    <t>0.50_3.65</t>
  </si>
  <si>
    <t>0 : 299 : 85 : 19,683</t>
  </si>
  <si>
    <t>0 : 139 : 40 : 7,182</t>
  </si>
  <si>
    <t>2 : 137 : 35 : 7,187</t>
  </si>
  <si>
    <t>0.71_12.59</t>
  </si>
  <si>
    <t>5 : 162 : 161 : 8,483</t>
  </si>
  <si>
    <t>0.66_4.01</t>
  </si>
  <si>
    <t>0 : 167 : 25 : 8,619</t>
  </si>
  <si>
    <t>24 : 202 : 1,260 : 11,572</t>
  </si>
  <si>
    <t>0.71_1.67</t>
  </si>
  <si>
    <t>24 : 202 : 2,102 : 10,730</t>
  </si>
  <si>
    <t>0.40_0.93</t>
  </si>
  <si>
    <t>22 : 204 : 1,268 : 11,564</t>
  </si>
  <si>
    <t>0.63_1.53</t>
  </si>
  <si>
    <t>30 : 196 : 2,139 : 10,693</t>
  </si>
  <si>
    <t>0.52_1.13</t>
  </si>
  <si>
    <t>10 : 301 : 450 : 19,613</t>
  </si>
  <si>
    <t>0.77_2.74</t>
  </si>
  <si>
    <t>5 : 306 : 481 : 19,582</t>
  </si>
  <si>
    <t>1 : 153 : 79 : 10,159</t>
  </si>
  <si>
    <t>0.12_6.08</t>
  </si>
  <si>
    <t>0 : 154 : 59 : 10,179</t>
  </si>
  <si>
    <t>1 : 155 : 32 : 10,260</t>
  </si>
  <si>
    <t>0.28_15.23</t>
  </si>
  <si>
    <t>1 : 155 : 37 : 10,255</t>
  </si>
  <si>
    <t>0.24_13.12</t>
  </si>
  <si>
    <t>2 : 224 : 121 : 12,711</t>
  </si>
  <si>
    <t>0.23_3.82</t>
  </si>
  <si>
    <t>4 : 222 : 130 : 12,702</t>
  </si>
  <si>
    <t>0.65_4.80</t>
  </si>
  <si>
    <t>8 : 218 : 417 : 12,415</t>
  </si>
  <si>
    <t>0.54_2.23</t>
  </si>
  <si>
    <t>9 : 217 : 382 : 12,450</t>
  </si>
  <si>
    <t>0.69_2.65</t>
  </si>
  <si>
    <t>3 : 308 : 245 : 19,818</t>
  </si>
  <si>
    <t>0.25_2.47</t>
  </si>
  <si>
    <t>6 : 305 : 253 : 19,810</t>
  </si>
  <si>
    <t>0.68_3.49</t>
  </si>
  <si>
    <t>2 : 309 : 218 : 19,845</t>
  </si>
  <si>
    <t>0.15_2.38</t>
  </si>
  <si>
    <t>3 : 308 : 125 : 19,938</t>
  </si>
  <si>
    <t>0.49_4.91</t>
  </si>
  <si>
    <t>12 : 304 : 489 : 24,354</t>
  </si>
  <si>
    <t>1.10_3.52</t>
  </si>
  <si>
    <t>12 : 304 : 526 : 24,317</t>
  </si>
  <si>
    <t>1.02_3.27</t>
  </si>
  <si>
    <t>1 : 315 : 183 : 24,659</t>
  </si>
  <si>
    <t>0.06_3.06</t>
  </si>
  <si>
    <t>3 : 313 : 200 : 24,642</t>
  </si>
  <si>
    <t>0.38_3.71</t>
  </si>
  <si>
    <t>8 : 296 : 559 : 19,593</t>
  </si>
  <si>
    <t>0.47_1.92</t>
  </si>
  <si>
    <t>13 : 291 : 530 : 19,622</t>
  </si>
  <si>
    <t>0.94_2.90</t>
  </si>
  <si>
    <t>0 : 188 : 106 : 12,176</t>
  </si>
  <si>
    <t>5 : 183 : 133 : 12,149</t>
  </si>
  <si>
    <t>1.01_6.17</t>
  </si>
  <si>
    <t>0 : 151 : 93 : 8,098</t>
  </si>
  <si>
    <t>0 : 151 : 150 : 8,041</t>
  </si>
  <si>
    <t>1 : 150 : 66 : 8,125</t>
  </si>
  <si>
    <t>0.11_5.95</t>
  </si>
  <si>
    <t>0 : 151 : 86 : 8,105</t>
  </si>
  <si>
    <t>1 : 150 : 75 : 8,116</t>
  </si>
  <si>
    <t>0.10_5.22</t>
  </si>
  <si>
    <t>0 : 151 : 104 : 8,087</t>
  </si>
  <si>
    <t>3 : 148 : 169 : 8,022</t>
  </si>
  <si>
    <t>0.30_3.05</t>
  </si>
  <si>
    <t>3 : 148 : 194 : 7,997</t>
  </si>
  <si>
    <t>0.26_2.64</t>
  </si>
  <si>
    <t>4 : 147 : 231 : 7,959</t>
  </si>
  <si>
    <t>0.34_2.55</t>
  </si>
  <si>
    <t>2 : 149 : 176 : 8,014</t>
  </si>
  <si>
    <t>0.15_2.49</t>
  </si>
  <si>
    <t>2 : 149 : 125 : 8,066</t>
  </si>
  <si>
    <t>0.21_3.53</t>
  </si>
  <si>
    <t>1 : 150 : 93 : 8,098</t>
  </si>
  <si>
    <t>0.08_4.19</t>
  </si>
  <si>
    <t>1 : 150 : 124 : 8,067</t>
  </si>
  <si>
    <t>0 : 151 : 57 : 8,134</t>
  </si>
  <si>
    <t>1 : 150 : 86 : 8,105</t>
  </si>
  <si>
    <t>5 : 306 : 419 : 19,636</t>
  </si>
  <si>
    <t>0.31_1.86</t>
  </si>
  <si>
    <t>13 : 298 : 399 : 19,656</t>
  </si>
  <si>
    <t>1.22_3.78</t>
  </si>
  <si>
    <t>41 : 270 : 1,148 : 18,915</t>
  </si>
  <si>
    <t>1.79_3.49</t>
  </si>
  <si>
    <t>11 : 300 : 729 : 19,334</t>
  </si>
  <si>
    <t>3 : 289 : 202 : 18,268</t>
  </si>
  <si>
    <t>0.30_2.95</t>
  </si>
  <si>
    <t>2 : 290 : 200 : 18,270</t>
  </si>
  <si>
    <t>0.16_2.55</t>
  </si>
  <si>
    <t>4 : 164 : 86 : 8,683</t>
  </si>
  <si>
    <t>0.89_6.79</t>
  </si>
  <si>
    <t>1 : 167 : 64 : 8,705</t>
  </si>
  <si>
    <t>0.11_5.91</t>
  </si>
  <si>
    <t>7 : 304 : 1,019 : 19,044</t>
  </si>
  <si>
    <t>24 : 287 : 1,122 : 18,941</t>
  </si>
  <si>
    <t>0.93_2.15</t>
  </si>
  <si>
    <t>5 : 260 : 275 : 16,345</t>
  </si>
  <si>
    <t>0.47_2.79</t>
  </si>
  <si>
    <t>17 : 248 : 579 : 16,041</t>
  </si>
  <si>
    <t>1.15_3.13</t>
  </si>
  <si>
    <t>10 : 301 : 908 : 19,155</t>
  </si>
  <si>
    <t>0.37_1.32</t>
  </si>
  <si>
    <t>11 : 300 : 811 : 19,252</t>
  </si>
  <si>
    <t>0.47_1.60</t>
  </si>
  <si>
    <t>23 : 288 : 1,202 : 18,861</t>
  </si>
  <si>
    <t>0.82_1.92</t>
  </si>
  <si>
    <t>12 : 299 : 950 : 19,113</t>
  </si>
  <si>
    <t>0.45_1.44</t>
  </si>
  <si>
    <t>18 : 293 : 692 : 19,371</t>
  </si>
  <si>
    <t>1.06_2.78</t>
  </si>
  <si>
    <t>12 : 299 : 1,003 : 19,060</t>
  </si>
  <si>
    <t>0.43_1.36</t>
  </si>
  <si>
    <t>21 : 290 : 968 : 19,095</t>
  </si>
  <si>
    <t>0.91_2.23</t>
  </si>
  <si>
    <t>12 : 299 : 991 : 19,072</t>
  </si>
  <si>
    <t>0.43_1.38</t>
  </si>
  <si>
    <t>6 : 305 : 406 : 19,652</t>
  </si>
  <si>
    <t>0.42_2.15</t>
  </si>
  <si>
    <t>9 : 302 : 400 : 19,658</t>
  </si>
  <si>
    <t>0.75_2.86</t>
  </si>
  <si>
    <t>0 : 226 : 29 : 12,803</t>
  </si>
  <si>
    <t>1 : 225 : 139 : 12,693</t>
  </si>
  <si>
    <t>0.06_2.91</t>
  </si>
  <si>
    <t>0 : 226 : 86 : 12,731</t>
  </si>
  <si>
    <t>3 : 223 : 80 : 12,737</t>
  </si>
  <si>
    <t>0.67_6.83</t>
  </si>
  <si>
    <t>1 : 225 : 67 : 12,756</t>
  </si>
  <si>
    <t>0.12_6.12</t>
  </si>
  <si>
    <t>1 : 225 : 71 : 12,752</t>
  </si>
  <si>
    <t>0.11_5.77</t>
  </si>
  <si>
    <t>2 : 281 : 172 : 24,537</t>
  </si>
  <si>
    <t>0.25_4.11</t>
  </si>
  <si>
    <t>0 : 283 : 176 : 24,533</t>
  </si>
  <si>
    <t>1 : 263 : 162 : 15,761</t>
  </si>
  <si>
    <t>0.05_2.65</t>
  </si>
  <si>
    <t>4 : 260 : 129 : 15,794</t>
  </si>
  <si>
    <t>0.69_5.13</t>
  </si>
  <si>
    <t>3 : 261 : 196 : 15,727</t>
  </si>
  <si>
    <t>0.29_2.90</t>
  </si>
  <si>
    <t>2 : 262 : 266 : 15,657</t>
  </si>
  <si>
    <t>0.11_1.82</t>
  </si>
  <si>
    <t>1 : 298 : 40 : 19,827</t>
  </si>
  <si>
    <t>0.23_12.14</t>
  </si>
  <si>
    <t>0 : 299 : 29 : 19,838</t>
  </si>
  <si>
    <t>0 : 300 : 22 : 19,842</t>
  </si>
  <si>
    <t>4 : 300 : 188 : 19,964</t>
  </si>
  <si>
    <t>0.52_3.84</t>
  </si>
  <si>
    <t>4 : 300 : 295 : 19,857</t>
  </si>
  <si>
    <t>0.33_2.42</t>
  </si>
  <si>
    <t>3 : 301 : 156 : 19,996</t>
  </si>
  <si>
    <t>0.41_4.03</t>
  </si>
  <si>
    <t>3 : 301 : 185 : 19,967</t>
  </si>
  <si>
    <t>0.34_3.39</t>
  </si>
  <si>
    <t>5 : 306 : 382 : 19,681</t>
  </si>
  <si>
    <t>0.35_2.05</t>
  </si>
  <si>
    <t>10 : 301 : 341 : 19,722</t>
  </si>
  <si>
    <t>1.01_3.64</t>
  </si>
  <si>
    <t>3 : 290 : 189 : 24,958</t>
  </si>
  <si>
    <t>0.43_4.30</t>
  </si>
  <si>
    <t>4 : 289 : 222 : 24,925</t>
  </si>
  <si>
    <t>0.57_4.21</t>
  </si>
  <si>
    <t>5 : 288 : 214 : 24,933</t>
  </si>
  <si>
    <t>0.83_4.95</t>
  </si>
  <si>
    <t>3 : 290 : 206 : 24,941</t>
  </si>
  <si>
    <t>0.40_3.94</t>
  </si>
  <si>
    <t>27 : 232 : 1,092 : 15,461</t>
  </si>
  <si>
    <t>1.10_2.47</t>
  </si>
  <si>
    <t>12 : 247 : 957 : 15,596</t>
  </si>
  <si>
    <t>0.44_1.42</t>
  </si>
  <si>
    <t>2 : 308 : 294 : 19,726</t>
  </si>
  <si>
    <t>0.11_1.76</t>
  </si>
  <si>
    <t>16 : 294 : 429 : 19,591</t>
  </si>
  <si>
    <t>1.49_4.15</t>
  </si>
  <si>
    <t>2 : 309 : 233 : 19,797</t>
  </si>
  <si>
    <t>0.14_2.22</t>
  </si>
  <si>
    <t>10 : 301 : 339 : 19,691</t>
  </si>
  <si>
    <t>1.02_3.66</t>
  </si>
  <si>
    <t>3 : 313 : 266 : 24,543</t>
  </si>
  <si>
    <t>3 : 313 : 240 : 24,569</t>
  </si>
  <si>
    <t>0.31_3.08</t>
  </si>
  <si>
    <t>3 : 313 : 256 : 24,547</t>
  </si>
  <si>
    <t>0.29_2.88</t>
  </si>
  <si>
    <t>3 : 313 : 237 : 24,566</t>
  </si>
  <si>
    <t>0.32_3.12</t>
  </si>
  <si>
    <t>3 : 308 : 241 : 19,821</t>
  </si>
  <si>
    <t>0.26_2.52</t>
  </si>
  <si>
    <t>6 : 305 : 191 : 19,871</t>
  </si>
  <si>
    <t>0.90_4.65</t>
  </si>
  <si>
    <t>4 : 307 : 168 : 19,894</t>
  </si>
  <si>
    <t>0.57_4.19</t>
  </si>
  <si>
    <t>2 : 309 : 162 : 19,900</t>
  </si>
  <si>
    <t>0.20_3.22</t>
  </si>
  <si>
    <t>4 : 307 : 188 : 19,875</t>
  </si>
  <si>
    <t>0.51_3.73</t>
  </si>
  <si>
    <t>7 : 304 : 175 : 19,888</t>
  </si>
  <si>
    <t>1.22_5.62</t>
  </si>
  <si>
    <t>3 : 308 : 269 : 19,794</t>
  </si>
  <si>
    <t>0.23_2.25</t>
  </si>
  <si>
    <t>6 : 305 : 234 : 19,829</t>
  </si>
  <si>
    <t>0.74_3.78</t>
  </si>
  <si>
    <t>2 : 309 : 210 : 19,853</t>
  </si>
  <si>
    <t>0.15_2.47</t>
  </si>
  <si>
    <t>2 : 309 : 175 : 19,888</t>
  </si>
  <si>
    <t>0.18_2.98</t>
  </si>
  <si>
    <t>7 : 307 : 658 : 24,010</t>
  </si>
  <si>
    <t>0.39_1.77</t>
  </si>
  <si>
    <t>5 : 309 : 565 : 24,103</t>
  </si>
  <si>
    <t>0.28_1.68</t>
  </si>
  <si>
    <t>1 : 313 : 339 : 24,329</t>
  </si>
  <si>
    <t>0.03_1.64</t>
  </si>
  <si>
    <t>11 : 303 : 311 : 24,357</t>
  </si>
  <si>
    <t>1.54_5.24</t>
  </si>
  <si>
    <t>20 : 291 : 1,210 : 18,853</t>
  </si>
  <si>
    <t>0.68_1.69</t>
  </si>
  <si>
    <t>17 : 294 : 1,239 : 18,824</t>
  </si>
  <si>
    <t>0.54_1.44</t>
  </si>
  <si>
    <t>19 : 291 : 1,156 : 18,904</t>
  </si>
  <si>
    <t>0.67_1.70</t>
  </si>
  <si>
    <t>22 : 288 : 1,082 : 18,978</t>
  </si>
  <si>
    <t>0.86_2.08</t>
  </si>
  <si>
    <t>22 : 294 : 1,739 : 23,104</t>
  </si>
  <si>
    <t>0.64_1.54</t>
  </si>
  <si>
    <t>33 : 283 : 1,789 : 23,054</t>
  </si>
  <si>
    <t>1.04_2.16</t>
  </si>
  <si>
    <t>4 : 312 : 328 : 24,515</t>
  </si>
  <si>
    <t>0.36_2.58</t>
  </si>
  <si>
    <t>2 : 314 : 383 : 24,460</t>
  </si>
  <si>
    <t>0.10_1.64</t>
  </si>
  <si>
    <t>3 : 313 : 326 : 24,517</t>
  </si>
  <si>
    <t>0.23_2.26</t>
  </si>
  <si>
    <t>6 : 310 : 377 : 24,466</t>
  </si>
  <si>
    <t>0.56_2.84</t>
  </si>
  <si>
    <t>2 : 314 : 379 : 24,464</t>
  </si>
  <si>
    <t>0.10_1.66</t>
  </si>
  <si>
    <t>10 : 306 : 403 : 24,440</t>
  </si>
  <si>
    <t>1.05_3.75</t>
  </si>
  <si>
    <t>5 : 311 : 225 : 24,618</t>
  </si>
  <si>
    <t>0.72_4.30</t>
  </si>
  <si>
    <t>7 : 309 : 255 : 24,588</t>
  </si>
  <si>
    <t>1.02_4.67</t>
  </si>
  <si>
    <t>4 : 312 : 189 : 24,654</t>
  </si>
  <si>
    <t>0.62_4.53</t>
  </si>
  <si>
    <t>4 : 312 : 176 : 24,667</t>
  </si>
  <si>
    <t>0.66_4.87</t>
  </si>
  <si>
    <t>2 : 314 : 262 : 24,581</t>
  </si>
  <si>
    <t>0.15_2.41</t>
  </si>
  <si>
    <t>3 : 313 : 286 : 24,557</t>
  </si>
  <si>
    <t>0.26_2.58</t>
  </si>
  <si>
    <t>6 : 310 : 387 : 24,456</t>
  </si>
  <si>
    <t>0.54_2.76</t>
  </si>
  <si>
    <t>6 : 310 : 327 : 24,516</t>
  </si>
  <si>
    <t>0.64_3.28</t>
  </si>
  <si>
    <t>18 : 298 : 908 : 23,935</t>
  </si>
  <si>
    <t>0.98_2.57</t>
  </si>
  <si>
    <t>18 : 298 : 963 : 23,880</t>
  </si>
  <si>
    <t>0.93_2.42</t>
  </si>
  <si>
    <t>17 : 299 : 827 : 24,016</t>
  </si>
  <si>
    <t>1.01_2.70</t>
  </si>
  <si>
    <t>13 : 303 : 805 : 24,038</t>
  </si>
  <si>
    <t>0.73_2.24</t>
  </si>
  <si>
    <t>25 : 291 : 2,067 : 22,776</t>
  </si>
  <si>
    <t>0.63_1.43</t>
  </si>
  <si>
    <t>42 : 274 : 2,165 : 22,678</t>
  </si>
  <si>
    <t>1.16_2.23</t>
  </si>
  <si>
    <t>26 : 290 : 1,510 : 23,333</t>
  </si>
  <si>
    <t>0.92_2.08</t>
  </si>
  <si>
    <t>19 : 297 : 1,555 : 23,288</t>
  </si>
  <si>
    <t>0.60_1.53</t>
  </si>
  <si>
    <t>1 : 315 : 220 : 24,623</t>
  </si>
  <si>
    <t>0.05_2.54</t>
  </si>
  <si>
    <t>1 : 315 : 242 : 24,601</t>
  </si>
  <si>
    <t>0.05_2.31</t>
  </si>
  <si>
    <t>4 : 312 : 141 : 24,702</t>
  </si>
  <si>
    <t>0.83_6.11</t>
  </si>
  <si>
    <t>4 : 312 : 146 : 24,697</t>
  </si>
  <si>
    <t>0.80_5.89</t>
  </si>
  <si>
    <t>3 : 313 : 174 : 24,669</t>
  </si>
  <si>
    <t>0.43_4.28</t>
  </si>
  <si>
    <t>1 : 315 : 171 : 24,672</t>
  </si>
  <si>
    <t>0.06_3.28</t>
  </si>
  <si>
    <t>7 : 309 : 601 : 24,242</t>
  </si>
  <si>
    <t>0.43_1.94</t>
  </si>
  <si>
    <t>8 : 308 : 454 : 24,389</t>
  </si>
  <si>
    <t>0.69_2.83</t>
  </si>
  <si>
    <t>14 : 302 : 866 : 23,977</t>
  </si>
  <si>
    <t>0.75_2.20</t>
  </si>
  <si>
    <t>11 : 305 : 793 : 24,050</t>
  </si>
  <si>
    <t>0.60_2.00</t>
  </si>
  <si>
    <t>12 : 304 : 957 : 23,886</t>
  </si>
  <si>
    <t>0.55_1.76</t>
  </si>
  <si>
    <t>19 : 297 : 978 : 23,865</t>
  </si>
  <si>
    <t>0.98_2.49</t>
  </si>
  <si>
    <t>1 : 292 : 206 : 24,941</t>
  </si>
  <si>
    <t>0.06_2.97</t>
  </si>
  <si>
    <t>1 : 292 : 199 : 24,948</t>
  </si>
  <si>
    <t>0.06_3.07</t>
  </si>
  <si>
    <t>1 : 315 : 289 : 24,554</t>
  </si>
  <si>
    <t>0.04_1.93</t>
  </si>
  <si>
    <t>9 : 307 : 284 : 24,559</t>
  </si>
  <si>
    <t>1.29_4.97</t>
  </si>
  <si>
    <t>4 : 312 : 256 : 24,587</t>
  </si>
  <si>
    <t>0.46_3.33</t>
  </si>
  <si>
    <t>6 : 310 : 298 : 24,545</t>
  </si>
  <si>
    <t>0.71_3.60</t>
  </si>
  <si>
    <t>6 : 310 : 311 : 24,532</t>
  </si>
  <si>
    <t>0.68_3.45</t>
  </si>
  <si>
    <t>3 : 313 : 257 : 24,586</t>
  </si>
  <si>
    <t>2 : 314 : 102 : 24,741</t>
  </si>
  <si>
    <t>0.38_6.29</t>
  </si>
  <si>
    <t>4 : 312 : 116 : 24,727</t>
  </si>
  <si>
    <t>1.00_7.45</t>
  </si>
  <si>
    <t>35 : 268 : 1,016 : 17,753</t>
  </si>
  <si>
    <t>1.60_3.26</t>
  </si>
  <si>
    <t>18 : 285 : 873 : 17,896</t>
  </si>
  <si>
    <t>0.80_2.09</t>
  </si>
  <si>
    <t>9 : 302 : 247 : 19,816</t>
  </si>
  <si>
    <t>1.22_4.69</t>
  </si>
  <si>
    <t>3 : 308 : 177 : 19,886</t>
  </si>
  <si>
    <t>0.35_3.44</t>
  </si>
  <si>
    <t>2 : 309 : 81 : 19,982</t>
  </si>
  <si>
    <t>0.39_6.52</t>
  </si>
  <si>
    <t>2 : 309 : 137 : 19,926</t>
  </si>
  <si>
    <t>1 : 307 : 168 : 19,803</t>
  </si>
  <si>
    <t>0.05_2.75</t>
  </si>
  <si>
    <t>3 : 305 : 238 : 19,733</t>
  </si>
  <si>
    <t>0.26_2.56</t>
  </si>
  <si>
    <t>3 : 306 : 119 : 19,843</t>
  </si>
  <si>
    <t>0.52_5.17</t>
  </si>
  <si>
    <t>5 : 304 : 200 : 19,762</t>
  </si>
  <si>
    <t>0.66_3.98</t>
  </si>
  <si>
    <t>6 : 298 : 236 : 19,912</t>
  </si>
  <si>
    <t>0.75_3.85</t>
  </si>
  <si>
    <t>1 : 303 : 154 : 19,994</t>
  </si>
  <si>
    <t>1 : 303 : 170 : 19,982</t>
  </si>
  <si>
    <t>0.05_2.78</t>
  </si>
  <si>
    <t>5 : 299 : 188 : 19,964</t>
  </si>
  <si>
    <t>0.73_4.35</t>
  </si>
  <si>
    <t>3 : 301 : 238 : 19,913</t>
  </si>
  <si>
    <t>0.27_2.62</t>
  </si>
  <si>
    <t>1 : 303 : 219 : 19,932</t>
  </si>
  <si>
    <t>0.04_2.15</t>
  </si>
  <si>
    <t>57 : 263 : 2,859 : 23,261</t>
  </si>
  <si>
    <t>1.32_2.35</t>
  </si>
  <si>
    <t>26 : 294 : 1,320 : 24,800</t>
  </si>
  <si>
    <t>1.11_2.49</t>
  </si>
  <si>
    <t>57 : 263 : 3,098 : 23,024</t>
  </si>
  <si>
    <t>1.21_2.15</t>
  </si>
  <si>
    <t>28 : 292 : 1,441 : 24,681</t>
  </si>
  <si>
    <t>1.11_2.43</t>
  </si>
  <si>
    <t>15 : 305 : 783 : 25,339</t>
  </si>
  <si>
    <t>0.94_2.69</t>
  </si>
  <si>
    <t>17 : 303 : 1,060 : 25,062</t>
  </si>
  <si>
    <t>0.81_2.17</t>
  </si>
  <si>
    <t>11 : 253 : 444 : 15,479</t>
  </si>
  <si>
    <t>0.82_2.79</t>
  </si>
  <si>
    <t>6 : 258 : 213 : 15,710</t>
  </si>
  <si>
    <t>0.75_3.90</t>
  </si>
  <si>
    <t>0 : 264 : 46 : 15,877</t>
  </si>
  <si>
    <t>0 : 264 : 42 : 15,881</t>
  </si>
  <si>
    <t>32 : 232 : 1,698 : 14,225</t>
  </si>
  <si>
    <t>2 : 262 : 403 : 15,520</t>
  </si>
  <si>
    <t>0.07_1.19</t>
  </si>
  <si>
    <t>19 : 245 : 1,096 : 14,827</t>
  </si>
  <si>
    <t>16 : 248 : 511 : 15,412</t>
  </si>
  <si>
    <t>1.16_3.25</t>
  </si>
  <si>
    <t>69 : 234 : 2,834 : 15,935</t>
  </si>
  <si>
    <t>1.26_2.18</t>
  </si>
  <si>
    <t>35 : 268 : 1,612 : 17,157</t>
  </si>
  <si>
    <t>0.97_1.98</t>
  </si>
  <si>
    <t>29 : 274 : 1,112 : 17,657</t>
  </si>
  <si>
    <t>1.14_2.48</t>
  </si>
  <si>
    <t>23 : 280 : 829 : 17,940</t>
  </si>
  <si>
    <t>1.16_2.73</t>
  </si>
  <si>
    <t>100 : 203 : 4,670 : 14,099</t>
  </si>
  <si>
    <t>1.17_1.89</t>
  </si>
  <si>
    <t>44 : 259 : 2,272 : 16,497</t>
  </si>
  <si>
    <t>0.89_1.70</t>
  </si>
  <si>
    <t>63 : 240 : 3,223 : 15,546</t>
  </si>
  <si>
    <t>0.96_1.68</t>
  </si>
  <si>
    <t>59 : 244 : 2,306 : 16,463</t>
  </si>
  <si>
    <t>1.29_2.30</t>
  </si>
  <si>
    <t>5 : 306 : 413 : 19,650</t>
  </si>
  <si>
    <t>0.32_1.89</t>
  </si>
  <si>
    <t>10 : 301 : 400 : 19,663</t>
  </si>
  <si>
    <t>0.86_3.09</t>
  </si>
  <si>
    <t>11 : 300 : 388 : 19,675</t>
  </si>
  <si>
    <t>1.01_3.42</t>
  </si>
  <si>
    <t>8 : 303 : 486 : 19,577</t>
  </si>
  <si>
    <t>0.52_2.16</t>
  </si>
  <si>
    <t>6 : 305 : 289 : 19,774</t>
  </si>
  <si>
    <t>0.60_3.04</t>
  </si>
  <si>
    <t>8 : 303 : 441 : 19,622</t>
  </si>
  <si>
    <t>0.58_2.39</t>
  </si>
  <si>
    <t>20 : 291 : 909 : 19,154</t>
  </si>
  <si>
    <t>0.92_2.29</t>
  </si>
  <si>
    <t>8 : 303 : 518 : 19,545</t>
  </si>
  <si>
    <t>0.49_2.02</t>
  </si>
  <si>
    <t>6 : 305 : 247 : 19,816</t>
  </si>
  <si>
    <t>0.70_3.58</t>
  </si>
  <si>
    <t>5 : 306 : 326 : 19,737</t>
  </si>
  <si>
    <t>0.41_2.41</t>
  </si>
  <si>
    <t>4 : 307 : 236 : 19,827</t>
  </si>
  <si>
    <t>0.40_2.96</t>
  </si>
  <si>
    <t>6 : 305 : 336 : 19,725</t>
  </si>
  <si>
    <t>0.51_2.61</t>
  </si>
  <si>
    <t>2 : 309 : 246 : 19,815</t>
  </si>
  <si>
    <t>0.13_2.11</t>
  </si>
  <si>
    <t>19 : 292 : 964 : 19,099</t>
  </si>
  <si>
    <t>0.81_2.06</t>
  </si>
  <si>
    <t>10 : 301 : 806 : 19,257</t>
  </si>
  <si>
    <t>0.42_1.50</t>
  </si>
  <si>
    <t>5 : 221 : 304 : 12,528</t>
  </si>
  <si>
    <t>0.38_2.28</t>
  </si>
  <si>
    <t>4 : 222 : 273 : 12,559</t>
  </si>
  <si>
    <t>0.31_2.24</t>
  </si>
  <si>
    <t>2 : 224 : 153 : 12,679</t>
  </si>
  <si>
    <t>0.18_3.00</t>
  </si>
  <si>
    <t>6 : 220 : 155 : 12,677</t>
  </si>
  <si>
    <t>0.98_5.10</t>
  </si>
  <si>
    <t>8 : 308 : 476 : 24,367</t>
  </si>
  <si>
    <t>0.66_2.70</t>
  </si>
  <si>
    <t>2 : 314 : 408 : 24,435</t>
  </si>
  <si>
    <t>0.09_1.54</t>
  </si>
  <si>
    <t>9 : 295 : 922 : 19,230</t>
  </si>
  <si>
    <t>0.33_1.24</t>
  </si>
  <si>
    <t>15 : 289 : 897 : 19,255</t>
  </si>
  <si>
    <t>0.66_1.88</t>
  </si>
  <si>
    <t>9 : 295 : 531 : 19,621</t>
  </si>
  <si>
    <t>0.58_2.20</t>
  </si>
  <si>
    <t>5 : 299 : 227 : 19,925</t>
  </si>
  <si>
    <t>0.60_3.59</t>
  </si>
  <si>
    <t>22 : 287 : 1,292 : 18,148</t>
  </si>
  <si>
    <t>0.70_1.67</t>
  </si>
  <si>
    <t>9 : 300 : 1,287 : 18,153</t>
  </si>
  <si>
    <t>0.22_0.82</t>
  </si>
  <si>
    <t>1 : 303 : 149 : 20,001</t>
  </si>
  <si>
    <t>0.06_3.18</t>
  </si>
  <si>
    <t>4 : 300 : 137 : 20,013</t>
  </si>
  <si>
    <t>0.72_5.30</t>
  </si>
  <si>
    <t>23 : 281 : 1,437 : 18,715</t>
  </si>
  <si>
    <t>0.69_1.64</t>
  </si>
  <si>
    <t>18 : 286 : 1,182 : 18,970</t>
  </si>
  <si>
    <t>0.63_1.63</t>
  </si>
  <si>
    <t>24 : 255 : 1,572 : 16,678</t>
  </si>
  <si>
    <t>0.65_1.52</t>
  </si>
  <si>
    <t>25 : 254 : 1,621 : 16,629</t>
  </si>
  <si>
    <t>0.67_1.53</t>
  </si>
  <si>
    <t>1 : 308 : 406 : 19,034</t>
  </si>
  <si>
    <t>5 : 304 : 275 : 19,165</t>
  </si>
  <si>
    <t>0.47_2.80</t>
  </si>
  <si>
    <t>12 : 304 : 841 : 24,002</t>
  </si>
  <si>
    <t>0.63_2.01</t>
  </si>
  <si>
    <t>22 : 294 : 1,157 : 23,686</t>
  </si>
  <si>
    <t>0.99_2.37</t>
  </si>
  <si>
    <t>5 : 311 : 337 : 24,506</t>
  </si>
  <si>
    <t>0.48_2.85</t>
  </si>
  <si>
    <t>12 : 304 : 420 : 24,423</t>
  </si>
  <si>
    <t>1.28_4.12</t>
  </si>
  <si>
    <t>5 : 304 : 364 : 19,076</t>
  </si>
  <si>
    <t>0.35_2.10</t>
  </si>
  <si>
    <t>4 : 305 : 104 : 19,336</t>
  </si>
  <si>
    <t>0.89_6.66</t>
  </si>
  <si>
    <t>14 : 276 : 831 : 17,223</t>
  </si>
  <si>
    <t>0.61_1.81</t>
  </si>
  <si>
    <t>19 : 271 : 768 : 17,286</t>
  </si>
  <si>
    <t>0.99_2.53</t>
  </si>
  <si>
    <t>5 : 306 : 295 : 19,768</t>
  </si>
  <si>
    <t>0.45_2.67</t>
  </si>
  <si>
    <t>5 : 306 : 271 : 19,792</t>
  </si>
  <si>
    <t>0.49_2.91</t>
  </si>
  <si>
    <t>7 : 278 : 357 : 14,950</t>
  </si>
  <si>
    <t>0.49_2.25</t>
  </si>
  <si>
    <t>4 : 281 : 235 : 15,072</t>
  </si>
  <si>
    <t>0.34_2.47</t>
  </si>
  <si>
    <t>1 : 308 : 124 : 19,287</t>
  </si>
  <si>
    <t>0.07_3.63</t>
  </si>
  <si>
    <t>4 : 305 : 259 : 19,152</t>
  </si>
  <si>
    <t>0.36_2.62</t>
  </si>
  <si>
    <t>9 : 231 : 439 : 15,004</t>
  </si>
  <si>
    <t>0.68_2.61</t>
  </si>
  <si>
    <t>6 : 234 : 463 : 14,980</t>
  </si>
  <si>
    <t>0.37_1.88</t>
  </si>
  <si>
    <t>8 : 240 : 313 : 15,416</t>
  </si>
  <si>
    <t>0.80_3.35</t>
  </si>
  <si>
    <t>3 : 245 : 346 : 15,383</t>
  </si>
  <si>
    <t>0.17_1.71</t>
  </si>
  <si>
    <t>10 : 233 : 465 : 15,395</t>
  </si>
  <si>
    <t>0.75_2.69</t>
  </si>
  <si>
    <t>5 : 238 : 493 : 15,367</t>
  </si>
  <si>
    <t>0.27_1.59</t>
  </si>
  <si>
    <t>5 : 214 : 219 : 14,188</t>
  </si>
  <si>
    <t>0.62_3.71</t>
  </si>
  <si>
    <t>4 : 215 : 269 : 14,138</t>
  </si>
  <si>
    <t>0.36_2.65</t>
  </si>
  <si>
    <t>12 : 292 : 861 : 19,291</t>
  </si>
  <si>
    <t>0.51_1.65</t>
  </si>
  <si>
    <t>9 : 295 : 766 : 19,386</t>
  </si>
  <si>
    <t>0.40_1.50</t>
  </si>
  <si>
    <t>7 : 143 : 438 : 11,285</t>
  </si>
  <si>
    <t>0.59_2.71</t>
  </si>
  <si>
    <t>5 : 145 : 502 : 11,221</t>
  </si>
  <si>
    <t>0.31_1.89</t>
  </si>
  <si>
    <t>18 : 132 : 1,057 : 10,666</t>
  </si>
  <si>
    <t>0.84_2.26</t>
  </si>
  <si>
    <t>10 : 140 : 956 : 10,767</t>
  </si>
  <si>
    <t>0.42_1.53</t>
  </si>
  <si>
    <t>18 : 293 : 997 : 19,064</t>
  </si>
  <si>
    <t>0.73_1.90</t>
  </si>
  <si>
    <t>20 : 291 : 920 : 19,141</t>
  </si>
  <si>
    <t>0.90_2.26</t>
  </si>
  <si>
    <t>23 : 288 : 1,107 : 18,954</t>
  </si>
  <si>
    <t>0.89_2.10</t>
  </si>
  <si>
    <t>18 : 293 : 1,146 : 18,915</t>
  </si>
  <si>
    <t>0.63_1.64</t>
  </si>
  <si>
    <t>18 : 293 : 845 : 19,217</t>
  </si>
  <si>
    <t>0.86_2.26</t>
  </si>
  <si>
    <t>16 : 295 : 971 : 19,091</t>
  </si>
  <si>
    <t>18 : 293 : 763 : 19,298</t>
  </si>
  <si>
    <t>0.96_2.51</t>
  </si>
  <si>
    <t>19 : 292 : 916 : 19,145</t>
  </si>
  <si>
    <t>0.85_2.17</t>
  </si>
  <si>
    <t>15 : 296 : 756 : 19,307</t>
  </si>
  <si>
    <t>0.77_2.19</t>
  </si>
  <si>
    <t>11 : 300 : 832 : 19,231</t>
  </si>
  <si>
    <t>0.46_1.55</t>
  </si>
  <si>
    <t>17 : 294 : 780 : 19,282</t>
  </si>
  <si>
    <t>0.87_2.34</t>
  </si>
  <si>
    <t>14 : 297 : 825 : 19,237</t>
  </si>
  <si>
    <t>0.64_1.89</t>
  </si>
  <si>
    <t>26 : 285 : 913 : 19,150</t>
  </si>
  <si>
    <t>1.27_2.87</t>
  </si>
  <si>
    <t>14 : 297 : 1,009 : 19,054</t>
  </si>
  <si>
    <t>0.52_1.53</t>
  </si>
  <si>
    <t>2 : 286 : 371 : 17,972</t>
  </si>
  <si>
    <t>0.08_1.37</t>
  </si>
  <si>
    <t>4 : 284 : 218 : 18,125</t>
  </si>
  <si>
    <t>0.43_3.17</t>
  </si>
  <si>
    <t>8 : 280 : 790 : 17,553</t>
  </si>
  <si>
    <t>0.31_1.29</t>
  </si>
  <si>
    <t>11 : 277 : 804 : 17,539</t>
  </si>
  <si>
    <t>0.47_1.59</t>
  </si>
  <si>
    <t>13 : 275 : 824 : 17,519</t>
  </si>
  <si>
    <t>0.57_1.76</t>
  </si>
  <si>
    <t>6 : 282 : 734 : 17,609</t>
  </si>
  <si>
    <t>0.23_1.15</t>
  </si>
  <si>
    <t>3 : 308 : 205 : 19,858</t>
  </si>
  <si>
    <t>0.30_2.97</t>
  </si>
  <si>
    <t>2 : 309 : 232 : 19,831</t>
  </si>
  <si>
    <t>0.14_2.24</t>
  </si>
  <si>
    <t>6 : 299 : 193 : 18,885</t>
  </si>
  <si>
    <t>0.86_4.46</t>
  </si>
  <si>
    <t>4 : 301 : 159 : 18,919</t>
  </si>
  <si>
    <t>0.58_4.29</t>
  </si>
  <si>
    <t>41 : 270 : 3,557 : 16,506</t>
  </si>
  <si>
    <t>0.51_0.98</t>
  </si>
  <si>
    <t>72 : 239 : 3,236 : 16,827</t>
  </si>
  <si>
    <t>1.20_2.04</t>
  </si>
  <si>
    <t>4 : 312 : 454 : 24,389</t>
  </si>
  <si>
    <t>0.26_1.85</t>
  </si>
  <si>
    <t>12 : 304 : 406 : 24,437</t>
  </si>
  <si>
    <t>1.32_4.27</t>
  </si>
  <si>
    <t>7 : 309 : 439 : 24,404</t>
  </si>
  <si>
    <t>0.59_2.68</t>
  </si>
  <si>
    <t>10 : 306 : 398 : 24,445</t>
  </si>
  <si>
    <t>1.06_3.80</t>
  </si>
  <si>
    <t>1 : 205 : 88 : 11,677</t>
  </si>
  <si>
    <t>0.09_4.67</t>
  </si>
  <si>
    <t>3 : 203 : 78 : 11,687</t>
  </si>
  <si>
    <t>0.69_7.07</t>
  </si>
  <si>
    <t>1 : 203 : 45 : 11,690</t>
  </si>
  <si>
    <t>0.18_9.33</t>
  </si>
  <si>
    <t>2 : 202 : 42 : 11,693</t>
  </si>
  <si>
    <t>0.66_11.47</t>
  </si>
  <si>
    <t>3 : 201 : 102 : 11,592</t>
  </si>
  <si>
    <t>0.53_5.39</t>
  </si>
  <si>
    <t>1 : 203 : 110 : 11,584</t>
  </si>
  <si>
    <t>0.07_3.73</t>
  </si>
  <si>
    <t>1 : 310 : 313 : 19,750</t>
  </si>
  <si>
    <t>0.03_1.45</t>
  </si>
  <si>
    <t>7 : 304 : 316 : 19,747</t>
  </si>
  <si>
    <t>0.67_3.07</t>
  </si>
  <si>
    <t>5 : 306 : 406 : 19,657</t>
  </si>
  <si>
    <t>0.33_1.92</t>
  </si>
  <si>
    <t>21 : 283 : 1,546 : 18,606</t>
  </si>
  <si>
    <t>0.57_1.40</t>
  </si>
  <si>
    <t>28 : 276 : 1,552 : 18,600</t>
  </si>
  <si>
    <t>0.82_1.80</t>
  </si>
  <si>
    <t>18 : 286 : 1,164 : 18,988</t>
  </si>
  <si>
    <t>0.64_1.66</t>
  </si>
  <si>
    <t>16 : 288 : 831 : 19,321</t>
  </si>
  <si>
    <t>0.78_2.15</t>
  </si>
  <si>
    <t>6 : 224 : 566 : 12,297</t>
  </si>
  <si>
    <t>0.26_1.31</t>
  </si>
  <si>
    <t>9 : 221 : 481 : 12,382</t>
  </si>
  <si>
    <t>0.53_2.05</t>
  </si>
  <si>
    <t>5 : 225 : 311 : 12,552</t>
  </si>
  <si>
    <t>0.37_2.19</t>
  </si>
  <si>
    <t>8 : 222 : 344 : 12,519</t>
  </si>
  <si>
    <t>0.64_2.68</t>
  </si>
  <si>
    <t>5 : 225 : 351 : 12,512</t>
  </si>
  <si>
    <t>0.32_1.93</t>
  </si>
  <si>
    <t>3 : 227 : 384 : 12,479</t>
  </si>
  <si>
    <t>0.14_1.35</t>
  </si>
  <si>
    <t>7 : 223 : 316 : 12,547</t>
  </si>
  <si>
    <t>0.58_2.67</t>
  </si>
  <si>
    <t>10 : 220 : 320 : 12,543</t>
  </si>
  <si>
    <t>0.94_3.39</t>
  </si>
  <si>
    <t>7 : 298 : 396 : 23,826</t>
  </si>
  <si>
    <t>0.66_3.01</t>
  </si>
  <si>
    <t>9 : 296 : 319 : 23,903</t>
  </si>
  <si>
    <t>1.16_4.46</t>
  </si>
  <si>
    <t>3 : 301 : 153 : 19,998</t>
  </si>
  <si>
    <t>0.41_4.11</t>
  </si>
  <si>
    <t>2 : 302 : 119 : 20,032</t>
  </si>
  <si>
    <t>0.27_4.53</t>
  </si>
  <si>
    <t>2 : 302 : 300 : 19,852</t>
  </si>
  <si>
    <t>0.11_1.77</t>
  </si>
  <si>
    <t>5 : 299 : 266 : 19,886</t>
  </si>
  <si>
    <t>0.51_3.05</t>
  </si>
  <si>
    <t>0 : 303 : 96 : 19,764</t>
  </si>
  <si>
    <t>1 : 302 : 77 : 19,783</t>
  </si>
  <si>
    <t>0.12_6.14</t>
  </si>
  <si>
    <t>0 : 303 : 50 : 19,810</t>
  </si>
  <si>
    <t>0 : 303 : 33 : 19,827</t>
  </si>
  <si>
    <t>5 : 306 : 218 : 19,818</t>
  </si>
  <si>
    <t>0.61_3.63</t>
  </si>
  <si>
    <t>1 : 310 : 156 : 19,880</t>
  </si>
  <si>
    <t>0.06_2.95</t>
  </si>
  <si>
    <t>6 : 220 : 240 : 12,592</t>
  </si>
  <si>
    <t>0.63_3.25</t>
  </si>
  <si>
    <t>3 : 223 : 174 : 12,658</t>
  </si>
  <si>
    <t>0.31_3.09</t>
  </si>
  <si>
    <t>21 : 290 : 1,025 : 19,038</t>
  </si>
  <si>
    <t>0.86_2.10</t>
  </si>
  <si>
    <t>19 : 292 : 1,181 : 18,882</t>
  </si>
  <si>
    <t>0.65_1.66</t>
  </si>
  <si>
    <t>28 : 283 : 1,389 : 18,674</t>
  </si>
  <si>
    <t>0.90_1.97</t>
  </si>
  <si>
    <t>26 : 285 : 1,677 : 18,386</t>
  </si>
  <si>
    <t>0.67_1.50</t>
  </si>
  <si>
    <t>6 : 310 : 257 : 24,539</t>
  </si>
  <si>
    <t>0.82_4.18</t>
  </si>
  <si>
    <t>1 : 315 : 229 : 24,567</t>
  </si>
  <si>
    <t>6 : 310 : 230 : 24,561</t>
  </si>
  <si>
    <t>0.91_4.68</t>
  </si>
  <si>
    <t>4 : 312 : 214 : 24,577</t>
  </si>
  <si>
    <t>0.54_3.98</t>
  </si>
  <si>
    <t>6 : 310 : 327 : 24,514</t>
  </si>
  <si>
    <t>7 : 309 : 324 : 24,517</t>
  </si>
  <si>
    <t>0.80_3.65</t>
  </si>
  <si>
    <t>11 : 305 : 1,082 : 23,761</t>
  </si>
  <si>
    <t>0.43_1.45</t>
  </si>
  <si>
    <t>24 : 292 : 1,356 : 23,487</t>
  </si>
  <si>
    <t>0.94_2.17</t>
  </si>
  <si>
    <t>5 : 311 : 311 : 24,532</t>
  </si>
  <si>
    <t>0.52_3.09</t>
  </si>
  <si>
    <t>4 : 312 : 298 : 24,545</t>
  </si>
  <si>
    <t>0.39_2.85</t>
  </si>
  <si>
    <t>8 : 303 : 268 : 19,768</t>
  </si>
  <si>
    <t>0.96_3.97</t>
  </si>
  <si>
    <t>4 : 307 : 193 : 19,843</t>
  </si>
  <si>
    <t>0.49_3.63</t>
  </si>
  <si>
    <t>20 : 114 : 2,306 : 14,943</t>
  </si>
  <si>
    <t>0.71_1.83</t>
  </si>
  <si>
    <t>29 : 105 : 2,019 : 15,230</t>
  </si>
  <si>
    <t>9 : 279 : 409 : 17,934</t>
  </si>
  <si>
    <t>0.72_2.77</t>
  </si>
  <si>
    <t>0 : 288 : 366 : 17,977</t>
  </si>
  <si>
    <t>7 : 309 : 892 : 23,951</t>
  </si>
  <si>
    <t>0.29_1.29</t>
  </si>
  <si>
    <t>17 : 299 : 946 : 23,897</t>
  </si>
  <si>
    <t>0.88_2.35</t>
  </si>
  <si>
    <t>4 : 289 : 259 : 24,888</t>
  </si>
  <si>
    <t>0.49_3.59</t>
  </si>
  <si>
    <t>0 : 293 : 224 : 24,923</t>
  </si>
  <si>
    <t>7 : 286 : 170 : 24,977</t>
  </si>
  <si>
    <t>1.67_7.73</t>
  </si>
  <si>
    <t>0 : 293 : 132 : 25,015</t>
  </si>
  <si>
    <t>7 : 286 : 295 : 24,852</t>
  </si>
  <si>
    <t>0.97_4.40</t>
  </si>
  <si>
    <t>1 : 292 : 263 : 24,884</t>
  </si>
  <si>
    <t>0.05_2.32</t>
  </si>
  <si>
    <t>6 : 287 : 285 : 24,862</t>
  </si>
  <si>
    <t>0.81_4.13</t>
  </si>
  <si>
    <t>0 : 293 : 204 : 24,943</t>
  </si>
  <si>
    <t>4 : 289 : 227 : 24,920</t>
  </si>
  <si>
    <t>0.56_4.11</t>
  </si>
  <si>
    <t>2 : 291 : 249 : 24,898</t>
  </si>
  <si>
    <t>0.17_2.78</t>
  </si>
  <si>
    <t>4 : 289 : 264 : 24,883</t>
  </si>
  <si>
    <t>0.48_3.53</t>
  </si>
  <si>
    <t>3 : 290 : 208 : 24,939</t>
  </si>
  <si>
    <t>0.39_3.90</t>
  </si>
  <si>
    <t>11 : 282 : 631 : 24,516</t>
  </si>
  <si>
    <t>0.83_2.78</t>
  </si>
  <si>
    <t>13 : 280 : 622 : 24,525</t>
  </si>
  <si>
    <t>1.04_3.21</t>
  </si>
  <si>
    <t>26 : 285 : 1,432 : 18,631</t>
  </si>
  <si>
    <t>0.79_1.78</t>
  </si>
  <si>
    <t>26 : 285 : 1,422 : 18,641</t>
  </si>
  <si>
    <t>0.80_1.79</t>
  </si>
  <si>
    <t>23 : 288 : 969 : 19,094</t>
  </si>
  <si>
    <t>1.02_2.42</t>
  </si>
  <si>
    <t>24 : 287 : 1,430 : 18,633</t>
  </si>
  <si>
    <t>0.72_1.66</t>
  </si>
  <si>
    <t>24 : 280 : 885 : 19,267</t>
  </si>
  <si>
    <t>1.22_2.85</t>
  </si>
  <si>
    <t>16 : 288 : 687 : 19,465</t>
  </si>
  <si>
    <t>0.95_2.62</t>
  </si>
  <si>
    <t>15 : 289 : 976 : 19,176</t>
  </si>
  <si>
    <t>0.60_1.72</t>
  </si>
  <si>
    <t>20 : 284 : 794 : 19,358</t>
  </si>
  <si>
    <t>1.08_2.72</t>
  </si>
  <si>
    <t>66 : 223 : 5,047 : 36,832</t>
  </si>
  <si>
    <t>1.64_2.85</t>
  </si>
  <si>
    <t>54 : 235 : 6,382 : 35,497</t>
  </si>
  <si>
    <t>0.95_1.72</t>
  </si>
  <si>
    <t>60 : 260 : 2,980 : 23,176</t>
  </si>
  <si>
    <t>1.35_2.38</t>
  </si>
  <si>
    <t>42 : 278 : 3,169 : 22,987</t>
  </si>
  <si>
    <t>0.79_1.52</t>
  </si>
  <si>
    <t>2 : 313 : 156 : 24,654</t>
  </si>
  <si>
    <t>0.25_4.09</t>
  </si>
  <si>
    <t>2 : 313 : 164 : 24,646</t>
  </si>
  <si>
    <t>4 : 311 : 220 : 24,590</t>
  </si>
  <si>
    <t>0.53_3.89</t>
  </si>
  <si>
    <t>7 : 308 : 291 : 24,519</t>
  </si>
  <si>
    <t>0.90_4.09</t>
  </si>
  <si>
    <t>2 : 314 : 122 : 24,721</t>
  </si>
  <si>
    <t>0.32_5.24</t>
  </si>
  <si>
    <t>0 : 316 : 111 : 24,732</t>
  </si>
  <si>
    <t>3 : 313 : 178 : 24,665</t>
  </si>
  <si>
    <t>0.42_4.18</t>
  </si>
  <si>
    <t>2 : 314 : 201 : 24,642</t>
  </si>
  <si>
    <t>0.19_3.16</t>
  </si>
  <si>
    <t>1 : 166 : 83 : 14,724</t>
  </si>
  <si>
    <t>0.15_7.72</t>
  </si>
  <si>
    <t>0 : 167 : 39 : 14,768</t>
  </si>
  <si>
    <t>6 : 305 : 234 : 19,802</t>
  </si>
  <si>
    <t>0.73_3.77</t>
  </si>
  <si>
    <t>7 : 304 : 348 : 19,688</t>
  </si>
  <si>
    <t>0.61_2.78</t>
  </si>
  <si>
    <t>5 : 306 : 195 : 19,848</t>
  </si>
  <si>
    <t>0.68_4.07</t>
  </si>
  <si>
    <t>6 : 305 : 241 : 19,802</t>
  </si>
  <si>
    <t>0.71_3.66</t>
  </si>
  <si>
    <t>7 : 302 : 414 : 19,026</t>
  </si>
  <si>
    <t>0.50_2.27</t>
  </si>
  <si>
    <t>2 : 307 : 484 : 18,956</t>
  </si>
  <si>
    <t>0.06_1.03</t>
  </si>
  <si>
    <t>7 : 302 : 552 : 18,888</t>
  </si>
  <si>
    <t>0.37_1.69</t>
  </si>
  <si>
    <t>7 : 302 : 464 : 18,976</t>
  </si>
  <si>
    <t>0.45_2.02</t>
  </si>
  <si>
    <t>9 : 300 : 551 : 18,889</t>
  </si>
  <si>
    <t>0.53_2.01</t>
  </si>
  <si>
    <t>6 : 303 : 494 : 18,946</t>
  </si>
  <si>
    <t>0.34_1.71</t>
  </si>
  <si>
    <t>12 : 297 : 1,403 : 18,037</t>
  </si>
  <si>
    <t>0.29_0.93</t>
  </si>
  <si>
    <t>19 : 290 : 1,304 : 18,136</t>
  </si>
  <si>
    <t>0.57_1.45</t>
  </si>
  <si>
    <t>26 : 267 : 1,091 : 24,056</t>
  </si>
  <si>
    <t>1.43_3.23</t>
  </si>
  <si>
    <t>18 : 275 : 1,240 : 23,907</t>
  </si>
  <si>
    <t>0.78_2.04</t>
  </si>
  <si>
    <t>15 : 296 : 927 : 19,136</t>
  </si>
  <si>
    <t>0.62_1.76</t>
  </si>
  <si>
    <t>5 : 306 : 615 : 19,448</t>
  </si>
  <si>
    <t>0.21_1.25</t>
  </si>
  <si>
    <t>9 : 302 : 814 : 19,249</t>
  </si>
  <si>
    <t>0.36_1.37</t>
  </si>
  <si>
    <t>3 : 308 : 247 : 19,816</t>
  </si>
  <si>
    <t>0.25_2.45</t>
  </si>
  <si>
    <t>8 : 159 : 325 : 9,627</t>
  </si>
  <si>
    <t>0.73_3.06</t>
  </si>
  <si>
    <t>6 : 161 : 255 : 9,697</t>
  </si>
  <si>
    <t>0.62_3.23</t>
  </si>
  <si>
    <t>1 : 177 : 53 : 10,566</t>
  </si>
  <si>
    <t>0.15_8.19</t>
  </si>
  <si>
    <t>1 : 177 : 50 : 10,569</t>
  </si>
  <si>
    <t>0.16_8.69</t>
  </si>
  <si>
    <t>2 : 171 : 53 : 9,918</t>
  </si>
  <si>
    <t>0.53_9.05</t>
  </si>
  <si>
    <t>0 : 173 : 67 : 9,904</t>
  </si>
  <si>
    <t>6 : 154 : 284 : 9,517</t>
  </si>
  <si>
    <t>0.57_2.98</t>
  </si>
  <si>
    <t>2 : 158 : 322 : 9,479</t>
  </si>
  <si>
    <t>0.09_1.51</t>
  </si>
  <si>
    <t>12 : 149 : 457 : 9,451</t>
  </si>
  <si>
    <t>0.92_3.02</t>
  </si>
  <si>
    <t>9 : 152 : 440 : 9,468</t>
  </si>
  <si>
    <t>0.65_2.51</t>
  </si>
  <si>
    <t>0 : 173 : 82 : 9,893</t>
  </si>
  <si>
    <t>2 : 171 : 81 : 9,894</t>
  </si>
  <si>
    <t>0.35_5.86</t>
  </si>
  <si>
    <t>2 : 182 : 82 : 10,775</t>
  </si>
  <si>
    <t>0.35_5.92</t>
  </si>
  <si>
    <t>1 : 183 : 81 : 10,776</t>
  </si>
  <si>
    <t>0.10_5.25</t>
  </si>
  <si>
    <t>12 : 141 : 348 : 9,438</t>
  </si>
  <si>
    <t>1.27_4.20</t>
  </si>
  <si>
    <t>6 : 147 : 323 : 9,463</t>
  </si>
  <si>
    <t>0.52_2.73</t>
  </si>
  <si>
    <t>10 : 283 : 752 : 24,393</t>
  </si>
  <si>
    <t>0.61_2.16</t>
  </si>
  <si>
    <t>6 : 287 : 573 : 24,572</t>
  </si>
  <si>
    <t>0.40_2.02</t>
  </si>
  <si>
    <t>13 : 280 : 1,011 : 24,134</t>
  </si>
  <si>
    <t>12 : 281 : 1,045 : 24,100</t>
  </si>
  <si>
    <t>4 : 309 : 384 : 30,632</t>
  </si>
  <si>
    <t>0.38_2.78</t>
  </si>
  <si>
    <t>3 : 310 : 342 : 30,674</t>
  </si>
  <si>
    <t>0.28_2.72</t>
  </si>
  <si>
    <t>6 : 298 : 257 : 19,895</t>
  </si>
  <si>
    <t>0.69_3.53</t>
  </si>
  <si>
    <t>4 : 300 : 272 : 19,880</t>
  </si>
  <si>
    <t>0.36_2.63</t>
  </si>
  <si>
    <t>8 : 305 : 836 : 30,185</t>
  </si>
  <si>
    <t>13 : 300 : 826 : 30,195</t>
  </si>
  <si>
    <t>0.91_2.77</t>
  </si>
  <si>
    <t>13 : 300 : 808 : 30,213</t>
  </si>
  <si>
    <t>0.93_2.84</t>
  </si>
  <si>
    <t>19 : 294 : 846 : 30,175</t>
  </si>
  <si>
    <t>1.44_3.68</t>
  </si>
  <si>
    <t>6 : 305 : 192 : 19,871</t>
  </si>
  <si>
    <t>0.90_4.62</t>
  </si>
  <si>
    <t>5 : 306 : 212 : 19,851</t>
  </si>
  <si>
    <t>0.63_3.74</t>
  </si>
  <si>
    <t>10 : 301 : 458 : 19,605</t>
  </si>
  <si>
    <t>2 : 302 : 104 : 20,048</t>
  </si>
  <si>
    <t>0.31_5.20</t>
  </si>
  <si>
    <t>0 : 304 : 31 : 20,121</t>
  </si>
  <si>
    <t>3 : 308 : 193 : 19,870</t>
  </si>
  <si>
    <t>0.32_3.15</t>
  </si>
  <si>
    <t>2 : 309 : 225 : 19,838</t>
  </si>
  <si>
    <t>0.14_2.31</t>
  </si>
  <si>
    <t>2 : 172 : 107 : 10,407</t>
  </si>
  <si>
    <t>0.28_4.62</t>
  </si>
  <si>
    <t>2 : 172 : 106 : 10,408</t>
  </si>
  <si>
    <t>0.28_4.66</t>
  </si>
  <si>
    <t>1 : 310 : 200 : 19,841</t>
  </si>
  <si>
    <t>0.04_2.29</t>
  </si>
  <si>
    <t>3 : 308 : 236 : 19,805</t>
  </si>
  <si>
    <t>18 : 298 : 583 : 24,260</t>
  </si>
  <si>
    <t>1.55_4.07</t>
  </si>
  <si>
    <t>7 : 309 : 604 : 24,239</t>
  </si>
  <si>
    <t>0.43_1.93</t>
  </si>
  <si>
    <t>13 : 303 : 704 : 24,139</t>
  </si>
  <si>
    <t>0.84_2.58</t>
  </si>
  <si>
    <t>7 : 309 : 657 : 24,186</t>
  </si>
  <si>
    <t>8 : 296 : 272 : 19,880</t>
  </si>
  <si>
    <t>0.97_4.03</t>
  </si>
  <si>
    <t>1 : 303 : 185 : 19,967</t>
  </si>
  <si>
    <t>0.05_2.55</t>
  </si>
  <si>
    <t>1 : 303 : 173 : 19,979</t>
  </si>
  <si>
    <t>0.05_2.73</t>
  </si>
  <si>
    <t>1 : 303 : 181 : 19,971</t>
  </si>
  <si>
    <t>0.05_2.61</t>
  </si>
  <si>
    <t>3 : 301 : 230 : 19,922</t>
  </si>
  <si>
    <t>0.27_2.71</t>
  </si>
  <si>
    <t>1 : 303 : 252 : 19,900</t>
  </si>
  <si>
    <t>0.04_1.86</t>
  </si>
  <si>
    <t>1 : 303 : 218 : 19,934</t>
  </si>
  <si>
    <t>0.04_2.16</t>
  </si>
  <si>
    <t>7 : 297 : 359 : 19,793</t>
  </si>
  <si>
    <t>0.61_2.77</t>
  </si>
  <si>
    <t>11 : 300 : 482 : 19,581</t>
  </si>
  <si>
    <t>0.81_2.74</t>
  </si>
  <si>
    <t>9 : 302 : 491 : 19,572</t>
  </si>
  <si>
    <t>0.61_2.32</t>
  </si>
  <si>
    <t>5 : 306 : 340 : 19,723</t>
  </si>
  <si>
    <t>0.39_2.31</t>
  </si>
  <si>
    <t>7 : 304 : 424 : 19,639</t>
  </si>
  <si>
    <t>2 : 224 : 143 : 12,689</t>
  </si>
  <si>
    <t>4 : 222 : 150 : 12,682</t>
  </si>
  <si>
    <t>0.56_4.15</t>
  </si>
  <si>
    <t>6 : 220 : 162 : 12,670</t>
  </si>
  <si>
    <t>0.93_4.87</t>
  </si>
  <si>
    <t>2 : 224 : 179 : 12,653</t>
  </si>
  <si>
    <t>0.16_2.56</t>
  </si>
  <si>
    <t>6 : 220 : 147 : 12,685</t>
  </si>
  <si>
    <t>1.03_5.38</t>
  </si>
  <si>
    <t>2 : 224 : 113 : 12,719</t>
  </si>
  <si>
    <t>3 : 223 : 118 : 12,714</t>
  </si>
  <si>
    <t>0.46_4.59</t>
  </si>
  <si>
    <t>2 : 224 : 129 : 12,703</t>
  </si>
  <si>
    <t>0.22_3.58</t>
  </si>
  <si>
    <t>3 : 301 : 159 : 19,993</t>
  </si>
  <si>
    <t>0.40_3.95</t>
  </si>
  <si>
    <t>4 : 300 : 199 : 19,953</t>
  </si>
  <si>
    <t>0.49_3.62</t>
  </si>
  <si>
    <t>2 : 302 : 146 : 20,006</t>
  </si>
  <si>
    <t>0.22_3.68</t>
  </si>
  <si>
    <t>6 : 298 : 159 : 19,993</t>
  </si>
  <si>
    <t>1.11_5.77</t>
  </si>
  <si>
    <t>7 : 304 : 362 : 19,701</t>
  </si>
  <si>
    <t>0.59_2.67</t>
  </si>
  <si>
    <t>8 : 303 : 344 : 19,719</t>
  </si>
  <si>
    <t>0.74_3.08</t>
  </si>
  <si>
    <t>3 : 301 : 200 : 19,952</t>
  </si>
  <si>
    <t>0.32_3.13</t>
  </si>
  <si>
    <t>9 : 295 : 207 : 19,945</t>
  </si>
  <si>
    <t>1.49_5.79</t>
  </si>
  <si>
    <t>1 : 225 : 295 : 12,537</t>
  </si>
  <si>
    <t>0.03_1.35</t>
  </si>
  <si>
    <t>4 : 222 : 158 : 12,674</t>
  </si>
  <si>
    <t>0.53_3.93</t>
  </si>
  <si>
    <t>6 : 264 : 157 : 16,885</t>
  </si>
  <si>
    <t>1.07_5.57</t>
  </si>
  <si>
    <t>4 : 266 : 189 : 16,853</t>
  </si>
  <si>
    <t>0.49_3.64</t>
  </si>
  <si>
    <t>80 : 231 : 4,169 : 15,894</t>
  </si>
  <si>
    <t>1.02_1.71</t>
  </si>
  <si>
    <t>68 : 243 : 3,601 : 16,462</t>
  </si>
  <si>
    <t>0.98_1.68</t>
  </si>
  <si>
    <t>15 : 291 : 924 : 23,318</t>
  </si>
  <si>
    <t>14 : 292 : 960 : 23,282</t>
  </si>
  <si>
    <t>0.68_2.00</t>
  </si>
  <si>
    <t>10 : 296 : 582 : 23,660</t>
  </si>
  <si>
    <t>6 : 300 : 575 : 23,667</t>
  </si>
  <si>
    <t>0.37_1.85</t>
  </si>
  <si>
    <t>7 : 257 : 195 : 15,728</t>
  </si>
  <si>
    <t>1.02_4.72</t>
  </si>
  <si>
    <t>1 : 303 : 43 : 20,109</t>
  </si>
  <si>
    <t>0.21_11.24</t>
  </si>
  <si>
    <t>0 : 304 : 35 : 20,117</t>
  </si>
  <si>
    <t>0 : 304 : 80 : 20,072</t>
  </si>
  <si>
    <t>1 : 303 : 94 : 20,058</t>
  </si>
  <si>
    <t>0.10_5.07</t>
  </si>
  <si>
    <t>1 : 303 : 44 : 20,108</t>
  </si>
  <si>
    <t>0.21_10.98</t>
  </si>
  <si>
    <t>0 : 304 : 37 : 20,115</t>
  </si>
  <si>
    <t>2 : 302 : 75 : 20,077</t>
  </si>
  <si>
    <t>0.43_7.25</t>
  </si>
  <si>
    <t>0 : 304 : 46 : 20,106</t>
  </si>
  <si>
    <t>17 : 294 : 1,170 : 18,893</t>
  </si>
  <si>
    <t>0.57_1.53</t>
  </si>
  <si>
    <t>36 : 275 : 1,334 : 18,729</t>
  </si>
  <si>
    <t>1.29_2.61</t>
  </si>
  <si>
    <t>17 : 294 : 1,106 : 18,957</t>
  </si>
  <si>
    <t>0.61_1.62</t>
  </si>
  <si>
    <t>29 : 282 : 1,178 : 18,885</t>
  </si>
  <si>
    <t>1.12_2.43</t>
  </si>
  <si>
    <t>31 : 280 : 1,866 : 18,197</t>
  </si>
  <si>
    <t>0.74_1.57</t>
  </si>
  <si>
    <t>23 : 288 : 1,166 : 18,897</t>
  </si>
  <si>
    <t>0.84_1.99</t>
  </si>
  <si>
    <t>10 : 301 : 776 : 19,287</t>
  </si>
  <si>
    <t>0.44_1.56</t>
  </si>
  <si>
    <t>10 : 301 : 643 : 19,420</t>
  </si>
  <si>
    <t>0.53_1.89</t>
  </si>
  <si>
    <t>5 : 308 : 222 : 30,799</t>
  </si>
  <si>
    <t>0.92_5.50</t>
  </si>
  <si>
    <t>4 : 309 : 230 : 30,791</t>
  </si>
  <si>
    <t>0.64_4.69</t>
  </si>
  <si>
    <t>4 : 309 : 210 : 30,811</t>
  </si>
  <si>
    <t>0.70_5.14</t>
  </si>
  <si>
    <t>2 : 311 : 217 : 30,804</t>
  </si>
  <si>
    <t>0.23_3.69</t>
  </si>
  <si>
    <t>47 : 264 : 3,052 : 17,011</t>
  </si>
  <si>
    <t>0.73_1.36</t>
  </si>
  <si>
    <t>34 : 277 : 2,187 : 17,876</t>
  </si>
  <si>
    <t>0.70_1.44</t>
  </si>
  <si>
    <t>60 : 251 : 4,719 : 15,344</t>
  </si>
  <si>
    <t>0.59_1.03</t>
  </si>
  <si>
    <t>69 : 242 : 3,545 : 16,518</t>
  </si>
  <si>
    <t>1.01_1.74</t>
  </si>
  <si>
    <t>9 : 302 : 668 : 19,395</t>
  </si>
  <si>
    <t>0.44_1.69</t>
  </si>
  <si>
    <t>20 : 291 : 1,146 : 18,917</t>
  </si>
  <si>
    <t>0.72_1.79</t>
  </si>
  <si>
    <t>27 : 284 : 1,374 : 18,689</t>
  </si>
  <si>
    <t>0.87_1.93</t>
  </si>
  <si>
    <t>21 : 290 : 1,558 : 18,505</t>
  </si>
  <si>
    <t>0.55_1.34</t>
  </si>
  <si>
    <t>37 : 274 : 2,289 : 17,774</t>
  </si>
  <si>
    <t>0.74_1.48</t>
  </si>
  <si>
    <t>59 : 252 : 3,449 : 16,614</t>
  </si>
  <si>
    <t>0.85_1.50</t>
  </si>
  <si>
    <t>9 : 302 : 558 : 19,505</t>
  </si>
  <si>
    <t>0.53_2.03</t>
  </si>
  <si>
    <t>13 : 298 : 566 : 19,497</t>
  </si>
  <si>
    <t>0.86_2.63</t>
  </si>
  <si>
    <t>7 : 304 : 415 : 19,648</t>
  </si>
  <si>
    <t>0.51_2.32</t>
  </si>
  <si>
    <t>7 : 304 : 411 : 19,652</t>
  </si>
  <si>
    <t>0.52_2.34</t>
  </si>
  <si>
    <t>14 : 297 : 523 : 19,540</t>
  </si>
  <si>
    <t>1.02_3.03</t>
  </si>
  <si>
    <t>9 : 302 : 639 : 19,424</t>
  </si>
  <si>
    <t>0.46_1.77</t>
  </si>
  <si>
    <t>3 : 310 : 227 : 30,793</t>
  </si>
  <si>
    <t>0.42_4.12</t>
  </si>
  <si>
    <t>3 : 310 : 296 : 30,724</t>
  </si>
  <si>
    <t>13 : 300 : 1,013 : 30,008</t>
  </si>
  <si>
    <t>6 : 307 : 736 : 30,285</t>
  </si>
  <si>
    <t>0.36_1.81</t>
  </si>
  <si>
    <t>3 : 308 : 198 : 19,863</t>
  </si>
  <si>
    <t>0.31_3.07</t>
  </si>
  <si>
    <t>4 : 307 : 242 : 19,819</t>
  </si>
  <si>
    <t>0.39_2.88</t>
  </si>
  <si>
    <t>3 : 308 : 183 : 19,876</t>
  </si>
  <si>
    <t>0.34_3.33</t>
  </si>
  <si>
    <t>5 : 306 : 195 : 19,864</t>
  </si>
  <si>
    <t>2 : 309 : 228 : 19,835</t>
  </si>
  <si>
    <t>0.14_2.28</t>
  </si>
  <si>
    <t>6 : 305 : 138 : 19,925</t>
  </si>
  <si>
    <t>1.24_6.48</t>
  </si>
  <si>
    <t>1 : 310 : 115 : 19,948</t>
  </si>
  <si>
    <t>0.08_4.02</t>
  </si>
  <si>
    <t>2 : 309 : 174 : 19,889</t>
  </si>
  <si>
    <t>7 : 306 : 388 : 30,633</t>
  </si>
  <si>
    <t>0.85_3.85</t>
  </si>
  <si>
    <t>2 : 311 : 422 : 30,599</t>
  </si>
  <si>
    <t>0.12_1.88</t>
  </si>
  <si>
    <t>4 : 309 : 283 : 30,738</t>
  </si>
  <si>
    <t>0.52_3.80</t>
  </si>
  <si>
    <t>2 : 311 : 298 : 30,723</t>
  </si>
  <si>
    <t>0.16_2.68</t>
  </si>
  <si>
    <t>15 : 296 : 836 : 19,227</t>
  </si>
  <si>
    <t>0.69_1.97</t>
  </si>
  <si>
    <t>16 : 295 : 856 : 19,207</t>
  </si>
  <si>
    <t>0.73_2.02</t>
  </si>
  <si>
    <t>14 : 297 : 960 : 19,103</t>
  </si>
  <si>
    <t>0.55_1.61</t>
  </si>
  <si>
    <t>30 : 281 : 1,034 : 19,029</t>
  </si>
  <si>
    <t>1.34_2.88</t>
  </si>
  <si>
    <t>12 : 299 : 752 : 19,311</t>
  </si>
  <si>
    <t>26 : 285 : 1,070 : 18,993</t>
  </si>
  <si>
    <t>1.08_2.43</t>
  </si>
  <si>
    <t>0 : 305 : 76 : 17,344</t>
  </si>
  <si>
    <t>4 : 301 : 101 : 17,319</t>
  </si>
  <si>
    <t>0.83_6.23</t>
  </si>
  <si>
    <t>3 : 302 : 198 : 17,222</t>
  </si>
  <si>
    <t>0.27_2.72</t>
  </si>
  <si>
    <t>2 : 303 : 116 : 17,304</t>
  </si>
  <si>
    <t>0.24_4.00</t>
  </si>
  <si>
    <t>3 : 302 : 165 : 17,255</t>
  </si>
  <si>
    <t>0.33_3.27</t>
  </si>
  <si>
    <t>9 : 296 : 182 : 17,238</t>
  </si>
  <si>
    <t>1.46_5.68</t>
  </si>
  <si>
    <t>20 : 285 : 682 : 16,738</t>
  </si>
  <si>
    <t>1.09_2.73</t>
  </si>
  <si>
    <t>9 : 296 : 816 : 16,604</t>
  </si>
  <si>
    <t>2 : 303 : 98 : 17,322</t>
  </si>
  <si>
    <t>0.29_4.75</t>
  </si>
  <si>
    <t>3 : 302 : 62 : 17,358</t>
  </si>
  <si>
    <t>0.87_8.91</t>
  </si>
  <si>
    <t>5 : 300 : 152 : 17,268</t>
  </si>
  <si>
    <t>0.77_4.65</t>
  </si>
  <si>
    <t>3 : 302 : 137 : 17,283</t>
  </si>
  <si>
    <t>0.40_3.96</t>
  </si>
  <si>
    <t>3 : 302 : 221 : 17,199</t>
  </si>
  <si>
    <t>3 : 302 : 299 : 17,121</t>
  </si>
  <si>
    <t>0.18_1.78</t>
  </si>
  <si>
    <t>2 : 303 : 72 : 17,348</t>
  </si>
  <si>
    <t>0.39_6.51</t>
  </si>
  <si>
    <t>3 : 302 : 213 : 17,207</t>
  </si>
  <si>
    <t>2 : 303 : 40 : 17,380</t>
  </si>
  <si>
    <t>0.69_11.92</t>
  </si>
  <si>
    <t>0 : 305 : 63 : 17,357</t>
  </si>
  <si>
    <t>4 : 301 : 117 : 17,303</t>
  </si>
  <si>
    <t>0.72_5.36</t>
  </si>
  <si>
    <t>2 : 303 : 108 : 17,312</t>
  </si>
  <si>
    <t>0.26_4.30</t>
  </si>
  <si>
    <t>24 : 281 : 756 : 16,664</t>
  </si>
  <si>
    <t>1.23_2.87</t>
  </si>
  <si>
    <t>1 : 304 : 549 : 16,871</t>
  </si>
  <si>
    <t>0.01_0.72</t>
  </si>
  <si>
    <t>4 : 301 : 123 : 17,297</t>
  </si>
  <si>
    <t>0.69_5.09</t>
  </si>
  <si>
    <t>6 : 299 : 114 : 17,306</t>
  </si>
  <si>
    <t>1.33_6.98</t>
  </si>
  <si>
    <t>4 : 301 : 477 : 16,943</t>
  </si>
  <si>
    <t>0.18_1.27</t>
  </si>
  <si>
    <t>18 : 287 : 620 : 16,800</t>
  </si>
  <si>
    <t>13 : 292 : 1,082 : 16,338</t>
  </si>
  <si>
    <t>0.38_1.18</t>
  </si>
  <si>
    <t>21 : 284 : 1,124 : 16,296</t>
  </si>
  <si>
    <t>0.69_1.68</t>
  </si>
  <si>
    <t>6 : 303 : 716 : 18,724</t>
  </si>
  <si>
    <t>0.23_1.17</t>
  </si>
  <si>
    <t>28 : 281 : 1,545 : 17,895</t>
  </si>
  <si>
    <t>0.78_1.71</t>
  </si>
  <si>
    <t>8 : 303 : 320 : 19,731</t>
  </si>
  <si>
    <t>0.80_3.31</t>
  </si>
  <si>
    <t>9 : 302 : 293 : 19,758</t>
  </si>
  <si>
    <t>1.03_3.94</t>
  </si>
  <si>
    <t>5 : 288 : 367 : 24,780</t>
  </si>
  <si>
    <t>6 : 287 : 385 : 24,762</t>
  </si>
  <si>
    <t>3 : 290 : 263 : 24,884</t>
  </si>
  <si>
    <t>7 : 286 : 251 : 24,896</t>
  </si>
  <si>
    <t>1.14_5.19</t>
  </si>
  <si>
    <t>2 : 291 : 243 : 24,904</t>
  </si>
  <si>
    <t>0.17_2.85</t>
  </si>
  <si>
    <t>6 : 287 : 207 : 24,940</t>
  </si>
  <si>
    <t>1.11_5.72</t>
  </si>
  <si>
    <t>3 : 290 : 196 : 24,950</t>
  </si>
  <si>
    <t>0.42_4.14</t>
  </si>
  <si>
    <t>3 : 290 : 195 : 24,951</t>
  </si>
  <si>
    <t>0.42_4.16</t>
  </si>
  <si>
    <t>40 : 267 : 2,039 : 19,755</t>
  </si>
  <si>
    <t>1.04_2.03</t>
  </si>
  <si>
    <t>17 : 290 : 1,735 : 20,059</t>
  </si>
  <si>
    <t>0.41_1.11</t>
  </si>
  <si>
    <t>2 : 291 : 169 : 24,977</t>
  </si>
  <si>
    <t>0 : 293 : 207 : 24,939</t>
  </si>
  <si>
    <t>13 : 298 : 353 : 19,694</t>
  </si>
  <si>
    <t>1.38_4.28</t>
  </si>
  <si>
    <t>4 : 307 : 312 : 19,735</t>
  </si>
  <si>
    <t>0.31_2.22</t>
  </si>
  <si>
    <t>7 : 304 : 226 : 19,825</t>
  </si>
  <si>
    <t>0.94_4.32</t>
  </si>
  <si>
    <t>3 : 308 : 255 : 19,796</t>
  </si>
  <si>
    <t>6 : 307 : 318 : 30,671</t>
  </si>
  <si>
    <t>0.83_4.26</t>
  </si>
  <si>
    <t>3 : 310 : 226 : 30,763</t>
  </si>
  <si>
    <t>0 : 313 : 240 : 30,759</t>
  </si>
  <si>
    <t>2 : 311 : 241 : 30,758</t>
  </si>
  <si>
    <t>0.20_3.32</t>
  </si>
  <si>
    <t>2 : 314 : 156 : 24,668</t>
  </si>
  <si>
    <t>0.25_4.08</t>
  </si>
  <si>
    <t>0 : 316 : 173 : 24,651</t>
  </si>
  <si>
    <t>2 : 314 : 163 : 24,662</t>
  </si>
  <si>
    <t>0.24_3.90</t>
  </si>
  <si>
    <t>3 : 313 : 197 : 24,628</t>
  </si>
  <si>
    <t>0.38_3.77</t>
  </si>
  <si>
    <t>19 : 286 : 841 : 17,051</t>
  </si>
  <si>
    <t>0.84_2.15</t>
  </si>
  <si>
    <t>16 : 289 : 1,020 : 16,872</t>
  </si>
  <si>
    <t>0.55_1.52</t>
  </si>
  <si>
    <t>14 : 297 : 1,327 : 18,736</t>
  </si>
  <si>
    <t>0.39_1.14</t>
  </si>
  <si>
    <t>41 : 270 : 1,339 : 18,724</t>
  </si>
  <si>
    <t>1.52_2.96</t>
  </si>
  <si>
    <t>4 : 222 : 173 : 12,657</t>
  </si>
  <si>
    <t>0.48_3.58</t>
  </si>
  <si>
    <t>2 : 224 : 192 : 12,638</t>
  </si>
  <si>
    <t>23 : 286 : 2,129 : 17,311</t>
  </si>
  <si>
    <t>0.43_1.00</t>
  </si>
  <si>
    <t>65 : 244 : 2,611 : 16,829</t>
  </si>
  <si>
    <t>1.30_2.26</t>
  </si>
  <si>
    <t>5 : 306 : 386 : 19,677</t>
  </si>
  <si>
    <t>0.34_2.03</t>
  </si>
  <si>
    <t>7 : 304 : 211 : 19,852</t>
  </si>
  <si>
    <t>1.01_4.64</t>
  </si>
  <si>
    <t>8 : 280 : 428 : 17,915</t>
  </si>
  <si>
    <t>0.59_2.43</t>
  </si>
  <si>
    <t>5 : 283 : 425 : 17,918</t>
  </si>
  <si>
    <t>2 : 286 : 134 : 18,208</t>
  </si>
  <si>
    <t>0.23_3.86</t>
  </si>
  <si>
    <t>4 : 284 : 149 : 18,193</t>
  </si>
  <si>
    <t>0.63_4.67</t>
  </si>
  <si>
    <t>1 : 310 : 170 : 19,893</t>
  </si>
  <si>
    <t>0.05_2.70</t>
  </si>
  <si>
    <t>2 : 309 : 167 : 19,896</t>
  </si>
  <si>
    <t>0.19_3.12</t>
  </si>
  <si>
    <t>9 : 302 : 502 : 19,561</t>
  </si>
  <si>
    <t>0.59_2.27</t>
  </si>
  <si>
    <t>8 : 303 : 396 : 19,667</t>
  </si>
  <si>
    <t>0.65_2.66</t>
  </si>
  <si>
    <t>8 : 303 : 420 : 19,643</t>
  </si>
  <si>
    <t>0.61_2.51</t>
  </si>
  <si>
    <t>24 : 287 : 743 : 19,320</t>
  </si>
  <si>
    <t>1.42_3.32</t>
  </si>
  <si>
    <t>4 : 307 : 342 : 19,721</t>
  </si>
  <si>
    <t>0.28_2.03</t>
  </si>
  <si>
    <t>8 : 303 : 581 : 19,482</t>
  </si>
  <si>
    <t>0.44_1.80</t>
  </si>
  <si>
    <t>10 : 301 : 473 : 19,590</t>
  </si>
  <si>
    <t>0.73_2.60</t>
  </si>
  <si>
    <t>22 : 289 : 814 : 19,249</t>
  </si>
  <si>
    <t>1.16_2.79</t>
  </si>
  <si>
    <t>2 : 311 : 268 : 30,753</t>
  </si>
  <si>
    <t>2 : 311 : 261 : 30,760</t>
  </si>
  <si>
    <t>0.19_3.06</t>
  </si>
  <si>
    <t>1 : 312 : 305 : 30,715</t>
  </si>
  <si>
    <t>6 : 307 : 328 : 30,692</t>
  </si>
  <si>
    <t>1 : 310 : 48 : 20,015</t>
  </si>
  <si>
    <t>0.19_9.78</t>
  </si>
  <si>
    <t>23 : 288 : 1,065 : 18,998</t>
  </si>
  <si>
    <t>0.93_2.19</t>
  </si>
  <si>
    <t>8 : 303 : 667 : 19,396</t>
  </si>
  <si>
    <t>0.38_1.56</t>
  </si>
  <si>
    <t>53 : 173 : 3,845 : 8,987</t>
  </si>
  <si>
    <t>0.53_0.98</t>
  </si>
  <si>
    <t>63 : 163 : 3,347 : 9,485</t>
  </si>
  <si>
    <t>0.82_1.47</t>
  </si>
  <si>
    <t>57 : 169 : 3,317 : 9,515</t>
  </si>
  <si>
    <t>0.71_1.31</t>
  </si>
  <si>
    <t>40 : 186 : 3,093 : 9,739</t>
  </si>
  <si>
    <t>0.48_0.96</t>
  </si>
  <si>
    <t>3 : 170 : 256 : 10,361</t>
  </si>
  <si>
    <t>9 : 164 : 272 : 10,345</t>
  </si>
  <si>
    <t>1.06_4.13</t>
  </si>
  <si>
    <t>0 : 181 : 177 : 10,776</t>
  </si>
  <si>
    <t>3 : 178 : 197 : 10,756</t>
  </si>
  <si>
    <t>0.29_2.91</t>
  </si>
  <si>
    <t>4 : 170 : 202 : 10,362</t>
  </si>
  <si>
    <t>0.44_3.28</t>
  </si>
  <si>
    <t>4 : 170 : 176 : 10,388</t>
  </si>
  <si>
    <t>0.51_3.78</t>
  </si>
  <si>
    <t>14 : 159 : 792 : 9,911</t>
  </si>
  <si>
    <t>0.63_1.91</t>
  </si>
  <si>
    <t>9 : 164 : 910 : 9,793</t>
  </si>
  <si>
    <t>0.30_1.16</t>
  </si>
  <si>
    <t>11 : 167 : 739 : 10,021</t>
  </si>
  <si>
    <t>6 : 172 : 1,020 : 9,740</t>
  </si>
  <si>
    <t>0.15_0.75</t>
  </si>
  <si>
    <t>3 : 172 : 273 : 10,499</t>
  </si>
  <si>
    <t>0.21_2.11</t>
  </si>
  <si>
    <t>3 : 172 : 123 : 10,649</t>
  </si>
  <si>
    <t>0.48_4.79</t>
  </si>
  <si>
    <t>3 : 176 : 272 : 10,511</t>
  </si>
  <si>
    <t>0.21_2.08</t>
  </si>
  <si>
    <t>2 : 177 : 129 : 10,654</t>
  </si>
  <si>
    <t>0.23_3.80</t>
  </si>
  <si>
    <t>3 : 175 : 146 : 10,736</t>
  </si>
  <si>
    <t>0.40_3.99</t>
  </si>
  <si>
    <t>2 : 176 : 145 : 10,737</t>
  </si>
  <si>
    <t>0.21_3.42</t>
  </si>
  <si>
    <t>2 : 175 : 219 : 10,562</t>
  </si>
  <si>
    <t>4 : 173 : 248 : 10,533</t>
  </si>
  <si>
    <t>0.36_2.67</t>
  </si>
  <si>
    <t>1 : 180 : 174 : 10,842</t>
  </si>
  <si>
    <t>0.05_2.49</t>
  </si>
  <si>
    <t>4 : 177 : 214 : 10,802</t>
  </si>
  <si>
    <t>0.42_3.10</t>
  </si>
  <si>
    <t>19 : 207 : 1,681 : 11,151</t>
  </si>
  <si>
    <t>0.38_0.98</t>
  </si>
  <si>
    <t>21 : 205 : 1,589 : 11,243</t>
  </si>
  <si>
    <t>0.46_1.14</t>
  </si>
  <si>
    <t>28 : 198 : 1,223 : 11,609</t>
  </si>
  <si>
    <t>0.90_2.00</t>
  </si>
  <si>
    <t>24 : 202 : 1,398 : 11,434</t>
  </si>
  <si>
    <t>0.63_1.49</t>
  </si>
  <si>
    <t>4 : 226 : 241 : 12,607</t>
  </si>
  <si>
    <t>0.34_2.51</t>
  </si>
  <si>
    <t>5 : 225 : 192 : 12,656</t>
  </si>
  <si>
    <t>1 : 229 : 124 : 12,723</t>
  </si>
  <si>
    <t>0.06_3.22</t>
  </si>
  <si>
    <t>0 : 230 : 105 : 12,742</t>
  </si>
  <si>
    <t>1 : 242 : 64 : 13,770</t>
  </si>
  <si>
    <t>0.12_6.44</t>
  </si>
  <si>
    <t>1 : 242 : 81 : 13,753</t>
  </si>
  <si>
    <t>0.10_5.06</t>
  </si>
  <si>
    <t>4 : 307 : 231 : 19,832</t>
  </si>
  <si>
    <t>0.41_3.03</t>
  </si>
  <si>
    <t>4 : 307 : 210 : 19,853</t>
  </si>
  <si>
    <t>5 : 306 : 301 : 19,762</t>
  </si>
  <si>
    <t>0.44_2.61</t>
  </si>
  <si>
    <t>2 : 309 : 310 : 19,753</t>
  </si>
  <si>
    <t>4 : 307 : 289 : 19,774</t>
  </si>
  <si>
    <t>0.33_2.41</t>
  </si>
  <si>
    <t>2 : 309 : 377 : 19,686</t>
  </si>
  <si>
    <t>0.08_1.36</t>
  </si>
  <si>
    <t>9 : 302 : 383 : 19,680</t>
  </si>
  <si>
    <t>0.78_2.99</t>
  </si>
  <si>
    <t>3 : 308 : 345 : 19,718</t>
  </si>
  <si>
    <t>0.18_1.74</t>
  </si>
  <si>
    <t>15 : 296 : 629 : 19,434</t>
  </si>
  <si>
    <t>0.93_2.65</t>
  </si>
  <si>
    <t>5 : 306 : 316 : 19,747</t>
  </si>
  <si>
    <t>3 : 223 : 226 : 12,604</t>
  </si>
  <si>
    <t>0.24_2.36</t>
  </si>
  <si>
    <t>1 : 225 : 254 : 12,576</t>
  </si>
  <si>
    <t>0.03_1.58</t>
  </si>
  <si>
    <t>7 : 219 : 445 : 12,387</t>
  </si>
  <si>
    <t>0.42_1.90</t>
  </si>
  <si>
    <t>10 : 216 : 450 : 12,382</t>
  </si>
  <si>
    <t>0.67_2.42</t>
  </si>
  <si>
    <t>11 : 215 : 891 : 11,941</t>
  </si>
  <si>
    <t>6 : 220 : 615 : 12,217</t>
  </si>
  <si>
    <t>0.24_1.22</t>
  </si>
  <si>
    <t>1 : 225 : 213 : 12,619</t>
  </si>
  <si>
    <t>0.04_1.89</t>
  </si>
  <si>
    <t>5 : 221 : 221 : 12,611</t>
  </si>
  <si>
    <t>0.53_3.16</t>
  </si>
  <si>
    <t>7 : 304 : 436 : 19,627</t>
  </si>
  <si>
    <t>0.49_2.21</t>
  </si>
  <si>
    <t>5 : 306 : 359 : 19,704</t>
  </si>
  <si>
    <t>0.37_2.18</t>
  </si>
  <si>
    <t>4 : 207 : 246 : 12,628</t>
  </si>
  <si>
    <t>0.37_2.69</t>
  </si>
  <si>
    <t>5 : 206 : 217 : 12,657</t>
  </si>
  <si>
    <t>0.58_3.47</t>
  </si>
  <si>
    <t>2 : 309 : 132 : 19,931</t>
  </si>
  <si>
    <t>0.24_3.97</t>
  </si>
  <si>
    <t>0 : 311 : 100 : 19,963</t>
  </si>
  <si>
    <t>1 : 310 : 230 : 19,833</t>
  </si>
  <si>
    <t>0.04_1.99</t>
  </si>
  <si>
    <t>4 : 307 : 341 : 19,722</t>
  </si>
  <si>
    <t>11 : 236 : 566 : 12,145</t>
  </si>
  <si>
    <t>0.54_1.84</t>
  </si>
  <si>
    <t>6 : 241 : 347 : 12,364</t>
  </si>
  <si>
    <t>0.39_2.01</t>
  </si>
  <si>
    <t>3 : 223 : 199 : 12,633</t>
  </si>
  <si>
    <t>2 : 224 : 177 : 12,655</t>
  </si>
  <si>
    <t>0.16_2.59</t>
  </si>
  <si>
    <t>1 : 225 : 39 : 12,793</t>
  </si>
  <si>
    <t>0.20_10.66</t>
  </si>
  <si>
    <t>0 : 226 : 54 : 12,778</t>
  </si>
  <si>
    <t>1 : 225 : 65 : 12,767</t>
  </si>
  <si>
    <t>0.12_6.32</t>
  </si>
  <si>
    <t>1 : 225 : 63 : 12,769</t>
  </si>
  <si>
    <t>0.12_6.52</t>
  </si>
  <si>
    <t>1 : 225 : 80 : 12,752</t>
  </si>
  <si>
    <t>0.10_5.11</t>
  </si>
  <si>
    <t>9 : 302 : 472 : 19,576</t>
  </si>
  <si>
    <t>0.63_2.41</t>
  </si>
  <si>
    <t>9 : 302 : 586 : 19,462</t>
  </si>
  <si>
    <t>0.51_1.93</t>
  </si>
  <si>
    <t>26 : 285 : 1,425 : 18,638</t>
  </si>
  <si>
    <t>11 : 300 : 1,053 : 19,010</t>
  </si>
  <si>
    <t>0.36_1.21</t>
  </si>
  <si>
    <t>4 : 307 : 332 : 19,731</t>
  </si>
  <si>
    <t>2 : 309 : 369 : 19,694</t>
  </si>
  <si>
    <t>0.09_1.39</t>
  </si>
  <si>
    <t>7 : 304 : 254 : 19,809</t>
  </si>
  <si>
    <t>0.84_3.84</t>
  </si>
  <si>
    <t>7 : 304 : 190 : 19,873</t>
  </si>
  <si>
    <t>1.12_5.16</t>
  </si>
  <si>
    <t>20 : 291 : 902 : 19,161</t>
  </si>
  <si>
    <t>0.92_2.31</t>
  </si>
  <si>
    <t>6 : 305 : 868 : 19,195</t>
  </si>
  <si>
    <t>0.19_0.98</t>
  </si>
  <si>
    <t>19 : 292 : 842 : 19,221</t>
  </si>
  <si>
    <t>0.93_2.37</t>
  </si>
  <si>
    <t>18 : 293 : 1,748 : 18,315</t>
  </si>
  <si>
    <t>0.40_1.04</t>
  </si>
  <si>
    <t>3 : 223 : 81 : 12,751</t>
  </si>
  <si>
    <t>0.66_6.76</t>
  </si>
  <si>
    <t>1 : 225 : 75 : 12,757</t>
  </si>
  <si>
    <t>0.10_5.46</t>
  </si>
  <si>
    <t>3 : 180 : 330 : 9,440</t>
  </si>
  <si>
    <t>0.15_1.50</t>
  </si>
  <si>
    <t>2 : 181 : 224 : 9,546</t>
  </si>
  <si>
    <t>0.12_1.91</t>
  </si>
  <si>
    <t>6 : 177 : 626 : 9,144</t>
  </si>
  <si>
    <t>0.22_1.12</t>
  </si>
  <si>
    <t>6 : 177 : 380 : 9,390</t>
  </si>
  <si>
    <t>0.37_1.90</t>
  </si>
  <si>
    <t>5 : 172 : 137 : 9,942</t>
  </si>
  <si>
    <t>0.85_5.21</t>
  </si>
  <si>
    <t>13 : 164 : 712 : 9,367</t>
  </si>
  <si>
    <t>0.59_1.84</t>
  </si>
  <si>
    <t>2 : 175 : 169 : 9,910</t>
  </si>
  <si>
    <t>0.16_2.72</t>
  </si>
  <si>
    <t>21 : 156 : 744 : 9,335</t>
  </si>
  <si>
    <t>1.06_2.68</t>
  </si>
  <si>
    <t>10 : 301 : 708 : 19,355</t>
  </si>
  <si>
    <t>0.48_1.71</t>
  </si>
  <si>
    <t>11 : 300 : 675 : 19,388</t>
  </si>
  <si>
    <t>17 : 294 : 1,042 : 19,021</t>
  </si>
  <si>
    <t>0.64_1.73</t>
  </si>
  <si>
    <t>17 : 294 : 893 : 19,170</t>
  </si>
  <si>
    <t>0.76_2.03</t>
  </si>
  <si>
    <t>7 : 304 : 450 : 19,613</t>
  </si>
  <si>
    <t>0.47_2.14</t>
  </si>
  <si>
    <t>7 : 304 : 515 : 19,548</t>
  </si>
  <si>
    <t>0.41_1.86</t>
  </si>
  <si>
    <t>3 : 223 : 103 : 12,721</t>
  </si>
  <si>
    <t>0.52_5.28</t>
  </si>
  <si>
    <t>1 : 225 : 82 : 12,742</t>
  </si>
  <si>
    <t>0.10_4.98</t>
  </si>
  <si>
    <t>6 : 303 : 594 : 18,845</t>
  </si>
  <si>
    <t>0.28_1.42</t>
  </si>
  <si>
    <t>30 : 279 : 1,970 : 17,469</t>
  </si>
  <si>
    <t>0.65_1.39</t>
  </si>
  <si>
    <t>31 : 278 : 1,951 : 17,487</t>
  </si>
  <si>
    <t>0.69_1.45</t>
  </si>
  <si>
    <t>16 : 293 : 897 : 18,541</t>
  </si>
  <si>
    <t>0.68_1.88</t>
  </si>
  <si>
    <t>3 : 235 : 105 : 13,294</t>
  </si>
  <si>
    <t>0.51_5.13</t>
  </si>
  <si>
    <t>0 : 238 : 116 : 13,283</t>
  </si>
  <si>
    <t>3 : 236 : 96 : 13,276</t>
  </si>
  <si>
    <t>0.55_5.59</t>
  </si>
  <si>
    <t>4 : 235 : 162 : 13,210</t>
  </si>
  <si>
    <t>0.51_3.77</t>
  </si>
  <si>
    <t>2 : 235 : 101 : 13,297</t>
  </si>
  <si>
    <t>0.27_4.57</t>
  </si>
  <si>
    <t>2 : 235 : 173 : 13,225</t>
  </si>
  <si>
    <t>0.16_2.64</t>
  </si>
  <si>
    <t>25 : 286 : 1,493 : 18,570</t>
  </si>
  <si>
    <t>0.72_1.64</t>
  </si>
  <si>
    <t>23 : 288 : 1,640 : 18,423</t>
  </si>
  <si>
    <t>0.58_1.38</t>
  </si>
  <si>
    <t>27 : 284 : 1,353 : 18,709</t>
  </si>
  <si>
    <t>0.88_1.96</t>
  </si>
  <si>
    <t>21 : 290 : 1,830 : 18,232</t>
  </si>
  <si>
    <t>0.46_1.13</t>
  </si>
  <si>
    <t>3 : 227 : 92 : 12,771</t>
  </si>
  <si>
    <t>0.58_5.84</t>
  </si>
  <si>
    <t>1 : 229 : 75 : 12,788</t>
  </si>
  <si>
    <t>0.10_5.38</t>
  </si>
  <si>
    <t>3 : 227 : 115 : 12,748</t>
  </si>
  <si>
    <t>0.46_4.64</t>
  </si>
  <si>
    <t>2 : 228 : 199 : 12,664</t>
  </si>
  <si>
    <t>0.14_2.26</t>
  </si>
  <si>
    <t>1 : 229 : 63 : 12,800</t>
  </si>
  <si>
    <t>0.12_6.42</t>
  </si>
  <si>
    <t>0 : 230 : 38 : 12,825</t>
  </si>
  <si>
    <t>3 : 223 : 120 : 12,712</t>
  </si>
  <si>
    <t>0.45_4.52</t>
  </si>
  <si>
    <t>8 : 218 : 302 : 12,530</t>
  </si>
  <si>
    <t>0.75_3.11</t>
  </si>
  <si>
    <t>22 : 208 : 1,171 : 11,692</t>
  </si>
  <si>
    <t>0.68_1.65</t>
  </si>
  <si>
    <t>22 : 208 : 1,256 : 11,607</t>
  </si>
  <si>
    <t>0.63_1.52</t>
  </si>
  <si>
    <t>22 : 208 : 1,156 : 11,707</t>
  </si>
  <si>
    <t>0.69_1.67</t>
  </si>
  <si>
    <t>19 : 211 : 1,332 : 11,531</t>
  </si>
  <si>
    <t>0.49_1.25</t>
  </si>
  <si>
    <t>13 : 495 : 218 : 12,367</t>
  </si>
  <si>
    <t>0.85_2.63</t>
  </si>
  <si>
    <t>15 : 493 : 269 : 12,316</t>
  </si>
  <si>
    <t>0.82_2.36</t>
  </si>
  <si>
    <t>13 : 751 : 245 : 19,365</t>
  </si>
  <si>
    <t>0.78_2.40</t>
  </si>
  <si>
    <t>15 : 749 : 288 : 19,322</t>
  </si>
  <si>
    <t>0.80_2.27</t>
  </si>
  <si>
    <t>23 : 741 : 496 : 19,114</t>
  </si>
  <si>
    <t>0.78_1.83</t>
  </si>
  <si>
    <t>17 : 747 : 596 : 19,014</t>
  </si>
  <si>
    <t>0.45_1.18</t>
  </si>
  <si>
    <t>9 : 755 : 230 : 19,380</t>
  </si>
  <si>
    <t>0.51_1.96</t>
  </si>
  <si>
    <t>5 : 759 : 302 : 19,308</t>
  </si>
  <si>
    <t>0.17_1.02</t>
  </si>
  <si>
    <t>9 : 754 : 257 : 23,594</t>
  </si>
  <si>
    <t>0.56_2.14</t>
  </si>
  <si>
    <t>8 : 755 : 195 : 23,656</t>
  </si>
  <si>
    <t>0.63_2.62</t>
  </si>
  <si>
    <t>62 : 702 : 1,504 : 18,106</t>
  </si>
  <si>
    <t>0.82_1.39</t>
  </si>
  <si>
    <t>83 : 681 : 1,575 : 18,035</t>
  </si>
  <si>
    <t>1.10_1.76</t>
  </si>
  <si>
    <t>11 : 753 : 172 : 19,438</t>
  </si>
  <si>
    <t>0.89_3.05</t>
  </si>
  <si>
    <t>3 : 761 : 156 : 19,454</t>
  </si>
  <si>
    <t>0.16_1.54</t>
  </si>
  <si>
    <t>9 : 755 : 245 : 19,365</t>
  </si>
  <si>
    <t>0.48_1.84</t>
  </si>
  <si>
    <t>9 : 755 : 220 : 19,390</t>
  </si>
  <si>
    <t>0.54_2.05</t>
  </si>
  <si>
    <t>37 : 727 : 725 : 18,885</t>
  </si>
  <si>
    <t>0.94_1.86</t>
  </si>
  <si>
    <t>32 : 732 : 902 : 18,708</t>
  </si>
  <si>
    <t>0.63_1.30</t>
  </si>
  <si>
    <t>14 : 750 : 207 : 19,403</t>
  </si>
  <si>
    <t>1.01_3.02</t>
  </si>
  <si>
    <t>12 : 752 : 233 : 19,377</t>
  </si>
  <si>
    <t>0.74_2.38</t>
  </si>
  <si>
    <t>14 : 492 : 327 : 12,053</t>
  </si>
  <si>
    <t>11 : 495 : 200 : 12,180</t>
  </si>
  <si>
    <t>0.73_2.50</t>
  </si>
  <si>
    <t>16 : 484 : 369 : 11,934</t>
  </si>
  <si>
    <t>0.64_1.78</t>
  </si>
  <si>
    <t>12 : 488 : 311 : 11,992</t>
  </si>
  <si>
    <t>0.53_1.70</t>
  </si>
  <si>
    <t>5 : 709 : 110 : 17,842</t>
  </si>
  <si>
    <t>0.47_2.81</t>
  </si>
  <si>
    <t>6 : 708 : 125 : 17,827</t>
  </si>
  <si>
    <t>0.53_2.75</t>
  </si>
  <si>
    <t>4 : 760 : 69 : 19,541</t>
  </si>
  <si>
    <t>0.54_4.09</t>
  </si>
  <si>
    <t>3 : 761 : 86 : 19,524</t>
  </si>
  <si>
    <t>0.28_2.84</t>
  </si>
  <si>
    <t>6 : 758 : 94 : 19,515</t>
  </si>
  <si>
    <t>0.72_3.76</t>
  </si>
  <si>
    <t>8 : 756 : 114 : 19,495</t>
  </si>
  <si>
    <t>0.88_3.72</t>
  </si>
  <si>
    <t>2 : 762 : 101 : 19,509</t>
  </si>
  <si>
    <t>0.12_2.06</t>
  </si>
  <si>
    <t>11 : 753 : 187 : 19,423</t>
  </si>
  <si>
    <t>0.82_2.80</t>
  </si>
  <si>
    <t>14 : 750 : 197 : 19,413</t>
  </si>
  <si>
    <t>1.06_3.18</t>
  </si>
  <si>
    <t>15 : 749 : 283 : 19,327</t>
  </si>
  <si>
    <t>0.81_2.31</t>
  </si>
  <si>
    <t>19 : 745 : 178 : 19,432</t>
  </si>
  <si>
    <t>1.73_4.49</t>
  </si>
  <si>
    <t>9 : 755 : 296 : 19,314</t>
  </si>
  <si>
    <t>0.40_1.52</t>
  </si>
  <si>
    <t>1 : 517 : 113 : 12,427</t>
  </si>
  <si>
    <t>0.03_1.53</t>
  </si>
  <si>
    <t>0 : 518 : 109 : 12,431</t>
  </si>
  <si>
    <t>8 : 755 : 242 : 23,609</t>
  </si>
  <si>
    <t>0.51_2.10</t>
  </si>
  <si>
    <t>12 : 751 : 364 : 23,487</t>
  </si>
  <si>
    <t>6 : 757 : 203 : 23,648</t>
  </si>
  <si>
    <t>0.41_2.09</t>
  </si>
  <si>
    <t>12 : 751 : 308 : 23,543</t>
  </si>
  <si>
    <t>0.68_2.18</t>
  </si>
  <si>
    <t>63 : 701 : 1,370 : 18,240</t>
  </si>
  <si>
    <t>0.92_1.56</t>
  </si>
  <si>
    <t>88 : 676 : 1,868 : 17,742</t>
  </si>
  <si>
    <t>0.99_1.55</t>
  </si>
  <si>
    <t>7 : 681 : 122 : 15,376</t>
  </si>
  <si>
    <t>0.60_2.79</t>
  </si>
  <si>
    <t>7 : 681 : 249 : 15,249</t>
  </si>
  <si>
    <t>0.30_1.34</t>
  </si>
  <si>
    <t>1 : 714 : 39 : 14,832</t>
  </si>
  <si>
    <t>0.07_3.88</t>
  </si>
  <si>
    <t>3 : 712 : 85 : 14,786</t>
  </si>
  <si>
    <t>0.23_2.32</t>
  </si>
  <si>
    <t>16 : 748 : 286 : 19,323</t>
  </si>
  <si>
    <t>0.87_2.40</t>
  </si>
  <si>
    <t>12 : 752 : 245 : 19,364</t>
  </si>
  <si>
    <t>0.70_2.26</t>
  </si>
  <si>
    <t>9 : 755 : 312 : 19,297</t>
  </si>
  <si>
    <t>0.38_1.44</t>
  </si>
  <si>
    <t>14 : 750 : 289 : 19,320</t>
  </si>
  <si>
    <t>0.73_2.14</t>
  </si>
  <si>
    <t>4 : 760 : 169 : 19,441</t>
  </si>
  <si>
    <t>0.22_1.64</t>
  </si>
  <si>
    <t>15 : 749 : 252 : 19,358</t>
  </si>
  <si>
    <t>0.91_2.60</t>
  </si>
  <si>
    <t>2 : 516 : 66 : 12,474</t>
  </si>
  <si>
    <t>6 : 512 : 139 : 12,401</t>
  </si>
  <si>
    <t>0.46_2.38</t>
  </si>
  <si>
    <t>62 : 709 : 797 : 18,888</t>
  </si>
  <si>
    <t>1.58_2.71</t>
  </si>
  <si>
    <t>20 : 751 : 532 : 19,153</t>
  </si>
  <si>
    <t>0.61_1.51</t>
  </si>
  <si>
    <t>14 : 757 : 303 : 19,382</t>
  </si>
  <si>
    <t>0.69_2.03</t>
  </si>
  <si>
    <t>11 : 760 : 334 : 19,351</t>
  </si>
  <si>
    <t>0.46_1.54</t>
  </si>
  <si>
    <t>23 : 741 : 815 : 18,795</t>
  </si>
  <si>
    <t>0.47_1.09</t>
  </si>
  <si>
    <t>29 : 735 : 936 : 18,674</t>
  </si>
  <si>
    <t>0.54_1.15</t>
  </si>
  <si>
    <t>42 : 722 : 791 : 18,805</t>
  </si>
  <si>
    <t>1.01_1.90</t>
  </si>
  <si>
    <t>14 : 750 : 295 : 19,301</t>
  </si>
  <si>
    <t>0.71_2.10</t>
  </si>
  <si>
    <t>1 : 471 : 98 : 15,928</t>
  </si>
  <si>
    <t>0.05_2.48</t>
  </si>
  <si>
    <t>5 : 467 : 116 : 15,910</t>
  </si>
  <si>
    <t>0.60_3.61</t>
  </si>
  <si>
    <t>6 : 512 : 157 : 12,383</t>
  </si>
  <si>
    <t>0.41_2.10</t>
  </si>
  <si>
    <t>4 : 514 : 115 : 12,425</t>
  </si>
  <si>
    <t>0.31_2.29</t>
  </si>
  <si>
    <t>7 : 511 : 125 : 12,414</t>
  </si>
  <si>
    <t>0.63_2.93</t>
  </si>
  <si>
    <t>2 : 516 : 102 : 12,437</t>
  </si>
  <si>
    <t>0.12_1.92</t>
  </si>
  <si>
    <t>6 : 512 : 85 : 12,455</t>
  </si>
  <si>
    <t>0.75_3.95</t>
  </si>
  <si>
    <t>7 : 511 : 110 : 12,430</t>
  </si>
  <si>
    <t>0.72_3.34</t>
  </si>
  <si>
    <t>1 : 517 : 101 : 12,439</t>
  </si>
  <si>
    <t>0.03_1.71</t>
  </si>
  <si>
    <t>3 : 768 : 103 : 19,582</t>
  </si>
  <si>
    <t>0.24_2.35</t>
  </si>
  <si>
    <t>1 : 770 : 141 : 19,544</t>
  </si>
  <si>
    <t>0.03_1.29</t>
  </si>
  <si>
    <t>7 : 764 : 118 : 19,567</t>
  </si>
  <si>
    <t>0.71_3.27</t>
  </si>
  <si>
    <t>7 : 764 : 138 : 19,547</t>
  </si>
  <si>
    <t>2 : 769 : 91 : 19,594</t>
  </si>
  <si>
    <t>4 : 767 : 106 : 19,579</t>
  </si>
  <si>
    <t>0.35_2.62</t>
  </si>
  <si>
    <t>2 : 769 : 145 : 19,540</t>
  </si>
  <si>
    <t>0.09_1.42</t>
  </si>
  <si>
    <t>3 : 768 : 135 : 19,550</t>
  </si>
  <si>
    <t>12 : 751 : 165 : 19,439</t>
  </si>
  <si>
    <t>1.04_3.40</t>
  </si>
  <si>
    <t>3 : 760 : 135 : 19,469</t>
  </si>
  <si>
    <t>0.18_1.79</t>
  </si>
  <si>
    <t>9 : 755 : 179 : 19,423</t>
  </si>
  <si>
    <t>0.66_2.54</t>
  </si>
  <si>
    <t>6 : 758 : 189 : 19,413</t>
  </si>
  <si>
    <t>0.36_1.84</t>
  </si>
  <si>
    <t>9 : 755 : 213 : 19,387</t>
  </si>
  <si>
    <t>0.55_2.12</t>
  </si>
  <si>
    <t>5 : 759 : 157 : 19,443</t>
  </si>
  <si>
    <t>0.33_1.99</t>
  </si>
  <si>
    <t>11 : 752 : 208 : 19,391</t>
  </si>
  <si>
    <t>0.74_2.51</t>
  </si>
  <si>
    <t>10 : 753 : 171 : 19,428</t>
  </si>
  <si>
    <t>0.79_2.87</t>
  </si>
  <si>
    <t>21 : 701 : 1,018 : 23,461</t>
  </si>
  <si>
    <t>58 : 664 : 978 : 23,501</t>
  </si>
  <si>
    <t>1.59_2.77</t>
  </si>
  <si>
    <t>10 : 712 : 385 : 24,094</t>
  </si>
  <si>
    <t>0.47_1.65</t>
  </si>
  <si>
    <t>8 : 714 : 412 : 24,067</t>
  </si>
  <si>
    <t>96 : 422 : 2,628 : 9,912</t>
  </si>
  <si>
    <t>0.68_1.08</t>
  </si>
  <si>
    <t>167 : 351 : 3,956 : 8,584</t>
  </si>
  <si>
    <t>0.86_1.25</t>
  </si>
  <si>
    <t>108 : 410 : 2,613 : 9,927</t>
  </si>
  <si>
    <t>0.81_1.24</t>
  </si>
  <si>
    <t>168 : 350 : 4,015 : 8,525</t>
  </si>
  <si>
    <t>0.84_1.23</t>
  </si>
  <si>
    <t>58 : 706 : 1,215 : 18,395</t>
  </si>
  <si>
    <t>0.95_1.64</t>
  </si>
  <si>
    <t>48 : 716 : 974 : 18,636</t>
  </si>
  <si>
    <t>0.95_1.73</t>
  </si>
  <si>
    <t>53 : 711 : 1,049 : 18,561</t>
  </si>
  <si>
    <t>0.99_1.76</t>
  </si>
  <si>
    <t>27 : 737 : 553 : 19,057</t>
  </si>
  <si>
    <t>0.85_1.87</t>
  </si>
  <si>
    <t>2 : 689 : 44 : 17,569</t>
  </si>
  <si>
    <t>0.28_4.79</t>
  </si>
  <si>
    <t>4 : 687 : 45 : 17,568</t>
  </si>
  <si>
    <t>0.82_6.34</t>
  </si>
  <si>
    <t>7 : 511 : 215 : 12,300</t>
  </si>
  <si>
    <t>0.37_1.67</t>
  </si>
  <si>
    <t>5 : 513 : 135 : 12,380</t>
  </si>
  <si>
    <t>0.36_2.19</t>
  </si>
  <si>
    <t>8 : 510 : 223 : 12,298</t>
  </si>
  <si>
    <t>0.42_1.76</t>
  </si>
  <si>
    <t>14 : 504 : 198 : 12,323</t>
  </si>
  <si>
    <t>1.00_2.99</t>
  </si>
  <si>
    <t>15 : 739 : 350 : 23,207</t>
  </si>
  <si>
    <t>16 : 738 : 354 : 23,203</t>
  </si>
  <si>
    <t>0.86_2.36</t>
  </si>
  <si>
    <t>39 : 724 : 1,024 : 22,826</t>
  </si>
  <si>
    <t>0.86_1.67</t>
  </si>
  <si>
    <t>39 : 724 : 951 : 22,899</t>
  </si>
  <si>
    <t>0.93_1.80</t>
  </si>
  <si>
    <t>62 : 702 : 1,514 : 18,096</t>
  </si>
  <si>
    <t>0.81_1.38</t>
  </si>
  <si>
    <t>58 : 706 : 1,948 : 17,662</t>
  </si>
  <si>
    <t>0.57_0.98</t>
  </si>
  <si>
    <t>20 : 741 : 302 : 19,283</t>
  </si>
  <si>
    <t>18 : 743 : 277 : 19,308</t>
  </si>
  <si>
    <t>1.04_2.74</t>
  </si>
  <si>
    <t>6 : 757 : 182 : 23,669</t>
  </si>
  <si>
    <t>0.46_2.33</t>
  </si>
  <si>
    <t>5 : 758 : 238 : 23,613</t>
  </si>
  <si>
    <t>8 : 755 : 217 : 23,634</t>
  </si>
  <si>
    <t>0.57_2.35</t>
  </si>
  <si>
    <t>9 : 754 : 203 : 23,648</t>
  </si>
  <si>
    <t>0.71_2.72</t>
  </si>
  <si>
    <t>11 : 752 : 204 : 23,647</t>
  </si>
  <si>
    <t>0.92_3.12</t>
  </si>
  <si>
    <t>6 : 757 : 194 : 23,657</t>
  </si>
  <si>
    <t>0.43_2.18</t>
  </si>
  <si>
    <t>11 : 752 : 174 : 23,676</t>
  </si>
  <si>
    <t>1.08_3.68</t>
  </si>
  <si>
    <t>5 : 758 : 179 : 23,671</t>
  </si>
  <si>
    <t>0.36_2.13</t>
  </si>
  <si>
    <t>1 : 517 : 40 : 12,498</t>
  </si>
  <si>
    <t>0.08_4.40</t>
  </si>
  <si>
    <t>1 : 517 : 21 : 12,517</t>
  </si>
  <si>
    <t>0.15_8.59</t>
  </si>
  <si>
    <t>1 : 517 : 42 : 12,498</t>
  </si>
  <si>
    <t>1 : 517 : 26 : 12,514</t>
  </si>
  <si>
    <t>0.13_6.87</t>
  </si>
  <si>
    <t>12 : 752 : 276 : 19,334</t>
  </si>
  <si>
    <t>0.62_2.00</t>
  </si>
  <si>
    <t>26 : 738 : 396 : 19,214</t>
  </si>
  <si>
    <t>1.14_2.56</t>
  </si>
  <si>
    <t>11 : 753 : 174 : 19,436</t>
  </si>
  <si>
    <t>0.88_3.01</t>
  </si>
  <si>
    <t>13 : 751 : 212 : 19,398</t>
  </si>
  <si>
    <t>0.90_2.79</t>
  </si>
  <si>
    <t>8 : 756 : 198 : 19,412</t>
  </si>
  <si>
    <t>0.51_2.11</t>
  </si>
  <si>
    <t>23 : 741 : 401 : 19,209</t>
  </si>
  <si>
    <t>9 : 755 : 211 : 19,399</t>
  </si>
  <si>
    <t>4 : 760 : 185 : 19,425</t>
  </si>
  <si>
    <t>0.20_1.49</t>
  </si>
  <si>
    <t>14 : 750 : 218 : 19,392</t>
  </si>
  <si>
    <t>0.96_2.86</t>
  </si>
  <si>
    <t>7 : 757 : 154 : 19,456</t>
  </si>
  <si>
    <t>0.55_2.50</t>
  </si>
  <si>
    <t>20 : 498 : 665 : 11,875</t>
  </si>
  <si>
    <t>25 : 493 : 879 : 11,661</t>
  </si>
  <si>
    <t>0.45_1.01</t>
  </si>
  <si>
    <t>30 : 488 : 1,080 : 11,460</t>
  </si>
  <si>
    <t>0.45_0.95</t>
  </si>
  <si>
    <t>47 : 471 : 1,055 : 11,485</t>
  </si>
  <si>
    <t>0.80_1.48</t>
  </si>
  <si>
    <t>17 : 747 : 651 : 18,959</t>
  </si>
  <si>
    <t>0.41_1.08</t>
  </si>
  <si>
    <t>14 : 750 : 234 : 19,376</t>
  </si>
  <si>
    <t>0.90_2.66</t>
  </si>
  <si>
    <t>30 : 734 : 625 : 18,985</t>
  </si>
  <si>
    <t>0.85_1.80</t>
  </si>
  <si>
    <t>15 : 749 : 438 : 19,172</t>
  </si>
  <si>
    <t>0.52_1.47</t>
  </si>
  <si>
    <t>18 : 746 : 466 : 19,144</t>
  </si>
  <si>
    <t>0.62_1.60</t>
  </si>
  <si>
    <t>19 : 745 : 457 : 19,153</t>
  </si>
  <si>
    <t>1 : 592 : 91 : 13,420</t>
  </si>
  <si>
    <t>0.03_1.79</t>
  </si>
  <si>
    <t>7 : 586 : 133 : 13,378</t>
  </si>
  <si>
    <t>0.56_2.58</t>
  </si>
  <si>
    <t>3 : 590 : 66 : 13,445</t>
  </si>
  <si>
    <t>0.32_3.30</t>
  </si>
  <si>
    <t>0 : 593 : 35 : 13,476</t>
  </si>
  <si>
    <t>7 : 586 : 241 : 13,270</t>
  </si>
  <si>
    <t>7 : 586 : 186 : 13,325</t>
  </si>
  <si>
    <t>0.40_1.83</t>
  </si>
  <si>
    <t>10 : 583 : 390 : 13,120</t>
  </si>
  <si>
    <t>0.31_1.09</t>
  </si>
  <si>
    <t>13 : 580 : 179 : 13,331</t>
  </si>
  <si>
    <t>0.94_2.95</t>
  </si>
  <si>
    <t>11 : 582 : 509 : 13,000</t>
  </si>
  <si>
    <t>0.26_0.88</t>
  </si>
  <si>
    <t>23 : 570 : 320 : 13,189</t>
  </si>
  <si>
    <t>1.08_2.56</t>
  </si>
  <si>
    <t>9 : 755 : 292 : 19,318</t>
  </si>
  <si>
    <t>0.40_1.54</t>
  </si>
  <si>
    <t>25 : 739 : 533 : 19,077</t>
  </si>
  <si>
    <t>0.81_1.82</t>
  </si>
  <si>
    <t>36 : 727 : 652 : 23,199</t>
  </si>
  <si>
    <t>1.25_2.48</t>
  </si>
  <si>
    <t>16 : 747 : 518 : 23,333</t>
  </si>
  <si>
    <t>0.58_1.60</t>
  </si>
  <si>
    <t>27 : 736 : 796 : 23,055</t>
  </si>
  <si>
    <t>0.72_1.57</t>
  </si>
  <si>
    <t>15 : 748 : 634 : 23,217</t>
  </si>
  <si>
    <t>0.44_1.23</t>
  </si>
  <si>
    <t>5 : 787 : 209 : 24,158</t>
  </si>
  <si>
    <t>0.30_1.79</t>
  </si>
  <si>
    <t>9 : 783 : 204 : 24,163</t>
  </si>
  <si>
    <t>0.70_2.66</t>
  </si>
  <si>
    <t>1 : 791 : 137 : 24,230</t>
  </si>
  <si>
    <t>0.03_1.60</t>
  </si>
  <si>
    <t>5 : 787 : 163 : 24,204</t>
  </si>
  <si>
    <t>0.39_2.30</t>
  </si>
  <si>
    <t>5 : 513 : 222 : 12,318</t>
  </si>
  <si>
    <t>0.22_1.32</t>
  </si>
  <si>
    <t>7 : 511 : 124 : 12,416</t>
  </si>
  <si>
    <t>0.64_2.95</t>
  </si>
  <si>
    <t>6 : 512 : 87 : 12,453</t>
  </si>
  <si>
    <t>0.73_3.85</t>
  </si>
  <si>
    <t>3 : 515 : 82 : 12,458</t>
  </si>
  <si>
    <t>0.28_2.81</t>
  </si>
  <si>
    <t>8 : 753 : 217 : 23,563</t>
  </si>
  <si>
    <t>0.57_2.34</t>
  </si>
  <si>
    <t>4 : 757 : 163 : 23,617</t>
  </si>
  <si>
    <t>0.28_2.07</t>
  </si>
  <si>
    <t>9 : 750 : 195 : 23,572</t>
  </si>
  <si>
    <t>0.74_2.84</t>
  </si>
  <si>
    <t>9 : 750 : 185 : 23,582</t>
  </si>
  <si>
    <t>0.78_3.00</t>
  </si>
  <si>
    <t>94 : 670 : 1,938 : 17,672</t>
  </si>
  <si>
    <t>1.03_1.60</t>
  </si>
  <si>
    <t>80 : 684 : 1,599 : 18,011</t>
  </si>
  <si>
    <t>1.04_1.67</t>
  </si>
  <si>
    <t>24 : 735 : 513 : 18,952</t>
  </si>
  <si>
    <t>0.80_1.83</t>
  </si>
  <si>
    <t>8 : 751 : 435 : 19,030</t>
  </si>
  <si>
    <t>0.23_0.94</t>
  </si>
  <si>
    <t>20 : 730 : 181 : 19,136</t>
  </si>
  <si>
    <t>1.81_4.62</t>
  </si>
  <si>
    <t>1 : 749 : 84 : 19,233</t>
  </si>
  <si>
    <t>0.04_2.20</t>
  </si>
  <si>
    <t>4 : 322 : 36 : 6,999</t>
  </si>
  <si>
    <t>0.85_6.83</t>
  </si>
  <si>
    <t>1 : 325 : 36 : 6,999</t>
  </si>
  <si>
    <t>0.08_4.38</t>
  </si>
  <si>
    <t>7 : 385 : 159 : 8,260</t>
  </si>
  <si>
    <t>0.44_2.03</t>
  </si>
  <si>
    <t>0 : 392 : 25 : 8,394</t>
  </si>
  <si>
    <t>64 : 454 : 1,220 : 11,320</t>
  </si>
  <si>
    <t>1.00_1.71</t>
  </si>
  <si>
    <t>74 : 444 : 2,052 : 10,488</t>
  </si>
  <si>
    <t>0.66_1.09</t>
  </si>
  <si>
    <t>57 : 461 : 1,233 : 11,307</t>
  </si>
  <si>
    <t>0.86_1.50</t>
  </si>
  <si>
    <t>72 : 446 : 2,097 : 10,443</t>
  </si>
  <si>
    <t>0.62_1.04</t>
  </si>
  <si>
    <t>24 : 740 : 436 : 19,174</t>
  </si>
  <si>
    <t>24 : 740 : 462 : 19,148</t>
  </si>
  <si>
    <t>0.89_2.04</t>
  </si>
  <si>
    <t>3 : 379 : 77 : 9,933</t>
  </si>
  <si>
    <t>0.32_3.25</t>
  </si>
  <si>
    <t>5 : 377 : 54 : 9,956</t>
  </si>
  <si>
    <t>0.97_6.15</t>
  </si>
  <si>
    <t>3 : 381 : 30 : 10,034</t>
  </si>
  <si>
    <t>0.80_8.67</t>
  </si>
  <si>
    <t>3 : 381 : 35 : 10,029</t>
  </si>
  <si>
    <t>0.69_7.37</t>
  </si>
  <si>
    <t>5 : 513 : 118 : 12,422</t>
  </si>
  <si>
    <t>0.42_2.52</t>
  </si>
  <si>
    <t>5 : 513 : 129 : 12,411</t>
  </si>
  <si>
    <t>0.38_2.30</t>
  </si>
  <si>
    <t>18 : 500 : 407 : 12,133</t>
  </si>
  <si>
    <t>0.66_1.74</t>
  </si>
  <si>
    <t>17 : 501 : 374 : 12,166</t>
  </si>
  <si>
    <t>0.67_1.81</t>
  </si>
  <si>
    <t>12 : 752 : 236 : 19,374</t>
  </si>
  <si>
    <t>0.73_2.35</t>
  </si>
  <si>
    <t>13 : 751 : 246 : 19,364</t>
  </si>
  <si>
    <t>0.78_2.39</t>
  </si>
  <si>
    <t>7 : 757 : 213 : 19,397</t>
  </si>
  <si>
    <t>0.40_1.79</t>
  </si>
  <si>
    <t>8 : 756 : 120 : 19,490</t>
  </si>
  <si>
    <t>0.84_3.53</t>
  </si>
  <si>
    <t>24 : 768 : 477 : 23,890</t>
  </si>
  <si>
    <t>1.03_2.37</t>
  </si>
  <si>
    <t>27 : 765 : 511 : 23,856</t>
  </si>
  <si>
    <t>1.11_2.44</t>
  </si>
  <si>
    <t>10 : 782 : 174 : 24,192</t>
  </si>
  <si>
    <t>0.94_3.38</t>
  </si>
  <si>
    <t>6 : 786 : 197 : 24,169</t>
  </si>
  <si>
    <t>0.41_2.12</t>
  </si>
  <si>
    <t>16 : 755 : 551 : 19,134</t>
  </si>
  <si>
    <t>0.45_1.22</t>
  </si>
  <si>
    <t>21 : 750 : 522 : 19,163</t>
  </si>
  <si>
    <t>0.66_1.60</t>
  </si>
  <si>
    <t>1 : 486 : 105 : 11,878</t>
  </si>
  <si>
    <t>0.03_1.67</t>
  </si>
  <si>
    <t>8 : 479 : 130 : 11,853</t>
  </si>
  <si>
    <t>0.74_3.13</t>
  </si>
  <si>
    <t>5 : 330 : 88 : 7,919</t>
  </si>
  <si>
    <t>0.55_3.38</t>
  </si>
  <si>
    <t>3 : 332 : 147 : 7,860</t>
  </si>
  <si>
    <t>0.15_1.52</t>
  </si>
  <si>
    <t>0 : 335 : 67 : 7,940</t>
  </si>
  <si>
    <t>1 : 334 : 85 : 7,922</t>
  </si>
  <si>
    <t>0.04_2.01</t>
  </si>
  <si>
    <t>4 : 331 : 72 : 7,935</t>
  </si>
  <si>
    <t>0.48_3.67</t>
  </si>
  <si>
    <t>1 : 334 : 103 : 7,904</t>
  </si>
  <si>
    <t>0.03_1.65</t>
  </si>
  <si>
    <t>6 : 329 : 166 : 7,841</t>
  </si>
  <si>
    <t>6 : 329 : 191 : 7,816</t>
  </si>
  <si>
    <t>0.33_1.69</t>
  </si>
  <si>
    <t>9 : 326 : 226 : 7,780</t>
  </si>
  <si>
    <t>0.48_1.87</t>
  </si>
  <si>
    <t>5 : 330 : 173 : 7,833</t>
  </si>
  <si>
    <t>5 : 330 : 122 : 7,885</t>
  </si>
  <si>
    <t>0.40_2.41</t>
  </si>
  <si>
    <t>5 : 330 : 89 : 7,918</t>
  </si>
  <si>
    <t>0.54_3.34</t>
  </si>
  <si>
    <t>3 : 332 : 122 : 7,885</t>
  </si>
  <si>
    <t>0.18_1.85</t>
  </si>
  <si>
    <t>1 : 334 : 56 : 7,951</t>
  </si>
  <si>
    <t>0.06_3.08</t>
  </si>
  <si>
    <t>6 : 329 : 81 : 7,926</t>
  </si>
  <si>
    <t>0.77_4.12</t>
  </si>
  <si>
    <t>3 : 332 : 83 : 7,924</t>
  </si>
  <si>
    <t>0.27_2.74</t>
  </si>
  <si>
    <t>16 : 748 : 408 : 19,194</t>
  </si>
  <si>
    <t>0.61_1.67</t>
  </si>
  <si>
    <t>13 : 751 : 399 : 19,203</t>
  </si>
  <si>
    <t>0.48_1.45</t>
  </si>
  <si>
    <t>99 : 665 : 1,090 : 18,520</t>
  </si>
  <si>
    <t>2.03_3.15</t>
  </si>
  <si>
    <t>18 : 746 : 722 : 18,888</t>
  </si>
  <si>
    <t>0.39_1.01</t>
  </si>
  <si>
    <t>10 : 711 : 195 : 17,846</t>
  </si>
  <si>
    <t>0.68_2.44</t>
  </si>
  <si>
    <t>5 : 716 : 197 : 17,844</t>
  </si>
  <si>
    <t>0.26_1.54</t>
  </si>
  <si>
    <t>3 : 361 : 87 : 8,486</t>
  </si>
  <si>
    <t>0 : 364 : 65 : 8,508</t>
  </si>
  <si>
    <t>23 : 741 : 1,003 : 18,607</t>
  </si>
  <si>
    <t>0.38_0.88</t>
  </si>
  <si>
    <t>39 : 725 : 1,107 : 18,503</t>
  </si>
  <si>
    <t>0.65_1.25</t>
  </si>
  <si>
    <t>9 : 687 : 271 : 15,918</t>
  </si>
  <si>
    <t>39 : 657 : 557 : 15,632</t>
  </si>
  <si>
    <t>1.19_2.33</t>
  </si>
  <si>
    <t>45 : 719 : 873 : 18,737</t>
  </si>
  <si>
    <t>0.99_1.83</t>
  </si>
  <si>
    <t>38 : 726 : 784 : 18,826</t>
  </si>
  <si>
    <t>0.90_1.76</t>
  </si>
  <si>
    <t>66 : 698 : 1,159 : 18,451</t>
  </si>
  <si>
    <t>1.16_1.95</t>
  </si>
  <si>
    <t>37 : 727 : 925 : 18,685</t>
  </si>
  <si>
    <t>0.73_1.44</t>
  </si>
  <si>
    <t>38 : 726 : 672 : 18,938</t>
  </si>
  <si>
    <t>1.06_2.06</t>
  </si>
  <si>
    <t>38 : 726 : 977 : 18,633</t>
  </si>
  <si>
    <t>0.72_1.39</t>
  </si>
  <si>
    <t>49 : 715 : 940 : 18,670</t>
  </si>
  <si>
    <t>1.01_1.83</t>
  </si>
  <si>
    <t>32 : 732 : 971 : 18,639</t>
  </si>
  <si>
    <t>0.59_1.20</t>
  </si>
  <si>
    <t>24 : 740 : 388 : 19,217</t>
  </si>
  <si>
    <t>1.06_2.44</t>
  </si>
  <si>
    <t>15 : 749 : 394 : 19,211</t>
  </si>
  <si>
    <t>0.58_1.64</t>
  </si>
  <si>
    <t>1 : 517 : 28 : 12,512</t>
  </si>
  <si>
    <t>0.12_6.37</t>
  </si>
  <si>
    <t>3 : 515 : 137 : 12,403</t>
  </si>
  <si>
    <t>0.17_1.66</t>
  </si>
  <si>
    <t>3 : 513 : 83 : 12,444</t>
  </si>
  <si>
    <t>0.28_2.78</t>
  </si>
  <si>
    <t>5 : 511 : 78 : 12,449</t>
  </si>
  <si>
    <t>0.63_3.87</t>
  </si>
  <si>
    <t>4 : 513 : 64 : 12,468</t>
  </si>
  <si>
    <t>0.55_4.19</t>
  </si>
  <si>
    <t>3 : 514 : 69 : 12,463</t>
  </si>
  <si>
    <t>0.33_3.36</t>
  </si>
  <si>
    <t>6 : 716 : 168 : 24,102</t>
  </si>
  <si>
    <t>0.53_2.72</t>
  </si>
  <si>
    <t>7 : 715 : 169 : 24,101</t>
  </si>
  <si>
    <t>0.65_2.98</t>
  </si>
  <si>
    <t>1 : 687 : 162 : 15,337</t>
  </si>
  <si>
    <t>4 : 684 : 129 : 15,370</t>
  </si>
  <si>
    <t>0.26_1.89</t>
  </si>
  <si>
    <t>14 : 674 : 185 : 15,314</t>
  </si>
  <si>
    <t>0.99_2.98</t>
  </si>
  <si>
    <t>10 : 678 : 258 : 15,241</t>
  </si>
  <si>
    <t>0 : 762 : 41 : 19,363</t>
  </si>
  <si>
    <t>2 : 760 : 27 : 19,377</t>
  </si>
  <si>
    <t>0.45_7.96</t>
  </si>
  <si>
    <t>2 : 758 : 20 : 19,384</t>
  </si>
  <si>
    <t>0.60_10.96</t>
  </si>
  <si>
    <t>0 : 760 : 22 : 19,382</t>
  </si>
  <si>
    <t>3 : 768 : 189 : 19,496</t>
  </si>
  <si>
    <t>0.13_1.26</t>
  </si>
  <si>
    <t>12 : 759 : 287 : 19,398</t>
  </si>
  <si>
    <t>0.60_1.91</t>
  </si>
  <si>
    <t>3 : 768 : 156 : 19,529</t>
  </si>
  <si>
    <t>5 : 766 : 183 : 19,502</t>
  </si>
  <si>
    <t>0.29_1.70</t>
  </si>
  <si>
    <t>13 : 751 : 374 : 19,236</t>
  </si>
  <si>
    <t>0.51_1.56</t>
  </si>
  <si>
    <t>12 : 752 : 339 : 19,271</t>
  </si>
  <si>
    <t>0.51_1.62</t>
  </si>
  <si>
    <t>14 : 732 : 178 : 24,516</t>
  </si>
  <si>
    <t>1.52_4.56</t>
  </si>
  <si>
    <t>6 : 740 : 220 : 24,474</t>
  </si>
  <si>
    <t>0.40_2.04</t>
  </si>
  <si>
    <t>7 : 739 : 212 : 24,482</t>
  </si>
  <si>
    <t>0.51_2.33</t>
  </si>
  <si>
    <t>4 : 742 : 205 : 24,489</t>
  </si>
  <si>
    <t>0.24_1.74</t>
  </si>
  <si>
    <t>68 : 579 : 1,051 : 15,114</t>
  </si>
  <si>
    <t>1.30_2.19</t>
  </si>
  <si>
    <t>37 : 610 : 932 : 15,233</t>
  </si>
  <si>
    <t>0.71_1.39</t>
  </si>
  <si>
    <t>10 : 754 : 286 : 19,280</t>
  </si>
  <si>
    <t>0.47_1.69</t>
  </si>
  <si>
    <t>22 : 742 : 423 : 19,143</t>
  </si>
  <si>
    <t>0.87_2.07</t>
  </si>
  <si>
    <t>8 : 756 : 227 : 19,350</t>
  </si>
  <si>
    <t>0.44_1.83</t>
  </si>
  <si>
    <t>13 : 751 : 336 : 19,241</t>
  </si>
  <si>
    <t>0.57_1.73</t>
  </si>
  <si>
    <t>7 : 782 : 262 : 24,074</t>
  </si>
  <si>
    <t>0.39_1.75</t>
  </si>
  <si>
    <t>3 : 786 : 240 : 24,096</t>
  </si>
  <si>
    <t>0.12_1.20</t>
  </si>
  <si>
    <t>7 : 782 : 252 : 24,078</t>
  </si>
  <si>
    <t>0.40_1.82</t>
  </si>
  <si>
    <t>7 : 782 : 233 : 24,097</t>
  </si>
  <si>
    <t>0.44_1.97</t>
  </si>
  <si>
    <t>14 : 750 : 230 : 19,379</t>
  </si>
  <si>
    <t>0.91_2.71</t>
  </si>
  <si>
    <t>10 : 754 : 187 : 19,422</t>
  </si>
  <si>
    <t>0.73_2.61</t>
  </si>
  <si>
    <t>7 : 757 : 165 : 19,444</t>
  </si>
  <si>
    <t>15 : 749 : 149 : 19,460</t>
  </si>
  <si>
    <t>1.53_4.47</t>
  </si>
  <si>
    <t>12 : 752 : 180 : 19,430</t>
  </si>
  <si>
    <t>0.96_3.10</t>
  </si>
  <si>
    <t>7 : 757 : 175 : 19,435</t>
  </si>
  <si>
    <t>0.48_2.19</t>
  </si>
  <si>
    <t>16 : 748 : 256 : 19,354</t>
  </si>
  <si>
    <t>0.97_2.69</t>
  </si>
  <si>
    <t>20 : 744 : 220 : 19,390</t>
  </si>
  <si>
    <t>1.49_3.77</t>
  </si>
  <si>
    <t>11 : 753 : 201 : 19,409</t>
  </si>
  <si>
    <t>0.77_2.60</t>
  </si>
  <si>
    <t>14 : 750 : 163 : 19,447</t>
  </si>
  <si>
    <t>1.28_3.86</t>
  </si>
  <si>
    <t>30 : 757 : 635 : 23,560</t>
  </si>
  <si>
    <t>1.01_2.14</t>
  </si>
  <si>
    <t>20 : 767 : 550 : 23,645</t>
  </si>
  <si>
    <t>0.71_1.76</t>
  </si>
  <si>
    <t>12 : 775 : 328 : 23,867</t>
  </si>
  <si>
    <t>14 : 773 : 308 : 23,887</t>
  </si>
  <si>
    <t>0.82_2.41</t>
  </si>
  <si>
    <t>48 : 716 : 1,182 : 18,428</t>
  </si>
  <si>
    <t>0.78_1.41</t>
  </si>
  <si>
    <t>67 : 697 : 1,189 : 18,421</t>
  </si>
  <si>
    <t>1.15_1.93</t>
  </si>
  <si>
    <t>37 : 727 : 1,138 : 18,468</t>
  </si>
  <si>
    <t>0.59_1.16</t>
  </si>
  <si>
    <t>54 : 710 : 1,050 : 18,556</t>
  </si>
  <si>
    <t>1.01_1.78</t>
  </si>
  <si>
    <t>52 : 740 : 1,709 : 22,658</t>
  </si>
  <si>
    <t>69 : 723 : 1,753 : 22,614</t>
  </si>
  <si>
    <t>0.96_1.58</t>
  </si>
  <si>
    <t>6 : 786 : 326 : 24,041</t>
  </si>
  <si>
    <t>0.25_1.27</t>
  </si>
  <si>
    <t>19 : 773 : 366 : 24,001</t>
  </si>
  <si>
    <t>1.01_2.57</t>
  </si>
  <si>
    <t>11 : 781 : 318 : 24,049</t>
  </si>
  <si>
    <t>15 : 777 : 368 : 23,999</t>
  </si>
  <si>
    <t>0.75_2.12</t>
  </si>
  <si>
    <t>11 : 781 : 370 : 23,997</t>
  </si>
  <si>
    <t>0.50_1.67</t>
  </si>
  <si>
    <t>17 : 775 : 396 : 23,971</t>
  </si>
  <si>
    <t>3 : 789 : 227 : 24,140</t>
  </si>
  <si>
    <t>0.13_1.27</t>
  </si>
  <si>
    <t>14 : 778 : 248 : 24,119</t>
  </si>
  <si>
    <t>1.02_3.01</t>
  </si>
  <si>
    <t>7 : 785 : 186 : 24,181</t>
  </si>
  <si>
    <t>0.54_2.47</t>
  </si>
  <si>
    <t>6 : 786 : 174 : 24,193</t>
  </si>
  <si>
    <t>0.47_2.40</t>
  </si>
  <si>
    <t>9 : 783 : 255 : 24,112</t>
  </si>
  <si>
    <t>0.56_2.12</t>
  </si>
  <si>
    <t>15 : 777 : 274 : 24,093</t>
  </si>
  <si>
    <t>1.00_2.87</t>
  </si>
  <si>
    <t>16 : 776 : 377 : 23,990</t>
  </si>
  <si>
    <t>0.79_2.17</t>
  </si>
  <si>
    <t>12 : 780 : 321 : 24,046</t>
  </si>
  <si>
    <t>0.64_2.06</t>
  </si>
  <si>
    <t>43 : 749 : 883 : 23,484</t>
  </si>
  <si>
    <t>1.11_2.09</t>
  </si>
  <si>
    <t>36 : 756 : 945 : 23,422</t>
  </si>
  <si>
    <t>0.84_1.66</t>
  </si>
  <si>
    <t>32 : 760 : 812 : 23,555</t>
  </si>
  <si>
    <t>36 : 756 : 782 : 23,585</t>
  </si>
  <si>
    <t>1.02_2.02</t>
  </si>
  <si>
    <t>69 : 723 : 2,023 : 22,344</t>
  </si>
  <si>
    <t>0.82_1.35</t>
  </si>
  <si>
    <t>113 : 679 : 2,094 : 22,273</t>
  </si>
  <si>
    <t>1.44_2.17</t>
  </si>
  <si>
    <t>53 : 739 : 1,483 : 22,884</t>
  </si>
  <si>
    <t>0.83_1.47</t>
  </si>
  <si>
    <t>61 : 731 : 1,513 : 22,854</t>
  </si>
  <si>
    <t>0.97_1.65</t>
  </si>
  <si>
    <t>9 : 783 : 212 : 24,155</t>
  </si>
  <si>
    <t>0.67_2.56</t>
  </si>
  <si>
    <t>11 : 781 : 232 : 24,135</t>
  </si>
  <si>
    <t>0.80_2.69</t>
  </si>
  <si>
    <t>3 : 789 : 142 : 24,225</t>
  </si>
  <si>
    <t>0.21_2.04</t>
  </si>
  <si>
    <t>3 : 789 : 147 : 24,220</t>
  </si>
  <si>
    <t>0.20_1.97</t>
  </si>
  <si>
    <t>9 : 783 : 168 : 24,199</t>
  </si>
  <si>
    <t>0.84_3.25</t>
  </si>
  <si>
    <t>4 : 788 : 168 : 24,199</t>
  </si>
  <si>
    <t>0.27_1.98</t>
  </si>
  <si>
    <t>19 : 773 : 589 : 23,778</t>
  </si>
  <si>
    <t>0.62_1.58</t>
  </si>
  <si>
    <t>40 : 752 : 422 : 23,945</t>
  </si>
  <si>
    <t>2.16_4.21</t>
  </si>
  <si>
    <t>32 : 760 : 848 : 23,519</t>
  </si>
  <si>
    <t>0.81_1.67</t>
  </si>
  <si>
    <t>30 : 762 : 774 : 23,593</t>
  </si>
  <si>
    <t>32 : 760 : 937 : 23,430</t>
  </si>
  <si>
    <t>0.73_1.51</t>
  </si>
  <si>
    <t>48 : 744 : 949 : 23,418</t>
  </si>
  <si>
    <t>1.18_2.15</t>
  </si>
  <si>
    <t>8 : 738 : 199 : 24,495</t>
  </si>
  <si>
    <t>0.66_2.72</t>
  </si>
  <si>
    <t>5 : 741 : 195 : 24,499</t>
  </si>
  <si>
    <t>0.35_2.07</t>
  </si>
  <si>
    <t>7 : 785 : 283 : 24,084</t>
  </si>
  <si>
    <t>0.36_1.61</t>
  </si>
  <si>
    <t>10 : 782 : 283 : 24,084</t>
  </si>
  <si>
    <t>0.58_2.05</t>
  </si>
  <si>
    <t>6 : 786 : 254 : 24,113</t>
  </si>
  <si>
    <t>0.32_1.63</t>
  </si>
  <si>
    <t>13 : 779 : 291 : 24,076</t>
  </si>
  <si>
    <t>0.79_2.42</t>
  </si>
  <si>
    <t>13 : 779 : 304 : 24,063</t>
  </si>
  <si>
    <t>0.75_2.31</t>
  </si>
  <si>
    <t>4 : 788 : 100 : 24,267</t>
  </si>
  <si>
    <t>0.45_3.35</t>
  </si>
  <si>
    <t>3 : 789 : 117 : 24,250</t>
  </si>
  <si>
    <t>0.25_2.48</t>
  </si>
  <si>
    <t>50 : 714 : 1,001 : 17,307</t>
  </si>
  <si>
    <t>0.90_1.62</t>
  </si>
  <si>
    <t>40 : 724 : 851 : 17,457</t>
  </si>
  <si>
    <t>0.82_1.57</t>
  </si>
  <si>
    <t>10 : 754 : 246 : 19,364</t>
  </si>
  <si>
    <t>0.55_1.97</t>
  </si>
  <si>
    <t>5 : 759 : 175 : 19,435</t>
  </si>
  <si>
    <t>0.30_1.78</t>
  </si>
  <si>
    <t>5 : 759 : 78 : 19,532</t>
  </si>
  <si>
    <t>0.67_4.09</t>
  </si>
  <si>
    <t>3 : 761 : 136 : 19,474</t>
  </si>
  <si>
    <t>11 : 751 : 158 : 19,359</t>
  </si>
  <si>
    <t>0.97_3.32</t>
  </si>
  <si>
    <t>12 : 750 : 229 : 19,288</t>
  </si>
  <si>
    <t>0.75_2.42</t>
  </si>
  <si>
    <t>5 : 758 : 117 : 19,391</t>
  </si>
  <si>
    <t>0.45_2.68</t>
  </si>
  <si>
    <t>9 : 754 : 196 : 19,312</t>
  </si>
  <si>
    <t>0.60_2.30</t>
  </si>
  <si>
    <t>8 : 763 : 234 : 19,447</t>
  </si>
  <si>
    <t>0.43_1.77</t>
  </si>
  <si>
    <t>3 : 768 : 152 : 19,529</t>
  </si>
  <si>
    <t>0.16_1.58</t>
  </si>
  <si>
    <t>6 : 765 : 165 : 19,520</t>
  </si>
  <si>
    <t>14 : 757 : 179 : 19,506</t>
  </si>
  <si>
    <t>1.16_3.49</t>
  </si>
  <si>
    <t>14 : 757 : 227 : 19,457</t>
  </si>
  <si>
    <t>0.92_2.73</t>
  </si>
  <si>
    <t>15 : 756 : 205 : 19,479</t>
  </si>
  <si>
    <t>1.11_3.20</t>
  </si>
  <si>
    <t>139 : 650 : 2,777 : 22,874</t>
  </si>
  <si>
    <t>1.46_2.12</t>
  </si>
  <si>
    <t>66 : 723 : 1,280 : 24,371</t>
  </si>
  <si>
    <t>1.34_2.25</t>
  </si>
  <si>
    <t>160 : 629 : 2,995 : 22,658</t>
  </si>
  <si>
    <t>1.61_2.30</t>
  </si>
  <si>
    <t>85 : 704 : 1,384 : 24,269</t>
  </si>
  <si>
    <t>1.68_2.67</t>
  </si>
  <si>
    <t>46 : 743 : 752 : 24,901</t>
  </si>
  <si>
    <t>1.51_2.79</t>
  </si>
  <si>
    <t>53 : 736 : 1,024 : 24,629</t>
  </si>
  <si>
    <t>1.30_2.30</t>
  </si>
  <si>
    <t>33 : 655 : 422 : 15,077</t>
  </si>
  <si>
    <t>1.25_2.59</t>
  </si>
  <si>
    <t>7 : 681 : 212 : 15,287</t>
  </si>
  <si>
    <t>1 : 687 : 45 : 15,454</t>
  </si>
  <si>
    <t>2 : 686 : 40 : 15,459</t>
  </si>
  <si>
    <t>0.27_4.67</t>
  </si>
  <si>
    <t>87 : 601 : 1,643 : 13,856</t>
  </si>
  <si>
    <t>0.97_1.54</t>
  </si>
  <si>
    <t>8 : 680 : 397 : 15,102</t>
  </si>
  <si>
    <t>0.22_0.90</t>
  </si>
  <si>
    <t>59 : 629 : 1,056 : 14,443</t>
  </si>
  <si>
    <t>0.98_1.69</t>
  </si>
  <si>
    <t>33 : 655 : 494 : 15,005</t>
  </si>
  <si>
    <t>1.07_2.20</t>
  </si>
  <si>
    <t>165 : 599 : 2,738 : 15,570</t>
  </si>
  <si>
    <t>1.31_1.87</t>
  </si>
  <si>
    <t>75 : 689 : 1,572 : 16,736</t>
  </si>
  <si>
    <t>0.91_1.48</t>
  </si>
  <si>
    <t>82 : 682 : 1,059 : 17,249</t>
  </si>
  <si>
    <t>1.54_2.48</t>
  </si>
  <si>
    <t>50 : 714 : 802 : 17,506</t>
  </si>
  <si>
    <t>1.14_2.05</t>
  </si>
  <si>
    <t>242 : 522 : 4,528 : 13,780</t>
  </si>
  <si>
    <t>1.21_1.65</t>
  </si>
  <si>
    <t>101 : 663 : 2,215 : 16,093</t>
  </si>
  <si>
    <t>0.89_1.37</t>
  </si>
  <si>
    <t>157 : 607 : 3,129 : 15,179</t>
  </si>
  <si>
    <t>1.05_1.50</t>
  </si>
  <si>
    <t>124 : 640 : 2,241 : 16,067</t>
  </si>
  <si>
    <t>1.14_1.69</t>
  </si>
  <si>
    <t>16 : 748 : 402 : 19,208</t>
  </si>
  <si>
    <t>0.62_1.69</t>
  </si>
  <si>
    <t>18 : 746 : 392 : 19,218</t>
  </si>
  <si>
    <t>0.73_1.91</t>
  </si>
  <si>
    <t>13 : 751 : 386 : 19,224</t>
  </si>
  <si>
    <t>0.49_1.51</t>
  </si>
  <si>
    <t>22 : 742 : 472 : 19,138</t>
  </si>
  <si>
    <t>0.78_1.86</t>
  </si>
  <si>
    <t>19 : 745 : 276 : 19,334</t>
  </si>
  <si>
    <t>1.12_2.86</t>
  </si>
  <si>
    <t>15 : 749 : 434 : 19,176</t>
  </si>
  <si>
    <t>0.53_1.49</t>
  </si>
  <si>
    <t>47 : 717 : 882 : 18,728</t>
  </si>
  <si>
    <t>1.03_1.88</t>
  </si>
  <si>
    <t>16 : 748 : 510 : 19,100</t>
  </si>
  <si>
    <t>0.48_1.32</t>
  </si>
  <si>
    <t>12 : 752 : 241 : 19,369</t>
  </si>
  <si>
    <t>14 : 750 : 281 : 19,329</t>
  </si>
  <si>
    <t>0.75_2.21</t>
  </si>
  <si>
    <t>10 : 754 : 321 : 19,289</t>
  </si>
  <si>
    <t>8 : 756 : 232 : 19,378</t>
  </si>
  <si>
    <t>10 : 754 : 332 : 19,276</t>
  </si>
  <si>
    <t>0.41_1.45</t>
  </si>
  <si>
    <t>6 : 758 : 242 : 19,366</t>
  </si>
  <si>
    <t>0.28_1.43</t>
  </si>
  <si>
    <t>56 : 708 : 927 : 18,683</t>
  </si>
  <si>
    <t>1.20_2.11</t>
  </si>
  <si>
    <t>27 : 737 : 789 : 18,821</t>
  </si>
  <si>
    <t>0.59_1.29</t>
  </si>
  <si>
    <t>11 : 507 : 298 : 12,242</t>
  </si>
  <si>
    <t>11 : 507 : 266 : 12,274</t>
  </si>
  <si>
    <t>3 : 515 : 152 : 12,388</t>
  </si>
  <si>
    <t>8 : 510 : 153 : 12,387</t>
  </si>
  <si>
    <t>0.62_2.60</t>
  </si>
  <si>
    <t>21 : 771 : 463 : 23,904</t>
  </si>
  <si>
    <t>0.90_2.19</t>
  </si>
  <si>
    <t>9 : 783 : 401 : 23,966</t>
  </si>
  <si>
    <t>0.35_1.34</t>
  </si>
  <si>
    <t>39 : 732 : 892 : 18,793</t>
  </si>
  <si>
    <t>0.81_1.56</t>
  </si>
  <si>
    <t>31 : 740 : 881 : 18,804</t>
  </si>
  <si>
    <t>0.62_1.29</t>
  </si>
  <si>
    <t>22 : 749 : 518 : 19,167</t>
  </si>
  <si>
    <t>0.70_1.68</t>
  </si>
  <si>
    <t>9 : 762 : 223 : 19,462</t>
  </si>
  <si>
    <t>0.53_2.02</t>
  </si>
  <si>
    <t>57 : 704 : 1,257 : 17,731</t>
  </si>
  <si>
    <t>0.87_1.50</t>
  </si>
  <si>
    <t>13 : 748 : 1,283 : 17,705</t>
  </si>
  <si>
    <t>0.14_0.42</t>
  </si>
  <si>
    <t>5 : 766 : 145 : 19,538</t>
  </si>
  <si>
    <t>0.36_2.15</t>
  </si>
  <si>
    <t>1 : 770 : 140 : 19,543</t>
  </si>
  <si>
    <t>0.03_1.30</t>
  </si>
  <si>
    <t>64 : 707 : 1,396 : 18,289</t>
  </si>
  <si>
    <t>0.91_1.54</t>
  </si>
  <si>
    <t>52 : 719 : 1,148 : 18,537</t>
  </si>
  <si>
    <t>0.88_1.56</t>
  </si>
  <si>
    <t>67 : 628 : 1,529 : 16,305</t>
  </si>
  <si>
    <t>55 : 640 : 1,591 : 16,243</t>
  </si>
  <si>
    <t>0.66_1.16</t>
  </si>
  <si>
    <t>11 : 750 : 396 : 18,592</t>
  </si>
  <si>
    <t>0.38_1.26</t>
  </si>
  <si>
    <t>12 : 749 : 268 : 18,720</t>
  </si>
  <si>
    <t>27 : 765 : 826 : 23,541</t>
  </si>
  <si>
    <t>0.68_1.49</t>
  </si>
  <si>
    <t>57 : 735 : 1,122 : 23,245</t>
  </si>
  <si>
    <t>1.22_2.12</t>
  </si>
  <si>
    <t>9 : 783 : 333 : 24,034</t>
  </si>
  <si>
    <t>0.43_1.61</t>
  </si>
  <si>
    <t>19 : 773 : 413 : 23,954</t>
  </si>
  <si>
    <t>0.90_2.27</t>
  </si>
  <si>
    <t>13 : 748 : 356 : 18,632</t>
  </si>
  <si>
    <t>8 : 753 : 100 : 18,888</t>
  </si>
  <si>
    <t>0.97_4.14</t>
  </si>
  <si>
    <t>24 : 680 : 821 : 16,819</t>
  </si>
  <si>
    <t>0.48_1.09</t>
  </si>
  <si>
    <t>50 : 654 : 737 : 16,903</t>
  </si>
  <si>
    <t>1.30_2.36</t>
  </si>
  <si>
    <t>13 : 751 : 287 : 19,323</t>
  </si>
  <si>
    <t>0.67_2.04</t>
  </si>
  <si>
    <t>17 : 747 : 259 : 19,351</t>
  </si>
  <si>
    <t>1.04_2.79</t>
  </si>
  <si>
    <t>12 : 703 : 352 : 14,525</t>
  </si>
  <si>
    <t>0.39_1.26</t>
  </si>
  <si>
    <t>14 : 701 : 225 : 14,652</t>
  </si>
  <si>
    <t>0.75_2.24</t>
  </si>
  <si>
    <t>8 : 753 : 117 : 18,842</t>
  </si>
  <si>
    <t>0.83_3.51</t>
  </si>
  <si>
    <t>8 : 753 : 255 : 18,704</t>
  </si>
  <si>
    <t>21 : 566 : 427 : 14,669</t>
  </si>
  <si>
    <t>0.82_1.99</t>
  </si>
  <si>
    <t>14 : 573 : 455 : 14,641</t>
  </si>
  <si>
    <t>0.46_1.35</t>
  </si>
  <si>
    <t>12 : 589 : 309 : 15,067</t>
  </si>
  <si>
    <t>0.55_1.78</t>
  </si>
  <si>
    <t>15 : 586 : 334 : 15,042</t>
  </si>
  <si>
    <t>28 : 587 : 447 : 15,041</t>
  </si>
  <si>
    <t>1.09_2.37</t>
  </si>
  <si>
    <t>24 : 591 : 474 : 15,014</t>
  </si>
  <si>
    <t>0.85_1.95</t>
  </si>
  <si>
    <t>8 : 542 : 216 : 13,860</t>
  </si>
  <si>
    <t>0.47_1.93</t>
  </si>
  <si>
    <t>19 : 531 : 254 : 13,822</t>
  </si>
  <si>
    <t>1.21_3.13</t>
  </si>
  <si>
    <t>29 : 742 : 844 : 18,841</t>
  </si>
  <si>
    <t>0.60_1.27</t>
  </si>
  <si>
    <t>42 : 729 : 733 : 18,952</t>
  </si>
  <si>
    <t>1.08_2.05</t>
  </si>
  <si>
    <t>21 : 354 : 424 : 11,074</t>
  </si>
  <si>
    <t>0.99_2.43</t>
  </si>
  <si>
    <t>19 : 356 : 488 : 11,010</t>
  </si>
  <si>
    <t>0.75_1.93</t>
  </si>
  <si>
    <t>52 : 323 : 1,023 : 10,475</t>
  </si>
  <si>
    <t>1.22_2.22</t>
  </si>
  <si>
    <t>24 : 351 : 942 : 10,556</t>
  </si>
  <si>
    <t>0.50_1.16</t>
  </si>
  <si>
    <t>57 : 707 : 958 : 18,650</t>
  </si>
  <si>
    <t>1.19_2.07</t>
  </si>
  <si>
    <t>34 : 730 : 906 : 18,702</t>
  </si>
  <si>
    <t>0.68_1.36</t>
  </si>
  <si>
    <t>74 : 690 : 1,056 : 18,552</t>
  </si>
  <si>
    <t>1.47_2.41</t>
  </si>
  <si>
    <t>48 : 716 : 1,116 : 18,492</t>
  </si>
  <si>
    <t>0.82_1.50</t>
  </si>
  <si>
    <t>59 : 705 : 804 : 18,805</t>
  </si>
  <si>
    <t>1.49_2.58</t>
  </si>
  <si>
    <t>44 : 720 : 943 : 18,666</t>
  </si>
  <si>
    <t>0.89_1.65</t>
  </si>
  <si>
    <t>57 : 707 : 724 : 18,884</t>
  </si>
  <si>
    <t>1.59_2.78</t>
  </si>
  <si>
    <t>35 : 729 : 900 : 18,708</t>
  </si>
  <si>
    <t>0.71_1.41</t>
  </si>
  <si>
    <t>53 : 711 : 718 : 18,892</t>
  </si>
  <si>
    <t>1.47_2.62</t>
  </si>
  <si>
    <t>34 : 730 : 809 : 18,801</t>
  </si>
  <si>
    <t>0.76_1.54</t>
  </si>
  <si>
    <t>64 : 700 : 733 : 18,876</t>
  </si>
  <si>
    <t>1.80_3.07</t>
  </si>
  <si>
    <t>36 : 728 : 803 : 18,806</t>
  </si>
  <si>
    <t>0.82_1.63</t>
  </si>
  <si>
    <t>64 : 700 : 875 : 18,735</t>
  </si>
  <si>
    <t>1.50_2.55</t>
  </si>
  <si>
    <t>42 : 722 : 981 : 18,629</t>
  </si>
  <si>
    <t>0.80_1.52</t>
  </si>
  <si>
    <t>18 : 710 : 355 : 17,548</t>
  </si>
  <si>
    <t>0.78_2.02</t>
  </si>
  <si>
    <t>7 : 721 : 215 : 17,688</t>
  </si>
  <si>
    <t>16 : 712 : 782 : 17,121</t>
  </si>
  <si>
    <t>0.30_0.81</t>
  </si>
  <si>
    <t>42 : 686 : 773 : 17,130</t>
  </si>
  <si>
    <t>0.99_1.87</t>
  </si>
  <si>
    <t>41 : 687 : 796 : 17,107</t>
  </si>
  <si>
    <t>0.93_1.77</t>
  </si>
  <si>
    <t>14 : 714 : 726 : 17,177</t>
  </si>
  <si>
    <t>4 : 760 : 204 : 19,406</t>
  </si>
  <si>
    <t>0.19_1.35</t>
  </si>
  <si>
    <t>5 : 759 : 229 : 19,381</t>
  </si>
  <si>
    <t>0.23_1.36</t>
  </si>
  <si>
    <t>5 : 746 : 194 : 18,438</t>
  </si>
  <si>
    <t>0.26_1.55</t>
  </si>
  <si>
    <t>8 : 743 : 155 : 18,477</t>
  </si>
  <si>
    <t>113 : 651 : 3,485 : 16,125</t>
  </si>
  <si>
    <t>0.66_0.98</t>
  </si>
  <si>
    <t>174 : 590 : 3,134 : 16,476</t>
  </si>
  <si>
    <t>1.30_1.84</t>
  </si>
  <si>
    <t>7 : 785 : 451 : 23,916</t>
  </si>
  <si>
    <t>0.22_1.00</t>
  </si>
  <si>
    <t>15 : 777 : 403 : 23,964</t>
  </si>
  <si>
    <t>0.68_1.93</t>
  </si>
  <si>
    <t>15 : 777 : 431 : 23,936</t>
  </si>
  <si>
    <t>0.64_1.80</t>
  </si>
  <si>
    <t>15 : 777 : 393 : 23,974</t>
  </si>
  <si>
    <t>0.70_1.98</t>
  </si>
  <si>
    <t>2 : 474 : 87 : 11,408</t>
  </si>
  <si>
    <t>0.14_2.25</t>
  </si>
  <si>
    <t>4 : 472 : 77 : 11,418</t>
  </si>
  <si>
    <t>0.46_3.45</t>
  </si>
  <si>
    <t>1 : 469 : 45 : 11,424</t>
  </si>
  <si>
    <t>0.07_3.94</t>
  </si>
  <si>
    <t>1 : 469 : 43 : 11,426</t>
  </si>
  <si>
    <t>0.08_4.12</t>
  </si>
  <si>
    <t>3 : 462 : 102 : 11,331</t>
  </si>
  <si>
    <t>0.23_2.28</t>
  </si>
  <si>
    <t>5 : 460 : 106 : 11,327</t>
  </si>
  <si>
    <t>0.47_2.86</t>
  </si>
  <si>
    <t>13 : 751 : 301 : 19,309</t>
  </si>
  <si>
    <t>3 : 761 : 320 : 19,290</t>
  </si>
  <si>
    <t>0.08_0.74</t>
  </si>
  <si>
    <t>18 : 746 : 393 : 19,217</t>
  </si>
  <si>
    <t>23 : 741 : 503 : 19,107</t>
  </si>
  <si>
    <t>0.77_1.80</t>
  </si>
  <si>
    <t>60 : 711 : 1,507 : 18,178</t>
  </si>
  <si>
    <t>0.78_1.33</t>
  </si>
  <si>
    <t>60 : 711 : 1,520 : 18,165</t>
  </si>
  <si>
    <t>0.77_1.32</t>
  </si>
  <si>
    <t>35 : 736 : 1,147 : 18,538</t>
  </si>
  <si>
    <t>0.54_1.08</t>
  </si>
  <si>
    <t>33 : 738 : 814 : 18,871</t>
  </si>
  <si>
    <t>0.73_1.48</t>
  </si>
  <si>
    <t>21 : 487 : 551 : 12,034</t>
  </si>
  <si>
    <t>0.60_1.47</t>
  </si>
  <si>
    <t>24 : 484 : 466 : 12,119</t>
  </si>
  <si>
    <t>0.85_1.96</t>
  </si>
  <si>
    <t>17 : 491 : 299 : 12,286</t>
  </si>
  <si>
    <t>24 : 484 : 328 : 12,257</t>
  </si>
  <si>
    <t>1.21_2.83</t>
  </si>
  <si>
    <t>20 : 488 : 336 : 12,249</t>
  </si>
  <si>
    <t>0.94_2.37</t>
  </si>
  <si>
    <t>17 : 491 : 370 : 12,215</t>
  </si>
  <si>
    <t>0.70_1.87</t>
  </si>
  <si>
    <t>11 : 497 : 312 : 12,273</t>
  </si>
  <si>
    <t>22 : 486 : 308 : 12,277</t>
  </si>
  <si>
    <t>1.16_2.81</t>
  </si>
  <si>
    <t>14 : 745 : 389 : 23,379</t>
  </si>
  <si>
    <t>0.66_1.93</t>
  </si>
  <si>
    <t>10 : 749 : 318 : 23,450</t>
  </si>
  <si>
    <t>4 : 767 : 152 : 19,532</t>
  </si>
  <si>
    <t>0.25_1.81</t>
  </si>
  <si>
    <t>4 : 767 : 117 : 19,567</t>
  </si>
  <si>
    <t>0.32_2.37</t>
  </si>
  <si>
    <t>13 : 758 : 289 : 19,396</t>
  </si>
  <si>
    <t>0.66_2.02</t>
  </si>
  <si>
    <t>15 : 756 : 256 : 19,429</t>
  </si>
  <si>
    <t>0.89_2.55</t>
  </si>
  <si>
    <t>2 : 768 : 94 : 19,299</t>
  </si>
  <si>
    <t>0.13_2.17</t>
  </si>
  <si>
    <t>6 : 764 : 72 : 19,321</t>
  </si>
  <si>
    <t>0.91_4.86</t>
  </si>
  <si>
    <t>2 : 768 : 48 : 19,345</t>
  </si>
  <si>
    <t>0.25_4.33</t>
  </si>
  <si>
    <t>2 : 768 : 31 : 19,362</t>
  </si>
  <si>
    <t>0.39_6.81</t>
  </si>
  <si>
    <t>15 : 745 : 208 : 19,379</t>
  </si>
  <si>
    <t>1.11_3.18</t>
  </si>
  <si>
    <t>6 : 754 : 151 : 19,436</t>
  </si>
  <si>
    <t>0.45_2.32</t>
  </si>
  <si>
    <t>9 : 509 : 237 : 12,303</t>
  </si>
  <si>
    <t>0.47_1.80</t>
  </si>
  <si>
    <t>7 : 511 : 170 : 12,370</t>
  </si>
  <si>
    <t>0.47_2.13</t>
  </si>
  <si>
    <t>53 : 711 : 993 : 18,617</t>
  </si>
  <si>
    <t>1.05_1.86</t>
  </si>
  <si>
    <t>44 : 720 : 1,156 : 18,454</t>
  </si>
  <si>
    <t>0.72_1.33</t>
  </si>
  <si>
    <t>86 : 678 : 1,331 : 18,279</t>
  </si>
  <si>
    <t>1.38_2.19</t>
  </si>
  <si>
    <t>45 : 719 : 1,658 : 17,952</t>
  </si>
  <si>
    <t>0.50_0.92</t>
  </si>
  <si>
    <t>15 : 774 : 248 : 24,075</t>
  </si>
  <si>
    <t>9 : 780 : 221 : 24,102</t>
  </si>
  <si>
    <t>0.64_2.46</t>
  </si>
  <si>
    <t>16 : 776 : 220 : 24,095</t>
  </si>
  <si>
    <t>1.35_3.77</t>
  </si>
  <si>
    <t>3 : 789 : 215 : 24,100</t>
  </si>
  <si>
    <t>0.14_1.33</t>
  </si>
  <si>
    <t>12 : 780 : 321 : 24,044</t>
  </si>
  <si>
    <t>16 : 776 : 315 : 24,050</t>
  </si>
  <si>
    <t>44 : 748 : 1,049 : 23,318</t>
  </si>
  <si>
    <t>0.96_1.78</t>
  </si>
  <si>
    <t>48 : 744 : 1,332 : 23,035</t>
  </si>
  <si>
    <t>0.83_1.50</t>
  </si>
  <si>
    <t>15 : 777 : 301 : 24,066</t>
  </si>
  <si>
    <t>0.91_2.61</t>
  </si>
  <si>
    <t>9 : 783 : 293 : 24,074</t>
  </si>
  <si>
    <t>18 : 746 : 258 : 19,325</t>
  </si>
  <si>
    <t>1.11_2.93</t>
  </si>
  <si>
    <t>9 : 755 : 188 : 19,395</t>
  </si>
  <si>
    <t>53 : 308 : 2,273 : 14,749</t>
  </si>
  <si>
    <t>60 : 301 : 1,988 : 15,034</t>
  </si>
  <si>
    <t>1.14_2.00</t>
  </si>
  <si>
    <t>21 : 707 : 397 : 17,506</t>
  </si>
  <si>
    <t>0.84_2.04</t>
  </si>
  <si>
    <t>12 : 716 : 354 : 17,549</t>
  </si>
  <si>
    <t>0.47_1.48</t>
  </si>
  <si>
    <t>38 : 754 : 861 : 23,506</t>
  </si>
  <si>
    <t>0.99_1.92</t>
  </si>
  <si>
    <t>36 : 756 : 927 : 23,440</t>
  </si>
  <si>
    <t>0.86_1.69</t>
  </si>
  <si>
    <t>5 : 741 : 258 : 24,436</t>
  </si>
  <si>
    <t>9 : 737 : 215 : 24,479</t>
  </si>
  <si>
    <t>3 : 743 : 174 : 24,520</t>
  </si>
  <si>
    <t>4 : 742 : 128 : 24,566</t>
  </si>
  <si>
    <t>0.38_2.81</t>
  </si>
  <si>
    <t>10 : 736 : 292 : 24,402</t>
  </si>
  <si>
    <t>0.60_2.14</t>
  </si>
  <si>
    <t>8 : 738 : 256 : 24,438</t>
  </si>
  <si>
    <t>12 : 734 : 279 : 24,415</t>
  </si>
  <si>
    <t>0.80_2.56</t>
  </si>
  <si>
    <t>4 : 742 : 200 : 24,494</t>
  </si>
  <si>
    <t>0.24_1.78</t>
  </si>
  <si>
    <t>7 : 739 : 224 : 24,470</t>
  </si>
  <si>
    <t>0.49_2.20</t>
  </si>
  <si>
    <t>3 : 743 : 248 : 24,446</t>
  </si>
  <si>
    <t>0.13_1.25</t>
  </si>
  <si>
    <t>8 : 738 : 260 : 24,434</t>
  </si>
  <si>
    <t>0.50_2.07</t>
  </si>
  <si>
    <t>9 : 737 : 202 : 24,492</t>
  </si>
  <si>
    <t>0.76_2.90</t>
  </si>
  <si>
    <t>29 : 717 : 613 : 24,081</t>
  </si>
  <si>
    <t>1.09_2.32</t>
  </si>
  <si>
    <t>25 : 721 : 610 : 24,084</t>
  </si>
  <si>
    <t>0.91_2.06</t>
  </si>
  <si>
    <t>52 : 712 : 1,406 : 18,204</t>
  </si>
  <si>
    <t>0.71_1.26</t>
  </si>
  <si>
    <t>43 : 721 : 1,405 : 18,205</t>
  </si>
  <si>
    <t>0.57_1.06</t>
  </si>
  <si>
    <t>47 : 717 : 945 : 18,665</t>
  </si>
  <si>
    <t>0.96_1.75</t>
  </si>
  <si>
    <t>62 : 702 : 1,392 : 18,218</t>
  </si>
  <si>
    <t>0.89_1.51</t>
  </si>
  <si>
    <t>34 : 737 : 875 : 18,810</t>
  </si>
  <si>
    <t>0.70_1.41</t>
  </si>
  <si>
    <t>48 : 723 : 655 : 19,030</t>
  </si>
  <si>
    <t>1.43_2.61</t>
  </si>
  <si>
    <t>35 : 736 : 956 : 18,729</t>
  </si>
  <si>
    <t>0.66_1.32</t>
  </si>
  <si>
    <t>44 : 727 : 770 : 18,915</t>
  </si>
  <si>
    <t>1.09_2.03</t>
  </si>
  <si>
    <t>191 : 538 : 4,922 : 36,517</t>
  </si>
  <si>
    <t>2.23_3.11</t>
  </si>
  <si>
    <t>122 : 607 : 6,314 : 35,125</t>
  </si>
  <si>
    <t>0.92_1.36</t>
  </si>
  <si>
    <t>164 : 625 : 2,876 : 22,811</t>
  </si>
  <si>
    <t>1.74_2.48</t>
  </si>
  <si>
    <t>88 : 701 : 3,123 : 22,564</t>
  </si>
  <si>
    <t>0.72_1.14</t>
  </si>
  <si>
    <t>8 : 784 : 150 : 24,183</t>
  </si>
  <si>
    <t>0.80_3.36</t>
  </si>
  <si>
    <t>7 : 785 : 159 : 24,174</t>
  </si>
  <si>
    <t>0.63_2.90</t>
  </si>
  <si>
    <t>2 : 790 : 222 : 24,111</t>
  </si>
  <si>
    <t>0.07_1.11</t>
  </si>
  <si>
    <t>18 : 774 : 280 : 24,053</t>
  </si>
  <si>
    <t>1.23_3.23</t>
  </si>
  <si>
    <t>4 : 788 : 120 : 24,247</t>
  </si>
  <si>
    <t>3 : 789 : 108 : 24,259</t>
  </si>
  <si>
    <t>0.27_2.70</t>
  </si>
  <si>
    <t>4 : 788 : 177 : 24,190</t>
  </si>
  <si>
    <t>0.26_1.87</t>
  </si>
  <si>
    <t>8 : 784 : 195 : 24,172</t>
  </si>
  <si>
    <t>0.62_2.57</t>
  </si>
  <si>
    <t>8 : 372 : 76 : 14,518</t>
  </si>
  <si>
    <t>1.97_8.57</t>
  </si>
  <si>
    <t>0 : 380 : 39 : 14,555</t>
  </si>
  <si>
    <t>13 : 750 : 227 : 19,357</t>
  </si>
  <si>
    <t>0.84_2.60</t>
  </si>
  <si>
    <t>24 : 739 : 331 : 19,253</t>
  </si>
  <si>
    <t>1.24_2.88</t>
  </si>
  <si>
    <t>15 : 749 : 185 : 19,405</t>
  </si>
  <si>
    <t>1.23_3.57</t>
  </si>
  <si>
    <t>13 : 751 : 234 : 19,356</t>
  </si>
  <si>
    <t>0.82_2.51</t>
  </si>
  <si>
    <t>13 : 748 : 408 : 18,580</t>
  </si>
  <si>
    <t>0.45_1.38</t>
  </si>
  <si>
    <t>4 : 757 : 482 : 18,506</t>
  </si>
  <si>
    <t>0.08_0.54</t>
  </si>
  <si>
    <t>18 : 743 : 541 : 18,447</t>
  </si>
  <si>
    <t>0.51_1.33</t>
  </si>
  <si>
    <t>13 : 748 : 458 : 18,530</t>
  </si>
  <si>
    <t>0.40_1.23</t>
  </si>
  <si>
    <t>35 : 726 : 525 : 18,463</t>
  </si>
  <si>
    <t>1.19_2.41</t>
  </si>
  <si>
    <t>11 : 750 : 489 : 18,499</t>
  </si>
  <si>
    <t>0.30_1.01</t>
  </si>
  <si>
    <t>50 : 711 : 1,365 : 17,623</t>
  </si>
  <si>
    <t>0.68_1.22</t>
  </si>
  <si>
    <t>38 : 723 : 1,285 : 17,703</t>
  </si>
  <si>
    <t>0.52_1.01</t>
  </si>
  <si>
    <t>48 : 698 : 1,069 : 23,625</t>
  </si>
  <si>
    <t>1.13_2.05</t>
  </si>
  <si>
    <t>53 : 693 : 1,205 : 23,489</t>
  </si>
  <si>
    <t>1.12_1.98</t>
  </si>
  <si>
    <t>31 : 733 : 911 : 18,699</t>
  </si>
  <si>
    <t>0.60_1.25</t>
  </si>
  <si>
    <t>31 : 733 : 589 : 19,021</t>
  </si>
  <si>
    <t>0.94_1.97</t>
  </si>
  <si>
    <t>37 : 727 : 786 : 18,824</t>
  </si>
  <si>
    <t>0.87_1.71</t>
  </si>
  <si>
    <t>16 : 748 : 234 : 19,376</t>
  </si>
  <si>
    <t>1.06_2.95</t>
  </si>
  <si>
    <t>11 : 371 : 322 : 9,415</t>
  </si>
  <si>
    <t>8 : 374 : 253 : 9,484</t>
  </si>
  <si>
    <t>0.39_1.63</t>
  </si>
  <si>
    <t>5 : 423 : 49 : 10,320</t>
  </si>
  <si>
    <t>0.99_6.28</t>
  </si>
  <si>
    <t>0 : 428 : 51 : 10,318</t>
  </si>
  <si>
    <t>0 : 401 : 55 : 9,688</t>
  </si>
  <si>
    <t>0 : 401 : 67 : 9,676</t>
  </si>
  <si>
    <t>11 : 361 : 279 : 9,310</t>
  </si>
  <si>
    <t>18 : 354 : 306 : 9,283</t>
  </si>
  <si>
    <t>0.95_2.51</t>
  </si>
  <si>
    <t>17 : 352 : 452 : 9,248</t>
  </si>
  <si>
    <t>0.60_1.62</t>
  </si>
  <si>
    <t>14 : 355 : 435 : 9,265</t>
  </si>
  <si>
    <t>0.49_1.45</t>
  </si>
  <si>
    <t>0 : 408 : 82 : 9,658</t>
  </si>
  <si>
    <t>2 : 406 : 81 : 9,659</t>
  </si>
  <si>
    <t>0.14_2.40</t>
  </si>
  <si>
    <t>3 : 432 : 81 : 10,525</t>
  </si>
  <si>
    <t>0.28_2.87</t>
  </si>
  <si>
    <t>0 : 435 : 82 : 10,524</t>
  </si>
  <si>
    <t>16 : 346 : 344 : 9,233</t>
  </si>
  <si>
    <t>0.74_2.07</t>
  </si>
  <si>
    <t>12 : 350 : 317 : 9,260</t>
  </si>
  <si>
    <t>0.56_1.80</t>
  </si>
  <si>
    <t>23 : 723 : 739 : 23,953</t>
  </si>
  <si>
    <t>0.68_1.57</t>
  </si>
  <si>
    <t>19 : 727 : 560 : 24,132</t>
  </si>
  <si>
    <t>0.71_1.79</t>
  </si>
  <si>
    <t>32 : 714 : 992 : 23,700</t>
  </si>
  <si>
    <t>0.75_1.53</t>
  </si>
  <si>
    <t>40 : 706 : 1,017 : 23,675</t>
  </si>
  <si>
    <t>0.95_1.82</t>
  </si>
  <si>
    <t>17 : 777 : 371 : 30,164</t>
  </si>
  <si>
    <t>1.09_2.91</t>
  </si>
  <si>
    <t>10 : 784 : 335 : 30,200</t>
  </si>
  <si>
    <t>0.61_2.17</t>
  </si>
  <si>
    <t>6 : 765 : 257 : 19,428</t>
  </si>
  <si>
    <t>0.26_1.34</t>
  </si>
  <si>
    <t>10 : 761 : 266 : 19,419</t>
  </si>
  <si>
    <t>0.51_1.81</t>
  </si>
  <si>
    <t>25 : 769 : 819 : 29,721</t>
  </si>
  <si>
    <t>0.79_1.77</t>
  </si>
  <si>
    <t>27 : 767 : 812 : 29,728</t>
  </si>
  <si>
    <t>0.87_1.90</t>
  </si>
  <si>
    <t>18 : 776 : 803 : 29,737</t>
  </si>
  <si>
    <t>31 : 763 : 834 : 29,706</t>
  </si>
  <si>
    <t>1.00_2.09</t>
  </si>
  <si>
    <t>9 : 755 : 189 : 19,421</t>
  </si>
  <si>
    <t>0.63_2.40</t>
  </si>
  <si>
    <t>9 : 755 : 231 : 19,379</t>
  </si>
  <si>
    <t>0.51_1.95</t>
  </si>
  <si>
    <t>6 : 758 : 211 : 19,399</t>
  </si>
  <si>
    <t>0.32_1.64</t>
  </si>
  <si>
    <t>12 : 752 : 456 : 19,154</t>
  </si>
  <si>
    <t>0.38_1.19</t>
  </si>
  <si>
    <t>1 : 770 : 105 : 19,580</t>
  </si>
  <si>
    <t>0.03_1.74</t>
  </si>
  <si>
    <t>3 : 768 : 28 : 19,657</t>
  </si>
  <si>
    <t>0.83_9.04</t>
  </si>
  <si>
    <t>10 : 754 : 186 : 19,424</t>
  </si>
  <si>
    <t>0.73_2.63</t>
  </si>
  <si>
    <t>8 : 756 : 219 : 19,391</t>
  </si>
  <si>
    <t>0.46_1.90</t>
  </si>
  <si>
    <t>7 : 407 : 102 : 10,172</t>
  </si>
  <si>
    <t>0.79_3.71</t>
  </si>
  <si>
    <t>1 : 413 : 107 : 10,167</t>
  </si>
  <si>
    <t>8 : 756 : 193 : 19,395</t>
  </si>
  <si>
    <t>9 : 755 : 230 : 19,358</t>
  </si>
  <si>
    <t>28 : 764 : 573 : 23,794</t>
  </si>
  <si>
    <t>1.03_2.24</t>
  </si>
  <si>
    <t>20 : 772 : 591 : 23,776</t>
  </si>
  <si>
    <t>0.66_1.64</t>
  </si>
  <si>
    <t>32 : 760 : 685 : 23,682</t>
  </si>
  <si>
    <t>1.01_2.09</t>
  </si>
  <si>
    <t>24 : 768 : 640 : 23,727</t>
  </si>
  <si>
    <t>0.77_1.75</t>
  </si>
  <si>
    <t>11 : 760 : 269 : 19,416</t>
  </si>
  <si>
    <t>0.57_1.92</t>
  </si>
  <si>
    <t>12 : 759 : 174 : 19,511</t>
  </si>
  <si>
    <t>0.98_3.20</t>
  </si>
  <si>
    <t>7 : 764 : 167 : 19,518</t>
  </si>
  <si>
    <t>0.50_2.29</t>
  </si>
  <si>
    <t>4 : 767 : 178 : 19,507</t>
  </si>
  <si>
    <t>0.21_1.54</t>
  </si>
  <si>
    <t>9 : 762 : 224 : 19,461</t>
  </si>
  <si>
    <t>0.52_2.01</t>
  </si>
  <si>
    <t>6 : 765 : 247 : 19,438</t>
  </si>
  <si>
    <t>0.27_1.39</t>
  </si>
  <si>
    <t>8 : 763 : 211 : 19,474</t>
  </si>
  <si>
    <t>0.48_1.97</t>
  </si>
  <si>
    <t>16 : 755 : 350 : 19,335</t>
  </si>
  <si>
    <t>0.71_1.94</t>
  </si>
  <si>
    <t>25 : 739 : 468 : 19,142</t>
  </si>
  <si>
    <t>20 : 744 : 480 : 19,130</t>
  </si>
  <si>
    <t>11 : 753 : 334 : 19,276</t>
  </si>
  <si>
    <t>31 : 733 : 400 : 19,210</t>
  </si>
  <si>
    <t>1.40_2.95</t>
  </si>
  <si>
    <t>7 : 511 : 138 : 12,402</t>
  </si>
  <si>
    <t>0.57_2.64</t>
  </si>
  <si>
    <t>8 : 510 : 146 : 12,394</t>
  </si>
  <si>
    <t>0.65_2.73</t>
  </si>
  <si>
    <t>13 : 505 : 155 : 12,385</t>
  </si>
  <si>
    <t>1.16_3.65</t>
  </si>
  <si>
    <t>10 : 508 : 171 : 12,369</t>
  </si>
  <si>
    <t>0.75_2.71</t>
  </si>
  <si>
    <t>5 : 513 : 148 : 12,392</t>
  </si>
  <si>
    <t>3 : 515 : 112 : 12,428</t>
  </si>
  <si>
    <t>0.20_2.04</t>
  </si>
  <si>
    <t>7 : 511 : 114 : 12,426</t>
  </si>
  <si>
    <t>0.69_3.22</t>
  </si>
  <si>
    <t>6 : 512 : 125 : 12,415</t>
  </si>
  <si>
    <t>0.51_2.65</t>
  </si>
  <si>
    <t>9 : 762 : 153 : 19,532</t>
  </si>
  <si>
    <t>0.77_2.96</t>
  </si>
  <si>
    <t>5 : 766 : 198 : 19,487</t>
  </si>
  <si>
    <t>0.26_1.57</t>
  </si>
  <si>
    <t>5 : 766 : 143 : 19,542</t>
  </si>
  <si>
    <t>0.36_2.18</t>
  </si>
  <si>
    <t>12 : 759 : 153 : 19,532</t>
  </si>
  <si>
    <t>1.12_3.65</t>
  </si>
  <si>
    <t>11 : 753 : 358 : 19,252</t>
  </si>
  <si>
    <t>0.43_1.44</t>
  </si>
  <si>
    <t>20 : 744 : 332 : 19,278</t>
  </si>
  <si>
    <t>0.99_2.47</t>
  </si>
  <si>
    <t>11 : 760 : 192 : 19,493</t>
  </si>
  <si>
    <t>0.80_2.71</t>
  </si>
  <si>
    <t>12 : 759 : 204 : 19,481</t>
  </si>
  <si>
    <t>0.84_2.71</t>
  </si>
  <si>
    <t>4 : 514 : 292 : 12,248</t>
  </si>
  <si>
    <t>0.12_0.88</t>
  </si>
  <si>
    <t>6 : 512 : 156 : 12,384</t>
  </si>
  <si>
    <t>0.41_2.11</t>
  </si>
  <si>
    <t>14 : 654 : 149 : 16,495</t>
  </si>
  <si>
    <t>1.36_4.12</t>
  </si>
  <si>
    <t>3 : 665 : 190 : 16,454</t>
  </si>
  <si>
    <t>0.12_1.23</t>
  </si>
  <si>
    <t>173 : 591 : 4,076 : 15,534</t>
  </si>
  <si>
    <t>0.94_1.33</t>
  </si>
  <si>
    <t>191 : 573 : 3,478 : 16,132</t>
  </si>
  <si>
    <t>1.31_1.83</t>
  </si>
  <si>
    <t>43 : 719 : 896 : 22,890</t>
  </si>
  <si>
    <t>1.12_2.09</t>
  </si>
  <si>
    <t>34 : 728 : 940 : 22,846</t>
  </si>
  <si>
    <t>0.80_1.61</t>
  </si>
  <si>
    <t>21 : 741 : 571 : 23,215</t>
  </si>
  <si>
    <t>0.74_1.79</t>
  </si>
  <si>
    <t>22 : 740 : 559 : 23,227</t>
  </si>
  <si>
    <t>11 : 677 : 257 : 15,242</t>
  </si>
  <si>
    <t>0.52_1.77</t>
  </si>
  <si>
    <t>15 : 673 : 187 : 15,312</t>
  </si>
  <si>
    <t>1.07_3.11</t>
  </si>
  <si>
    <t>1 : 770 : 43 : 19,642</t>
  </si>
  <si>
    <t>0.08_4.31</t>
  </si>
  <si>
    <t>0 : 771 : 35 : 19,650</t>
  </si>
  <si>
    <t>2 : 769 : 78 : 19,607</t>
  </si>
  <si>
    <t>0.16_2.67</t>
  </si>
  <si>
    <t>4 : 767 : 91 : 19,594</t>
  </si>
  <si>
    <t>0.41_3.06</t>
  </si>
  <si>
    <t>1 : 770 : 44 : 19,641</t>
  </si>
  <si>
    <t>0.08_4.21</t>
  </si>
  <si>
    <t>1 : 770 : 36 : 19,649</t>
  </si>
  <si>
    <t>0.10_5.18</t>
  </si>
  <si>
    <t>2 : 769 : 75 : 19,610</t>
  </si>
  <si>
    <t>0.17_2.77</t>
  </si>
  <si>
    <t>0 : 771 : 46 : 19,639</t>
  </si>
  <si>
    <t>46 : 718 : 1,141 : 18,469</t>
  </si>
  <si>
    <t>0.77_1.41</t>
  </si>
  <si>
    <t>59 : 705 : 1,311 : 18,299</t>
  </si>
  <si>
    <t>0.89_1.53</t>
  </si>
  <si>
    <t>48 : 716 : 1,075 : 18,535</t>
  </si>
  <si>
    <t>0.86_1.56</t>
  </si>
  <si>
    <t>71 : 693 : 1,136 : 18,474</t>
  </si>
  <si>
    <t>1.30_2.14</t>
  </si>
  <si>
    <t>49 : 715 : 1,848 : 17,762</t>
  </si>
  <si>
    <t>0.49_0.88</t>
  </si>
  <si>
    <t>70 : 694 : 1,119 : 18,491</t>
  </si>
  <si>
    <t>1.29_2.15</t>
  </si>
  <si>
    <t>35 : 729 : 751 : 18,859</t>
  </si>
  <si>
    <t>0.85_1.71</t>
  </si>
  <si>
    <t>38 : 726 : 615 : 18,995</t>
  </si>
  <si>
    <t>1.16_2.26</t>
  </si>
  <si>
    <t>2 : 792 : 225 : 30,315</t>
  </si>
  <si>
    <t>5 : 789 : 229 : 30,311</t>
  </si>
  <si>
    <t>0.34_2.04</t>
  </si>
  <si>
    <t>7 : 787 : 207 : 30,333</t>
  </si>
  <si>
    <t>2 : 792 : 217 : 30,323</t>
  </si>
  <si>
    <t>119 : 645 : 2,980 : 16,630</t>
  </si>
  <si>
    <t>0.84_1.26</t>
  </si>
  <si>
    <t>93 : 671 : 2,128 : 17,482</t>
  </si>
  <si>
    <t>0.91_1.42</t>
  </si>
  <si>
    <t>161 : 603 : 4,618 : 14,992</t>
  </si>
  <si>
    <t>0.73_1.03</t>
  </si>
  <si>
    <t>174 : 590 : 3,440 : 16,170</t>
  </si>
  <si>
    <t>1.17_1.65</t>
  </si>
  <si>
    <t>43 : 721 : 634 : 18,976</t>
  </si>
  <si>
    <t>1.30_2.45</t>
  </si>
  <si>
    <t>46 : 718 : 1,120 : 18,490</t>
  </si>
  <si>
    <t>0.78_1.43</t>
  </si>
  <si>
    <t>53 : 711 : 1,348 : 18,262</t>
  </si>
  <si>
    <t>0.76_1.34</t>
  </si>
  <si>
    <t>59 : 705 : 1,520 : 18,090</t>
  </si>
  <si>
    <t>0.76_1.31</t>
  </si>
  <si>
    <t>75 : 689 : 2,251 : 17,359</t>
  </si>
  <si>
    <t>0.66_1.07</t>
  </si>
  <si>
    <t>159 : 605 : 3,349 : 16,261</t>
  </si>
  <si>
    <t>1.07_1.53</t>
  </si>
  <si>
    <t>35 : 729 : 532 : 19,078</t>
  </si>
  <si>
    <t>1.21_2.44</t>
  </si>
  <si>
    <t>23 : 741 : 556 : 19,054</t>
  </si>
  <si>
    <t>23 : 741 : 399 : 19,211</t>
  </si>
  <si>
    <t>0.98_2.29</t>
  </si>
  <si>
    <t>22 : 742 : 396 : 19,214</t>
  </si>
  <si>
    <t>0.93_2.22</t>
  </si>
  <si>
    <t>16 : 748 : 521 : 19,089</t>
  </si>
  <si>
    <t>0.47_1.30</t>
  </si>
  <si>
    <t>25 : 739 : 623 : 18,987</t>
  </si>
  <si>
    <t>0.69_1.55</t>
  </si>
  <si>
    <t>4 : 790 : 226 : 30,313</t>
  </si>
  <si>
    <t>0.25_1.83</t>
  </si>
  <si>
    <t>12 : 782 : 287 : 30,252</t>
  </si>
  <si>
    <t>0.90_2.89</t>
  </si>
  <si>
    <t>31 : 763 : 995 : 29,545</t>
  </si>
  <si>
    <t>0.84_1.74</t>
  </si>
  <si>
    <t>9 : 785 : 733 : 29,807</t>
  </si>
  <si>
    <t>8 : 756 : 193 : 19,415</t>
  </si>
  <si>
    <t>0.52_2.17</t>
  </si>
  <si>
    <t>9 : 755 : 237 : 19,371</t>
  </si>
  <si>
    <t>0.50_1.90</t>
  </si>
  <si>
    <t>11 : 752 : 175 : 19,432</t>
  </si>
  <si>
    <t>0.88_3.00</t>
  </si>
  <si>
    <t>7 : 756 : 193 : 19,414</t>
  </si>
  <si>
    <t>0.44_1.99</t>
  </si>
  <si>
    <t>6 : 758 : 224 : 19,386</t>
  </si>
  <si>
    <t>0.30_1.55</t>
  </si>
  <si>
    <t>8 : 756 : 136 : 19,474</t>
  </si>
  <si>
    <t>0.74_3.10</t>
  </si>
  <si>
    <t>12 : 752 : 222 : 19,388</t>
  </si>
  <si>
    <t>0.78_2.50</t>
  </si>
  <si>
    <t>8 : 756 : 108 : 19,502</t>
  </si>
  <si>
    <t>0.93_3.93</t>
  </si>
  <si>
    <t>14 : 750 : 253 : 19,357</t>
  </si>
  <si>
    <t>5 : 759 : 171 : 19,439</t>
  </si>
  <si>
    <t>0.31_1.83</t>
  </si>
  <si>
    <t>12 : 782 : 383 : 30,157</t>
  </si>
  <si>
    <t>0.68_2.16</t>
  </si>
  <si>
    <t>11 : 783 : 413 : 30,127</t>
  </si>
  <si>
    <t>0.56_1.87</t>
  </si>
  <si>
    <t>13 : 781 : 274 : 30,266</t>
  </si>
  <si>
    <t>1.05_3.22</t>
  </si>
  <si>
    <t>8 : 786 : 292 : 30,248</t>
  </si>
  <si>
    <t>0.52_2.14</t>
  </si>
  <si>
    <t>28 : 736 : 823 : 18,787</t>
  </si>
  <si>
    <t>0.59_1.27</t>
  </si>
  <si>
    <t>42 : 722 : 830 : 18,780</t>
  </si>
  <si>
    <t>0.96_1.81</t>
  </si>
  <si>
    <t>31 : 733 : 943 : 18,667</t>
  </si>
  <si>
    <t>0.58_1.21</t>
  </si>
  <si>
    <t>59 : 705 : 1,005 : 18,605</t>
  </si>
  <si>
    <t>1.18_2.04</t>
  </si>
  <si>
    <t>18 : 746 : 746 : 18,864</t>
  </si>
  <si>
    <t>53 : 711 : 1,043 : 18,567</t>
  </si>
  <si>
    <t>1.00_1.77</t>
  </si>
  <si>
    <t>3 : 736 : 73 : 16,913</t>
  </si>
  <si>
    <t>0.30_3.00</t>
  </si>
  <si>
    <t>2 : 737 : 103 : 16,883</t>
  </si>
  <si>
    <t>0.11_1.81</t>
  </si>
  <si>
    <t>5 : 734 : 196 : 16,790</t>
  </si>
  <si>
    <t>0.24_1.42</t>
  </si>
  <si>
    <t>6 : 733 : 112 : 16,874</t>
  </si>
  <si>
    <t>0.54_2.81</t>
  </si>
  <si>
    <t>6 : 733 : 162 : 16,824</t>
  </si>
  <si>
    <t>0.38_1.93</t>
  </si>
  <si>
    <t>13 : 726 : 178 : 16,808</t>
  </si>
  <si>
    <t>0.96_2.98</t>
  </si>
  <si>
    <t>49 : 690 : 653 : 16,333</t>
  </si>
  <si>
    <t>1.32_2.40</t>
  </si>
  <si>
    <t>33 : 706 : 792 : 16,194</t>
  </si>
  <si>
    <t>0.67_1.36</t>
  </si>
  <si>
    <t>2 : 737 : 98 : 16,888</t>
  </si>
  <si>
    <t>6 : 733 : 59 : 16,927</t>
  </si>
  <si>
    <t>1.01_5.46</t>
  </si>
  <si>
    <t>4 : 735 : 153 : 16,833</t>
  </si>
  <si>
    <t>4 : 735 : 136 : 16,850</t>
  </si>
  <si>
    <t>4 : 735 : 220 : 16,766</t>
  </si>
  <si>
    <t>9 : 730 : 293 : 16,693</t>
  </si>
  <si>
    <t>5 : 734 : 69 : 16,917</t>
  </si>
  <si>
    <t>0.67_4.15</t>
  </si>
  <si>
    <t>3 : 736 : 213 : 16,773</t>
  </si>
  <si>
    <t>0.10_1.01</t>
  </si>
  <si>
    <t>3 : 736 : 39 : 16,947</t>
  </si>
  <si>
    <t>0.55_5.74</t>
  </si>
  <si>
    <t>3 : 736 : 60 : 16,926</t>
  </si>
  <si>
    <t>0.36_3.67</t>
  </si>
  <si>
    <t>7 : 732 : 114 : 16,872</t>
  </si>
  <si>
    <t>0.66_3.05</t>
  </si>
  <si>
    <t>1 : 738 : 109 : 16,877</t>
  </si>
  <si>
    <t>0.03_1.50</t>
  </si>
  <si>
    <t>40 : 699 : 740 : 16,246</t>
  </si>
  <si>
    <t>0.91_1.74</t>
  </si>
  <si>
    <t>13 : 726 : 537 : 16,449</t>
  </si>
  <si>
    <t>0.31_0.96</t>
  </si>
  <si>
    <t>9 : 730 : 118 : 16,868</t>
  </si>
  <si>
    <t>0.89_3.49</t>
  </si>
  <si>
    <t>4 : 735 : 116 : 16,870</t>
  </si>
  <si>
    <t>20 : 719 : 461 : 16,525</t>
  </si>
  <si>
    <t>0.63_1.57</t>
  </si>
  <si>
    <t>28 : 711 : 610 : 16,376</t>
  </si>
  <si>
    <t>0.72_1.56</t>
  </si>
  <si>
    <t>47 : 692 : 1,048 : 15,938</t>
  </si>
  <si>
    <t>0.76_1.40</t>
  </si>
  <si>
    <t>56 : 683 : 1,089 : 15,897</t>
  </si>
  <si>
    <t>0.91_1.58</t>
  </si>
  <si>
    <t>36 : 725 : 686 : 18,302</t>
  </si>
  <si>
    <t>0.94_1.87</t>
  </si>
  <si>
    <t>60 : 701 : 1,513 : 17,475</t>
  </si>
  <si>
    <t>0.76_1.29</t>
  </si>
  <si>
    <t>14 : 750 : 314 : 19,284</t>
  </si>
  <si>
    <t>0.67_1.97</t>
  </si>
  <si>
    <t>12 : 752 : 290 : 19,308</t>
  </si>
  <si>
    <t>0.59_1.90</t>
  </si>
  <si>
    <t>10 : 736 : 362 : 24,332</t>
  </si>
  <si>
    <t>0.49_1.72</t>
  </si>
  <si>
    <t>10 : 736 : 381 : 24,313</t>
  </si>
  <si>
    <t>0.46_1.63</t>
  </si>
  <si>
    <t>7 : 739 : 259 : 24,435</t>
  </si>
  <si>
    <t>5 : 741 : 253 : 24,441</t>
  </si>
  <si>
    <t>0.27_1.58</t>
  </si>
  <si>
    <t>10 : 736 : 235 : 24,459</t>
  </si>
  <si>
    <t>0.75_2.67</t>
  </si>
  <si>
    <t>7 : 739 : 206 : 24,488</t>
  </si>
  <si>
    <t>0.53_2.40</t>
  </si>
  <si>
    <t>9 : 737 : 190 : 24,503</t>
  </si>
  <si>
    <t>0.80_3.09</t>
  </si>
  <si>
    <t>8 : 738 : 190 : 24,503</t>
  </si>
  <si>
    <t>0.69_2.85</t>
  </si>
  <si>
    <t>112 : 646 : 1,967 : 19,376</t>
  </si>
  <si>
    <t>1.39_2.10</t>
  </si>
  <si>
    <t>64 : 694 : 1,688 : 19,655</t>
  </si>
  <si>
    <t>0.83_1.39</t>
  </si>
  <si>
    <t>4 : 742 : 167 : 24,526</t>
  </si>
  <si>
    <t>0.29_2.14</t>
  </si>
  <si>
    <t>13 : 733 : 194 : 24,499</t>
  </si>
  <si>
    <t>1.27_3.95</t>
  </si>
  <si>
    <t>17 : 747 : 349 : 19,245</t>
  </si>
  <si>
    <t>0.77_2.05</t>
  </si>
  <si>
    <t>14 : 750 : 302 : 19,292</t>
  </si>
  <si>
    <t>0.69_2.05</t>
  </si>
  <si>
    <t>8 : 756 : 225 : 19,373</t>
  </si>
  <si>
    <t>0.45_1.85</t>
  </si>
  <si>
    <t>5 : 759 : 253 : 19,345</t>
  </si>
  <si>
    <t>5 : 787 : 319 : 30,191</t>
  </si>
  <si>
    <t>0.25_1.46</t>
  </si>
  <si>
    <t>7 : 785 : 222 : 30,288</t>
  </si>
  <si>
    <t>0.57_2.59</t>
  </si>
  <si>
    <t>2 : 790 : 238 : 30,282</t>
  </si>
  <si>
    <t>0.08_1.30</t>
  </si>
  <si>
    <t>10 : 782 : 233 : 30,287</t>
  </si>
  <si>
    <t>0.88_3.14</t>
  </si>
  <si>
    <t>7 : 785 : 151 : 24,197</t>
  </si>
  <si>
    <t>0.67_3.06</t>
  </si>
  <si>
    <t>5 : 787 : 168 : 24,180</t>
  </si>
  <si>
    <t>0.37_2.23</t>
  </si>
  <si>
    <t>5 : 787 : 160 : 24,189</t>
  </si>
  <si>
    <t>0.39_2.35</t>
  </si>
  <si>
    <t>5 : 787 : 195 : 24,154</t>
  </si>
  <si>
    <t>0.32_1.92</t>
  </si>
  <si>
    <t>40 : 713 : 820 : 16,624</t>
  </si>
  <si>
    <t>0.82_1.58</t>
  </si>
  <si>
    <t>39 : 714 : 997 : 16,447</t>
  </si>
  <si>
    <t>36 : 728 : 1,305 : 18,305</t>
  </si>
  <si>
    <t>0.49_0.97</t>
  </si>
  <si>
    <t>82 : 682 : 1,298 : 18,312</t>
  </si>
  <si>
    <t>1.34_2.15</t>
  </si>
  <si>
    <t>6 : 511 : 171 : 12,368</t>
  </si>
  <si>
    <t>0.37_1.93</t>
  </si>
  <si>
    <t>4 : 513 : 190 : 12,349</t>
  </si>
  <si>
    <t>0.19_1.37</t>
  </si>
  <si>
    <t>80 : 681 : 2,072 : 16,916</t>
  </si>
  <si>
    <t>0.76_1.21</t>
  </si>
  <si>
    <t>134 : 627 : 2,542 : 16,446</t>
  </si>
  <si>
    <t>1.14_1.67</t>
  </si>
  <si>
    <t>12 : 752 : 379 : 19,231</t>
  </si>
  <si>
    <t>0.45_1.45</t>
  </si>
  <si>
    <t>17 : 747 : 201 : 19,409</t>
  </si>
  <si>
    <t>1.33_3.62</t>
  </si>
  <si>
    <t>20 : 708 : 416 : 17,487</t>
  </si>
  <si>
    <t>0.75_1.87</t>
  </si>
  <si>
    <t>21 : 707 : 409 : 17,494</t>
  </si>
  <si>
    <t>0.81_1.98</t>
  </si>
  <si>
    <t>4 : 724 : 132 : 17,770</t>
  </si>
  <si>
    <t>0.27_2.02</t>
  </si>
  <si>
    <t>9 : 719 : 144 : 17,758</t>
  </si>
  <si>
    <t>0.78_3.04</t>
  </si>
  <si>
    <t>6 : 758 : 165 : 19,445</t>
  </si>
  <si>
    <t>6 : 758 : 163 : 19,447</t>
  </si>
  <si>
    <t>0.42_2.14</t>
  </si>
  <si>
    <t>16 : 748 : 495 : 19,115</t>
  </si>
  <si>
    <t>0.50_1.37</t>
  </si>
  <si>
    <t>20 : 744 : 384 : 19,226</t>
  </si>
  <si>
    <t>0.85_2.12</t>
  </si>
  <si>
    <t>17 : 747 : 411 : 19,199</t>
  </si>
  <si>
    <t>0.65_1.74</t>
  </si>
  <si>
    <t>42 : 722 : 725 : 18,885</t>
  </si>
  <si>
    <t>1.10_2.09</t>
  </si>
  <si>
    <t>16 : 748 : 330 : 19,280</t>
  </si>
  <si>
    <t>0.75_2.07</t>
  </si>
  <si>
    <t>39 : 725 : 550 : 19,060</t>
  </si>
  <si>
    <t>1.34_2.60</t>
  </si>
  <si>
    <t>16 : 748 : 467 : 19,143</t>
  </si>
  <si>
    <t>0.53_1.45</t>
  </si>
  <si>
    <t>41 : 723 : 795 : 18,815</t>
  </si>
  <si>
    <t>0.97_1.85</t>
  </si>
  <si>
    <t>6 : 788 : 264 : 30,276</t>
  </si>
  <si>
    <t>0.39_1.97</t>
  </si>
  <si>
    <t>10 : 784 : 253 : 30,287</t>
  </si>
  <si>
    <t>0.81_2.88</t>
  </si>
  <si>
    <t>12 : 782 : 294 : 30,245</t>
  </si>
  <si>
    <t>0.88_2.82</t>
  </si>
  <si>
    <t>7 : 787 : 327 : 30,212</t>
  </si>
  <si>
    <t>0.39_1.74</t>
  </si>
  <si>
    <t>4 : 760 : 124 : 19,486</t>
  </si>
  <si>
    <t>0 : 764 : 49 : 19,561</t>
  </si>
  <si>
    <t>66 : 698 : 1,022 : 18,588</t>
  </si>
  <si>
    <t>1.33_2.23</t>
  </si>
  <si>
    <t>26 : 738 : 649 : 18,961</t>
  </si>
  <si>
    <t>0.69_1.53</t>
  </si>
  <si>
    <t>119 : 399 : 3,779 : 8,761</t>
  </si>
  <si>
    <t>0.56_0.85</t>
  </si>
  <si>
    <t>168 : 350 : 3,242 : 9,298</t>
  </si>
  <si>
    <t>1.14_1.66</t>
  </si>
  <si>
    <t>150 : 368 : 3,224 : 9,316</t>
  </si>
  <si>
    <t>0.97_1.43</t>
  </si>
  <si>
    <t>109 : 409 : 3,024 : 9,516</t>
  </si>
  <si>
    <t>0.68_1.04</t>
  </si>
  <si>
    <t>9 : 452 : 250 : 10,079</t>
  </si>
  <si>
    <t>0.41_1.57</t>
  </si>
  <si>
    <t>20 : 441 : 261 : 10,068</t>
  </si>
  <si>
    <t>1.10_2.78</t>
  </si>
  <si>
    <t>6 : 473 : 171 : 10,484</t>
  </si>
  <si>
    <t>0.34_1.76</t>
  </si>
  <si>
    <t>15 : 464 : 185 : 10,470</t>
  </si>
  <si>
    <t>1.07_3.12</t>
  </si>
  <si>
    <t>9 : 446 : 197 : 10,086</t>
  </si>
  <si>
    <t>5 : 450 : 175 : 10,108</t>
  </si>
  <si>
    <t>46 : 419 : 760 : 9,651</t>
  </si>
  <si>
    <t>1.02_1.91</t>
  </si>
  <si>
    <t>26 : 439 : 893 : 9,518</t>
  </si>
  <si>
    <t>0.42_0.94</t>
  </si>
  <si>
    <t>44 : 418 : 706 : 9,770</t>
  </si>
  <si>
    <t>1.06_2.01</t>
  </si>
  <si>
    <t>17 : 445 : 1,009 : 9,467</t>
  </si>
  <si>
    <t>0.22_0.58</t>
  </si>
  <si>
    <t>5 : 457 : 271 : 10,214</t>
  </si>
  <si>
    <t>0.17_1.00</t>
  </si>
  <si>
    <t>5 : 457 : 121 : 10,364</t>
  </si>
  <si>
    <t>7 : 454 : 268 : 10,233</t>
  </si>
  <si>
    <t>0.28_1.25</t>
  </si>
  <si>
    <t>7 : 454 : 124 : 10,377</t>
  </si>
  <si>
    <t>0.60_2.78</t>
  </si>
  <si>
    <t>5 : 462 : 144 : 10,449</t>
  </si>
  <si>
    <t>11 : 456 : 136 : 10,457</t>
  </si>
  <si>
    <t>1.00_3.45</t>
  </si>
  <si>
    <t>10 : 451 : 211 : 10,286</t>
  </si>
  <si>
    <t>0.57_2.05</t>
  </si>
  <si>
    <t>17 : 444 : 235 : 10,262</t>
  </si>
  <si>
    <t>1.01_2.76</t>
  </si>
  <si>
    <t>6 : 473 : 169 : 10,549</t>
  </si>
  <si>
    <t>0.35_1.80</t>
  </si>
  <si>
    <t>9 : 470 : 209 : 10,509</t>
  </si>
  <si>
    <t>0.49_1.89</t>
  </si>
  <si>
    <t>48 : 470 : 1,652 : 10,888</t>
  </si>
  <si>
    <t>0.50_0.91</t>
  </si>
  <si>
    <t>88 : 430 : 1,522 : 11,018</t>
  </si>
  <si>
    <t>1.17_1.87</t>
  </si>
  <si>
    <t>43 : 475 : 1,208 : 11,332</t>
  </si>
  <si>
    <t>68 : 450 : 1,354 : 11,186</t>
  </si>
  <si>
    <t>0.96_1.62</t>
  </si>
  <si>
    <t>11 : 497 : 234 : 12,336</t>
  </si>
  <si>
    <t>0.63_2.15</t>
  </si>
  <si>
    <t>9 : 499 : 188 : 12,382</t>
  </si>
  <si>
    <t>0.60_2.33</t>
  </si>
  <si>
    <t>7 : 501 : 118 : 12,451</t>
  </si>
  <si>
    <t>0.68_3.18</t>
  </si>
  <si>
    <t>4 : 504 : 101 : 12,468</t>
  </si>
  <si>
    <t>2 : 591 : 63 : 13,421</t>
  </si>
  <si>
    <t>0.18_2.95</t>
  </si>
  <si>
    <t>3 : 590 : 79 : 13,405</t>
  </si>
  <si>
    <t>8 : 756 : 227 : 19,383</t>
  </si>
  <si>
    <t>0.44_1.84</t>
  </si>
  <si>
    <t>8 : 756 : 206 : 19,404</t>
  </si>
  <si>
    <t>0.49_2.03</t>
  </si>
  <si>
    <t>9 : 755 : 297 : 19,313</t>
  </si>
  <si>
    <t>0.40_1.51</t>
  </si>
  <si>
    <t>13 : 751 : 299 : 19,311</t>
  </si>
  <si>
    <t>0.64_1.96</t>
  </si>
  <si>
    <t>15 : 749 : 278 : 19,332</t>
  </si>
  <si>
    <t>0.82_2.35</t>
  </si>
  <si>
    <t>20 : 744 : 359 : 19,251</t>
  </si>
  <si>
    <t>0.91_2.27</t>
  </si>
  <si>
    <t>15 : 749 : 377 : 19,233</t>
  </si>
  <si>
    <t>0.61_1.72</t>
  </si>
  <si>
    <t>25 : 739 : 323 : 19,287</t>
  </si>
  <si>
    <t>1.34_3.05</t>
  </si>
  <si>
    <t>24 : 740 : 620 : 18,990</t>
  </si>
  <si>
    <t>0.66_1.50</t>
  </si>
  <si>
    <t>14 : 750 : 307 : 19,303</t>
  </si>
  <si>
    <t>0.68_2.02</t>
  </si>
  <si>
    <t>10 : 508 : 219 : 12,319</t>
  </si>
  <si>
    <t>0.58_2.10</t>
  </si>
  <si>
    <t>12 : 506 : 243 : 12,295</t>
  </si>
  <si>
    <t>0.67_2.16</t>
  </si>
  <si>
    <t>13 : 505 : 439 : 12,101</t>
  </si>
  <si>
    <t>0.41_1.24</t>
  </si>
  <si>
    <t>22 : 496 : 438 : 12,102</t>
  </si>
  <si>
    <t>0.79_1.90</t>
  </si>
  <si>
    <t>23 : 495 : 879 : 11,661</t>
  </si>
  <si>
    <t>0.40_0.94</t>
  </si>
  <si>
    <t>33 : 485 : 588 : 11,952</t>
  </si>
  <si>
    <t>0.96_1.99</t>
  </si>
  <si>
    <t>5 : 513 : 209 : 12,331</t>
  </si>
  <si>
    <t>0.24_1.40</t>
  </si>
  <si>
    <t>15 : 503 : 211 : 12,329</t>
  </si>
  <si>
    <t>1.02_2.96</t>
  </si>
  <si>
    <t>21 : 743 : 422 : 19,188</t>
  </si>
  <si>
    <t>0.82_2.00</t>
  </si>
  <si>
    <t>21 : 743 : 343 : 19,267</t>
  </si>
  <si>
    <t>1.02_2.48</t>
  </si>
  <si>
    <t>10 : 465 : 240 : 12,370</t>
  </si>
  <si>
    <t>9 : 466 : 213 : 12,397</t>
  </si>
  <si>
    <t>0.57_2.20</t>
  </si>
  <si>
    <t>5 : 759 : 129 : 19,481</t>
  </si>
  <si>
    <t>0.41_2.44</t>
  </si>
  <si>
    <t>5 : 759 : 95 : 19,515</t>
  </si>
  <si>
    <t>0.55_3.34</t>
  </si>
  <si>
    <t>10 : 754 : 221 : 19,389</t>
  </si>
  <si>
    <t>9 : 755 : 336 : 19,274</t>
  </si>
  <si>
    <t>0.35_1.33</t>
  </si>
  <si>
    <t>30 : 572 : 547 : 11,809</t>
  </si>
  <si>
    <t>0.78_1.65</t>
  </si>
  <si>
    <t>21 : 581 : 332 : 12,024</t>
  </si>
  <si>
    <t>0.84_2.05</t>
  </si>
  <si>
    <t>11 : 507 : 191 : 12,349</t>
  </si>
  <si>
    <t>0.76_2.59</t>
  </si>
  <si>
    <t>11 : 507 : 168 : 12,372</t>
  </si>
  <si>
    <t>0.86_2.96</t>
  </si>
  <si>
    <t>3 : 515 : 37 : 12,503</t>
  </si>
  <si>
    <t>0.60_6.41</t>
  </si>
  <si>
    <t>2 : 516 : 52 : 12,488</t>
  </si>
  <si>
    <t>1 : 517 : 53 : 12,487</t>
  </si>
  <si>
    <t>0.06_3.30</t>
  </si>
  <si>
    <t>6 : 512 : 60 : 12,480</t>
  </si>
  <si>
    <t>1.05_5.67</t>
  </si>
  <si>
    <t>4 : 514 : 60 : 12,480</t>
  </si>
  <si>
    <t>0.59_4.47</t>
  </si>
  <si>
    <t>4 : 514 : 77 : 12,463</t>
  </si>
  <si>
    <t>28 : 736 : 453 : 19,142</t>
  </si>
  <si>
    <t>21 : 743 : 574 : 19,021</t>
  </si>
  <si>
    <t>0.60_1.46</t>
  </si>
  <si>
    <t>71 : 693 : 1,380 : 18,230</t>
  </si>
  <si>
    <t>1.05_1.74</t>
  </si>
  <si>
    <t>24 : 740 : 1,040 : 18,570</t>
  </si>
  <si>
    <t>0.38_0.87</t>
  </si>
  <si>
    <t>19 : 745 : 317 : 19,293</t>
  </si>
  <si>
    <t>0.97_2.48</t>
  </si>
  <si>
    <t>13 : 751 : 358 : 19,252</t>
  </si>
  <si>
    <t>12 : 752 : 249 : 19,361</t>
  </si>
  <si>
    <t>0.69_2.22</t>
  </si>
  <si>
    <t>11 : 753 : 186 : 19,424</t>
  </si>
  <si>
    <t>0.83_2.81</t>
  </si>
  <si>
    <t>37 : 727 : 885 : 18,725</t>
  </si>
  <si>
    <t>24 : 740 : 850 : 18,760</t>
  </si>
  <si>
    <t>0.47_1.08</t>
  </si>
  <si>
    <t>50 : 714 : 811 : 18,799</t>
  </si>
  <si>
    <t>1.21_2.18</t>
  </si>
  <si>
    <t>68 : 696 : 1,698 : 17,912</t>
  </si>
  <si>
    <t>0.80_1.33</t>
  </si>
  <si>
    <t>4 : 514 : 80 : 12,460</t>
  </si>
  <si>
    <t>0.44_3.32</t>
  </si>
  <si>
    <t>3 : 515 : 73 : 12,467</t>
  </si>
  <si>
    <t>0.31_3.17</t>
  </si>
  <si>
    <t>13 : 413 : 320 : 9,207</t>
  </si>
  <si>
    <t>11 : 415 : 215 : 9,312</t>
  </si>
  <si>
    <t>0.62_2.12</t>
  </si>
  <si>
    <t>26 : 400 : 606 : 8,921</t>
  </si>
  <si>
    <t>0.64_1.43</t>
  </si>
  <si>
    <t>17 : 409 : 369 : 9,158</t>
  </si>
  <si>
    <t>0.63_1.69</t>
  </si>
  <si>
    <t>3 : 402 : 139 : 9,712</t>
  </si>
  <si>
    <t>0.17_1.64</t>
  </si>
  <si>
    <t>34 : 371 : 691 : 9,160</t>
  </si>
  <si>
    <t>0.85_1.74</t>
  </si>
  <si>
    <t>12 : 393 : 159 : 9,692</t>
  </si>
  <si>
    <t>1.03_3.38</t>
  </si>
  <si>
    <t>39 : 366 : 726 : 9,125</t>
  </si>
  <si>
    <t>0.95_1.88</t>
  </si>
  <si>
    <t>43 : 721 : 675 : 18,935</t>
  </si>
  <si>
    <t>1.22_2.30</t>
  </si>
  <si>
    <t>34 : 730 : 652 : 18,958</t>
  </si>
  <si>
    <t>0.95_1.93</t>
  </si>
  <si>
    <t>51 : 713 : 1,008 : 18,602</t>
  </si>
  <si>
    <t>0.99_1.77</t>
  </si>
  <si>
    <t>35 : 729 : 875 : 18,735</t>
  </si>
  <si>
    <t>0.73_1.45</t>
  </si>
  <si>
    <t>16 : 748 : 441 : 19,169</t>
  </si>
  <si>
    <t>0.56_1.54</t>
  </si>
  <si>
    <t>47 : 717 : 475 : 19,135</t>
  </si>
  <si>
    <t>1.94_3.60</t>
  </si>
  <si>
    <t>4 : 514 : 102 : 12,430</t>
  </si>
  <si>
    <t>0.35_2.59</t>
  </si>
  <si>
    <t>1 : 517 : 82 : 12,450</t>
  </si>
  <si>
    <t>0.04_2.11</t>
  </si>
  <si>
    <t>22 : 739 : 578 : 18,409</t>
  </si>
  <si>
    <t>0.62_1.46</t>
  </si>
  <si>
    <t>73 : 688 : 1,927 : 17,060</t>
  </si>
  <si>
    <t>0.73_1.20</t>
  </si>
  <si>
    <t>75 : 686 : 1,907 : 17,079</t>
  </si>
  <si>
    <t>0.77_1.25</t>
  </si>
  <si>
    <t>45 : 716 : 868 : 18,118</t>
  </si>
  <si>
    <t>0.96_1.79</t>
  </si>
  <si>
    <t>8 : 560 : 100 : 12,969</t>
  </si>
  <si>
    <t>0.90_3.83</t>
  </si>
  <si>
    <t>5 : 563 : 111 : 12,958</t>
  </si>
  <si>
    <t>0.42_2.55</t>
  </si>
  <si>
    <t>5 : 565 : 94 : 12,947</t>
  </si>
  <si>
    <t>0.49_3.01</t>
  </si>
  <si>
    <t>7 : 563 : 159 : 12,882</t>
  </si>
  <si>
    <t>0.47_2.16</t>
  </si>
  <si>
    <t>7 : 562 : 96 : 12,970</t>
  </si>
  <si>
    <t>0.78_3.64</t>
  </si>
  <si>
    <t>4 : 565 : 171 : 12,895</t>
  </si>
  <si>
    <t>0.20_1.44</t>
  </si>
  <si>
    <t>41 : 723 : 1,477 : 18,133</t>
  </si>
  <si>
    <t>0.51_0.96</t>
  </si>
  <si>
    <t>75 : 689 : 1,588 : 18,022</t>
  </si>
  <si>
    <t>0.97_1.58</t>
  </si>
  <si>
    <t>53 : 711 : 1,327 : 18,282</t>
  </si>
  <si>
    <t>0.77_1.37</t>
  </si>
  <si>
    <t>72 : 692 : 1,779 : 17,830</t>
  </si>
  <si>
    <t>0.81_1.34</t>
  </si>
  <si>
    <t>4 : 504 : 91 : 12,494</t>
  </si>
  <si>
    <t>0.40_2.98</t>
  </si>
  <si>
    <t>5 : 503 : 71 : 12,514</t>
  </si>
  <si>
    <t>0.70_4.36</t>
  </si>
  <si>
    <t>5 : 503 : 113 : 12,472</t>
  </si>
  <si>
    <t>0.45_2.70</t>
  </si>
  <si>
    <t>8 : 500 : 193 : 12,392</t>
  </si>
  <si>
    <t>0.50_2.10</t>
  </si>
  <si>
    <t>2 : 506 : 62 : 12,523</t>
  </si>
  <si>
    <t>0.19_3.27</t>
  </si>
  <si>
    <t>4 : 504 : 34 : 12,551</t>
  </si>
  <si>
    <t>1.04_8.29</t>
  </si>
  <si>
    <t>3 : 515 : 120 : 12,420</t>
  </si>
  <si>
    <t>0.19_1.90</t>
  </si>
  <si>
    <t>19 : 499 : 291 : 12,249</t>
  </si>
  <si>
    <t>1.00_2.57</t>
  </si>
  <si>
    <t>56 : 452 : 1,137 : 11,448</t>
  </si>
  <si>
    <t>0.94_1.66</t>
  </si>
  <si>
    <t>41 : 467 : 1,237 : 11,348</t>
  </si>
  <si>
    <t>0.58_1.11</t>
  </si>
  <si>
    <t>58 : 450 : 1,120 : 11,465</t>
  </si>
  <si>
    <t>1.00_1.75</t>
  </si>
  <si>
    <t>52 : 456 : 1,299 : 11,286</t>
  </si>
  <si>
    <t>0.74_1.33</t>
  </si>
  <si>
    <t>Official name</t>
  </si>
  <si>
    <t>ESR1</t>
  </si>
  <si>
    <t>CCNT1</t>
  </si>
  <si>
    <t>SDHB</t>
  </si>
  <si>
    <t>AR</t>
  </si>
  <si>
    <t>BMI1</t>
  </si>
  <si>
    <t>FOXF2</t>
  </si>
  <si>
    <t>NMNAT1</t>
  </si>
  <si>
    <t>DGCR8</t>
  </si>
  <si>
    <t>EIF2C2</t>
  </si>
  <si>
    <t>DICER</t>
  </si>
  <si>
    <t>CXCR4</t>
  </si>
  <si>
    <t>XIAP</t>
  </si>
  <si>
    <t>PSF</t>
  </si>
  <si>
    <t>ERG</t>
  </si>
  <si>
    <t>miR-302c</t>
  </si>
  <si>
    <t>YY1</t>
  </si>
  <si>
    <t>STK33</t>
  </si>
  <si>
    <t>TFAP2C</t>
  </si>
  <si>
    <t>PPARA</t>
  </si>
  <si>
    <t>PPIB</t>
  </si>
  <si>
    <t>HSF1</t>
  </si>
  <si>
    <t>PCARNEQ</t>
  </si>
  <si>
    <t>STAT1</t>
  </si>
  <si>
    <t>ATM</t>
  </si>
  <si>
    <t>RELA</t>
  </si>
  <si>
    <t>TP53</t>
  </si>
  <si>
    <t>LACZ</t>
  </si>
  <si>
    <t>STAT5A + STAT5B cotransfected</t>
  </si>
  <si>
    <t>NUT</t>
  </si>
  <si>
    <t>EGR3</t>
  </si>
  <si>
    <t>HNF4a+HNF4g</t>
  </si>
  <si>
    <t>STAT3</t>
  </si>
  <si>
    <t>CEBPB</t>
  </si>
  <si>
    <t>RUNX1</t>
  </si>
  <si>
    <t>ERBB3</t>
  </si>
  <si>
    <t>RDBP</t>
  </si>
  <si>
    <t>KAT8</t>
  </si>
  <si>
    <t>miR-101</t>
  </si>
  <si>
    <t>KDM2A</t>
  </si>
  <si>
    <t>HOXA9</t>
  </si>
  <si>
    <t>IGF2BP1</t>
  </si>
  <si>
    <t>HDAC1</t>
  </si>
  <si>
    <t>H3.X + H3.Y</t>
  </si>
  <si>
    <t>PPRC1</t>
  </si>
  <si>
    <t>SLAMF7</t>
  </si>
  <si>
    <t>SRF</t>
  </si>
  <si>
    <t>LSD2</t>
  </si>
  <si>
    <t>ncRNA-a7</t>
  </si>
  <si>
    <t>SOX2</t>
  </si>
  <si>
    <t>NFKB (p105</t>
  </si>
  <si>
    <t>YY1 + YY2 cotransfected</t>
  </si>
  <si>
    <t>MAPK3</t>
  </si>
  <si>
    <t>MAPK3 + MAPK1 cotransfected</t>
  </si>
  <si>
    <t>AREG</t>
  </si>
  <si>
    <t>NET1</t>
  </si>
  <si>
    <t>COP1 + ETV1</t>
  </si>
  <si>
    <t>BACH1</t>
  </si>
  <si>
    <t>PRMT1</t>
  </si>
  <si>
    <t>TRIM33</t>
  </si>
  <si>
    <t>SMAD4</t>
  </si>
  <si>
    <t>MED26</t>
  </si>
  <si>
    <t>HK2</t>
  </si>
  <si>
    <t>FOXA1</t>
  </si>
  <si>
    <t>GRN</t>
  </si>
  <si>
    <t>HNF4A</t>
  </si>
  <si>
    <t>CDK8</t>
  </si>
  <si>
    <t>CDK19</t>
  </si>
  <si>
    <t>MYC</t>
  </si>
  <si>
    <t>miR-22</t>
  </si>
  <si>
    <t>SP3</t>
  </si>
  <si>
    <t>TOP1</t>
  </si>
  <si>
    <t>PIR</t>
  </si>
  <si>
    <t>miR-210</t>
  </si>
  <si>
    <t>KEAP1</t>
  </si>
  <si>
    <t>UPF1</t>
  </si>
  <si>
    <t>CTNNB1</t>
  </si>
  <si>
    <t>ESRP1</t>
  </si>
  <si>
    <t>FAP</t>
  </si>
  <si>
    <t>MMP14</t>
  </si>
  <si>
    <t>ITGA3</t>
  </si>
  <si>
    <t>VIM</t>
  </si>
  <si>
    <t>BTG1</t>
  </si>
  <si>
    <t>EGLN2</t>
  </si>
  <si>
    <t>DDX39B</t>
  </si>
  <si>
    <t>DDX39A</t>
  </si>
  <si>
    <t>NME2</t>
  </si>
  <si>
    <t>KDM4B</t>
  </si>
  <si>
    <t>TARDBP</t>
  </si>
  <si>
    <t>C15orf55</t>
  </si>
  <si>
    <t>HMGB1</t>
  </si>
  <si>
    <t>EGR4</t>
  </si>
  <si>
    <t>BMPR2</t>
  </si>
  <si>
    <t>HNF4A + HNF4G cotransfected</t>
  </si>
  <si>
    <t>FOSL2</t>
  </si>
  <si>
    <t>STAT3 + CEBPB cotransfected</t>
  </si>
  <si>
    <t>BHLHE40</t>
  </si>
  <si>
    <t>ZNF263</t>
  </si>
  <si>
    <t>ETV1</t>
  </si>
  <si>
    <t>CSNK1A1</t>
  </si>
  <si>
    <t>KCNMA1</t>
  </si>
  <si>
    <t>miR-125b</t>
  </si>
  <si>
    <t>EGFP</t>
  </si>
  <si>
    <t>HTATSF1</t>
  </si>
  <si>
    <t>GFP</t>
  </si>
  <si>
    <t>WHSC2</t>
  </si>
  <si>
    <t>TH1L</t>
  </si>
  <si>
    <t>COBRA1</t>
  </si>
  <si>
    <t>CDR2</t>
  </si>
  <si>
    <t>SRA1</t>
  </si>
  <si>
    <t>CBFA2T3</t>
  </si>
  <si>
    <t>IKBKB</t>
  </si>
  <si>
    <t>TP63</t>
  </si>
  <si>
    <t>EZH2</t>
  </si>
  <si>
    <t>TAL1</t>
  </si>
  <si>
    <t>PHF8</t>
  </si>
  <si>
    <t>AATF</t>
  </si>
  <si>
    <t>DUOX1</t>
  </si>
  <si>
    <t>CD44</t>
  </si>
  <si>
    <t>POU5F1</t>
  </si>
  <si>
    <t>MYB</t>
  </si>
  <si>
    <t>DSG2</t>
  </si>
  <si>
    <t>CBFB</t>
  </si>
  <si>
    <t>QKI</t>
  </si>
  <si>
    <t>25 miRNA</t>
  </si>
  <si>
    <t>CDK9</t>
  </si>
  <si>
    <t>SMILE</t>
  </si>
  <si>
    <t>CREBZF</t>
  </si>
  <si>
    <t>RFWD2</t>
  </si>
  <si>
    <t>IRF4</t>
  </si>
  <si>
    <t>MDH2</t>
  </si>
  <si>
    <t>RARA</t>
  </si>
  <si>
    <t>FOXM1</t>
  </si>
  <si>
    <t>BRCA1</t>
  </si>
  <si>
    <t>GNE</t>
  </si>
  <si>
    <t>ELF5</t>
  </si>
  <si>
    <t>HDAC2</t>
  </si>
  <si>
    <t>H3.Y</t>
  </si>
  <si>
    <t>H3.X + H3.Y cotransfected</t>
  </si>
  <si>
    <t>GATA3</t>
  </si>
  <si>
    <t>CDX2</t>
  </si>
  <si>
    <t>WT1</t>
  </si>
  <si>
    <t>HES6</t>
  </si>
  <si>
    <t>PRDM14</t>
  </si>
  <si>
    <t>ESRP2</t>
  </si>
  <si>
    <t>NFAT5</t>
  </si>
  <si>
    <t>MDC1</t>
  </si>
  <si>
    <t>NFBD1 + TP53 cotransfected</t>
  </si>
  <si>
    <t>MDC1 + TP53 cotransfected</t>
  </si>
  <si>
    <t>BAP1</t>
  </si>
  <si>
    <t>PTBP1+PTBP2 cotransfected</t>
  </si>
  <si>
    <t>PTBP1 + PTBP2 cotransfected</t>
  </si>
  <si>
    <t>SNAI1</t>
  </si>
  <si>
    <t>ZNF703</t>
  </si>
  <si>
    <t>lincRNA-ST8SIA3 targeting siRNA1</t>
  </si>
  <si>
    <t>lincRNA-ST8SIA3 targeting siRNA4</t>
  </si>
  <si>
    <t>SND1</t>
  </si>
  <si>
    <t>NFKB (p100)</t>
  </si>
  <si>
    <t>HPRT1</t>
  </si>
  <si>
    <t>miR-16</t>
  </si>
  <si>
    <t>miR16</t>
  </si>
  <si>
    <t>MAPK1</t>
  </si>
  <si>
    <t>WHSC1</t>
  </si>
  <si>
    <t>KISS1R</t>
  </si>
  <si>
    <t>SOX11</t>
  </si>
  <si>
    <t>PRMT5</t>
  </si>
  <si>
    <t>CIITA-BX648577</t>
  </si>
  <si>
    <t>MTDH</t>
  </si>
  <si>
    <t>PRKCI</t>
  </si>
  <si>
    <t>IKBKAP</t>
  </si>
  <si>
    <t>WASF3</t>
  </si>
  <si>
    <t>SF1</t>
  </si>
  <si>
    <t>SON</t>
  </si>
  <si>
    <t>PITX2</t>
  </si>
  <si>
    <t>CD82</t>
  </si>
  <si>
    <t>CD81</t>
  </si>
  <si>
    <t>COP1 + ETV1 cotransfected</t>
  </si>
  <si>
    <t>RFWD2 + ETV1 + JUN cotransfected</t>
  </si>
  <si>
    <t>RFWD2 + JUN cotransfected</t>
  </si>
  <si>
    <t>COP1</t>
  </si>
  <si>
    <t>PBX1</t>
  </si>
  <si>
    <t>DEGS1</t>
  </si>
  <si>
    <t>SPTLC1 cotranfected with 2 and 3</t>
  </si>
  <si>
    <t>CCNT2</t>
  </si>
  <si>
    <t>NKX2-3</t>
  </si>
  <si>
    <t>NOS2</t>
  </si>
  <si>
    <t>ELAVL1</t>
  </si>
  <si>
    <t>SETD7</t>
  </si>
  <si>
    <t>KDM3A</t>
  </si>
  <si>
    <t>KDM1A</t>
  </si>
  <si>
    <t>ZNF148</t>
  </si>
  <si>
    <t>CBX4</t>
  </si>
  <si>
    <t>HNRNPA2B1</t>
  </si>
  <si>
    <t>RBM38</t>
  </si>
  <si>
    <t>CKS1B</t>
  </si>
  <si>
    <t>PSIP1</t>
  </si>
  <si>
    <t>EIF2C3</t>
  </si>
  <si>
    <t>EIF2C1</t>
  </si>
  <si>
    <t>EIF2C4</t>
  </si>
  <si>
    <t>NOX1</t>
  </si>
  <si>
    <t>SATB1</t>
  </si>
  <si>
    <t>SUZ12</t>
  </si>
  <si>
    <t>EED</t>
  </si>
  <si>
    <t>SPDEF</t>
  </si>
  <si>
    <t>STAU1</t>
  </si>
  <si>
    <t>OPTN</t>
  </si>
  <si>
    <t>E6/E7</t>
  </si>
  <si>
    <t>GAPDH</t>
  </si>
  <si>
    <t>YAP</t>
  </si>
  <si>
    <t>YAP1</t>
  </si>
  <si>
    <t>HIF1A</t>
  </si>
  <si>
    <t>RhoGDIbeta</t>
  </si>
  <si>
    <t>ICT1</t>
  </si>
  <si>
    <t>IGF2</t>
  </si>
  <si>
    <t>CCND1</t>
  </si>
  <si>
    <t>CDK4</t>
  </si>
  <si>
    <t>HOXC6</t>
  </si>
  <si>
    <t>COPS5</t>
  </si>
  <si>
    <t>TUT1</t>
  </si>
  <si>
    <t>PIPKIa</t>
  </si>
  <si>
    <t>RPS14</t>
  </si>
  <si>
    <t>RBP2</t>
  </si>
  <si>
    <t>CDH1</t>
  </si>
  <si>
    <t>q-value</t>
  </si>
</sst>
</file>

<file path=xl/styles.xml><?xml version="1.0" encoding="utf-8"?>
<styleSheet xmlns="http://schemas.openxmlformats.org/spreadsheetml/2006/main">
  <fonts count="3">
    <font>
      <sz val="11"/>
      <color theme="1"/>
      <name val="Tahoma"/>
      <family val="2"/>
      <scheme val="minor"/>
    </font>
    <font>
      <b/>
      <sz val="11"/>
      <color theme="1"/>
      <name val="Tahoma"/>
      <family val="2"/>
      <scheme val="minor"/>
    </font>
    <font>
      <sz val="11"/>
      <name val="Tahoma"/>
      <family val="2"/>
      <charset val="22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9">
    <xf numFmtId="0" fontId="0" fillId="0" borderId="0" xfId="0"/>
    <xf numFmtId="0" fontId="0" fillId="0" borderId="1" xfId="0" applyBorder="1" applyAlignment="1">
      <alignment horizontal="center"/>
    </xf>
    <xf numFmtId="11" fontId="0" fillId="0" borderId="1" xfId="0" applyNumberFormat="1" applyBorder="1" applyAlignment="1">
      <alignment horizontal="center"/>
    </xf>
    <xf numFmtId="0" fontId="0" fillId="0" borderId="1" xfId="0" applyBorder="1" applyAlignment="1">
      <alignment horizontal="left"/>
    </xf>
    <xf numFmtId="11" fontId="0" fillId="0" borderId="1" xfId="0" applyNumberFormat="1" applyBorder="1" applyAlignment="1">
      <alignment horizontal="left"/>
    </xf>
    <xf numFmtId="0" fontId="0" fillId="0" borderId="1" xfId="0" applyNumberFormat="1" applyBorder="1" applyAlignment="1">
      <alignment horizontal="left"/>
    </xf>
    <xf numFmtId="2" fontId="1" fillId="2" borderId="1" xfId="0" applyNumberFormat="1" applyFont="1" applyFill="1" applyBorder="1" applyAlignment="1">
      <alignment horizontal="center" vertical="center"/>
    </xf>
    <xf numFmtId="2" fontId="0" fillId="0" borderId="1" xfId="0" applyNumberFormat="1" applyBorder="1"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xf>
    <xf numFmtId="11" fontId="2" fillId="0" borderId="1" xfId="0" applyNumberFormat="1" applyFont="1" applyFill="1" applyBorder="1" applyAlignment="1">
      <alignment horizontal="center"/>
    </xf>
    <xf numFmtId="0" fontId="2" fillId="0" borderId="1" xfId="0" applyFont="1" applyFill="1" applyBorder="1" applyAlignment="1">
      <alignment horizontal="left"/>
    </xf>
    <xf numFmtId="0" fontId="2" fillId="0" borderId="0" xfId="0" applyFont="1" applyFill="1" applyAlignment="1">
      <alignment horizontal="center"/>
    </xf>
    <xf numFmtId="0"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T518"/>
  <sheetViews>
    <sheetView tabSelected="1" zoomScale="85" zoomScaleNormal="85" workbookViewId="0">
      <selection activeCell="A3" sqref="A3"/>
    </sheetView>
  </sheetViews>
  <sheetFormatPr defaultRowHeight="14.25"/>
  <cols>
    <col min="1" max="1" width="13.125" style="3" customWidth="1"/>
    <col min="2" max="2" width="15.375" style="1" customWidth="1"/>
    <col min="3" max="3" width="10.875" style="3" customWidth="1"/>
    <col min="4" max="4" width="7.625" style="3" customWidth="1"/>
    <col min="5" max="5" width="11.75" style="3" customWidth="1"/>
    <col min="6" max="6" width="8.375" style="3" customWidth="1"/>
    <col min="7" max="7" width="11.625" style="3" customWidth="1"/>
    <col min="8" max="8" width="13.75" style="3" bestFit="1" customWidth="1"/>
    <col min="9" max="9" width="9" style="3"/>
    <col min="10" max="10" width="9" style="7"/>
    <col min="11" max="11" width="10.125" style="1" customWidth="1"/>
    <col min="12" max="14" width="10.625" style="1" customWidth="1"/>
    <col min="15" max="15" width="9" style="3"/>
    <col min="16" max="16" width="9" style="7"/>
    <col min="17" max="17" width="10.125" style="1" customWidth="1"/>
    <col min="18" max="20" width="10.625" style="1" customWidth="1"/>
  </cols>
  <sheetData>
    <row r="1" spans="1:20">
      <c r="A1" s="16" t="s">
        <v>0</v>
      </c>
      <c r="B1" s="16" t="s">
        <v>1</v>
      </c>
      <c r="C1" s="16" t="s">
        <v>2</v>
      </c>
      <c r="D1" s="16" t="s">
        <v>3</v>
      </c>
      <c r="E1" s="16" t="s">
        <v>4</v>
      </c>
      <c r="F1" s="16" t="s">
        <v>5</v>
      </c>
      <c r="G1" s="16" t="s">
        <v>4</v>
      </c>
      <c r="H1" s="17" t="s">
        <v>8046</v>
      </c>
      <c r="I1" s="15" t="s">
        <v>11</v>
      </c>
      <c r="J1" s="16"/>
      <c r="K1" s="16"/>
      <c r="L1" s="16"/>
      <c r="M1" s="16"/>
      <c r="N1" s="16"/>
      <c r="O1" s="15" t="s">
        <v>12</v>
      </c>
      <c r="P1" s="16"/>
      <c r="Q1" s="16"/>
      <c r="R1" s="16"/>
      <c r="S1" s="16"/>
      <c r="T1" s="16"/>
    </row>
    <row r="2" spans="1:20" ht="42.75">
      <c r="A2" s="16"/>
      <c r="B2" s="16"/>
      <c r="C2" s="16"/>
      <c r="D2" s="16"/>
      <c r="E2" s="16"/>
      <c r="F2" s="16"/>
      <c r="G2" s="16"/>
      <c r="H2" s="18"/>
      <c r="I2" s="8" t="s">
        <v>6</v>
      </c>
      <c r="J2" s="6" t="s">
        <v>7</v>
      </c>
      <c r="K2" s="8" t="s">
        <v>8</v>
      </c>
      <c r="L2" s="10" t="s">
        <v>9</v>
      </c>
      <c r="M2" s="10" t="s">
        <v>10</v>
      </c>
      <c r="N2" s="10" t="s">
        <v>8269</v>
      </c>
      <c r="O2" s="8" t="s">
        <v>6</v>
      </c>
      <c r="P2" s="6" t="s">
        <v>7</v>
      </c>
      <c r="Q2" s="8" t="s">
        <v>8</v>
      </c>
      <c r="R2" s="10" t="s">
        <v>9</v>
      </c>
      <c r="S2" s="10" t="s">
        <v>10</v>
      </c>
      <c r="T2" s="10" t="s">
        <v>8269</v>
      </c>
    </row>
    <row r="3" spans="1:20">
      <c r="A3" s="3" t="s">
        <v>13</v>
      </c>
      <c r="B3" s="1" t="s">
        <v>14</v>
      </c>
      <c r="C3" s="3" t="s">
        <v>15</v>
      </c>
      <c r="D3" s="3" t="s">
        <v>16</v>
      </c>
      <c r="E3" s="3" t="s">
        <v>17</v>
      </c>
      <c r="F3" s="3" t="s">
        <v>18</v>
      </c>
      <c r="G3" s="3" t="s">
        <v>19</v>
      </c>
      <c r="H3" s="11" t="s">
        <v>8047</v>
      </c>
      <c r="I3" s="3" t="s">
        <v>20</v>
      </c>
      <c r="J3" s="7">
        <v>1.42</v>
      </c>
      <c r="K3" s="2" t="s">
        <v>21</v>
      </c>
      <c r="L3" s="2">
        <v>0.123</v>
      </c>
      <c r="M3" s="2">
        <f>14764/100000</f>
        <v>0.14763999999999999</v>
      </c>
      <c r="N3" s="2">
        <v>0.42080840000000003</v>
      </c>
      <c r="O3" s="4" t="s">
        <v>22</v>
      </c>
      <c r="P3" s="2">
        <v>1.18</v>
      </c>
      <c r="Q3" s="7" t="s">
        <v>23</v>
      </c>
      <c r="R3" s="2">
        <v>0.44800000000000001</v>
      </c>
      <c r="S3" s="2">
        <f>47916/100000</f>
        <v>0.47915999999999997</v>
      </c>
      <c r="T3" s="2">
        <v>0.72771149999999996</v>
      </c>
    </row>
    <row r="4" spans="1:20">
      <c r="A4" s="3" t="s">
        <v>24</v>
      </c>
      <c r="B4" s="1" t="s">
        <v>25</v>
      </c>
      <c r="C4" s="3" t="s">
        <v>26</v>
      </c>
      <c r="D4" s="3" t="s">
        <v>27</v>
      </c>
      <c r="E4" s="3" t="s">
        <v>28</v>
      </c>
      <c r="F4" s="3" t="s">
        <v>29</v>
      </c>
      <c r="G4" s="3" t="s">
        <v>30</v>
      </c>
      <c r="H4" s="11" t="s">
        <v>8048</v>
      </c>
      <c r="I4" s="3" t="s">
        <v>31</v>
      </c>
      <c r="J4" s="7">
        <v>1.33</v>
      </c>
      <c r="K4" s="2" t="s">
        <v>32</v>
      </c>
      <c r="L4" s="2">
        <v>0.20300000000000001</v>
      </c>
      <c r="M4" s="2">
        <f>20321/100000</f>
        <v>0.20321</v>
      </c>
      <c r="N4" s="2">
        <v>0.49123699999999998</v>
      </c>
      <c r="O4" s="4" t="s">
        <v>33</v>
      </c>
      <c r="P4" s="2">
        <v>1.4</v>
      </c>
      <c r="Q4" s="7" t="s">
        <v>34</v>
      </c>
      <c r="R4" s="2">
        <v>9.8699999999999996E-2</v>
      </c>
      <c r="S4" s="2">
        <f>10213/100000</f>
        <v>0.10213</v>
      </c>
      <c r="T4" s="2">
        <v>0.36022700000000002</v>
      </c>
    </row>
    <row r="5" spans="1:20">
      <c r="A5" s="3" t="s">
        <v>35</v>
      </c>
      <c r="B5" s="1" t="s">
        <v>36</v>
      </c>
      <c r="C5" s="3" t="s">
        <v>37</v>
      </c>
      <c r="D5" s="3" t="s">
        <v>38</v>
      </c>
      <c r="E5" s="3" t="s">
        <v>39</v>
      </c>
      <c r="F5" s="3" t="s">
        <v>40</v>
      </c>
      <c r="G5" s="3" t="s">
        <v>41</v>
      </c>
      <c r="H5" s="11" t="s">
        <v>8048</v>
      </c>
      <c r="I5" s="3" t="s">
        <v>42</v>
      </c>
      <c r="J5" s="7">
        <v>1.23</v>
      </c>
      <c r="K5" s="2" t="s">
        <v>43</v>
      </c>
      <c r="L5" s="2">
        <v>0.218</v>
      </c>
      <c r="M5" s="2">
        <f>24294/100000</f>
        <v>0.24293999999999999</v>
      </c>
      <c r="N5" s="2">
        <v>0.54252389999999995</v>
      </c>
      <c r="O5" s="4" t="s">
        <v>44</v>
      </c>
      <c r="P5" s="2">
        <v>0.65</v>
      </c>
      <c r="Q5" s="7" t="s">
        <v>45</v>
      </c>
      <c r="R5" s="2">
        <v>2.76E-2</v>
      </c>
      <c r="S5" s="2">
        <f>3074/100000</f>
        <v>3.074E-2</v>
      </c>
      <c r="T5" s="2">
        <v>0.1837348</v>
      </c>
    </row>
    <row r="6" spans="1:20">
      <c r="A6" s="3" t="s">
        <v>46</v>
      </c>
      <c r="B6" s="1" t="s">
        <v>47</v>
      </c>
      <c r="C6" s="3" t="s">
        <v>48</v>
      </c>
      <c r="D6" s="3" t="s">
        <v>49</v>
      </c>
      <c r="E6" s="3" t="s">
        <v>50</v>
      </c>
      <c r="F6" s="3" t="s">
        <v>51</v>
      </c>
      <c r="G6" s="3" t="s">
        <v>52</v>
      </c>
      <c r="H6" s="11" t="s">
        <v>8049</v>
      </c>
      <c r="I6" s="3" t="s">
        <v>53</v>
      </c>
      <c r="J6" s="7">
        <v>1.02</v>
      </c>
      <c r="K6" s="2" t="s">
        <v>54</v>
      </c>
      <c r="L6" s="2">
        <v>0.94099999999999995</v>
      </c>
      <c r="M6" s="2">
        <f>100000/100000</f>
        <v>1</v>
      </c>
      <c r="N6" s="2">
        <v>0.82929589999999997</v>
      </c>
      <c r="O6" s="4" t="s">
        <v>55</v>
      </c>
      <c r="P6" s="2">
        <v>0.56999999999999995</v>
      </c>
      <c r="Q6" s="2" t="s">
        <v>56</v>
      </c>
      <c r="R6" s="2">
        <v>5.74E-2</v>
      </c>
      <c r="S6" s="2">
        <f>6179/100000</f>
        <v>6.1789999999999998E-2</v>
      </c>
      <c r="T6" s="2">
        <v>0.27451819999999999</v>
      </c>
    </row>
    <row r="7" spans="1:20">
      <c r="A7" s="3" t="s">
        <v>57</v>
      </c>
      <c r="B7" s="1" t="s">
        <v>58</v>
      </c>
      <c r="C7" s="3" t="s">
        <v>59</v>
      </c>
      <c r="D7" s="3" t="s">
        <v>60</v>
      </c>
      <c r="E7" s="3" t="s">
        <v>61</v>
      </c>
      <c r="F7" s="3" t="s">
        <v>62</v>
      </c>
      <c r="G7" s="3" t="s">
        <v>63</v>
      </c>
      <c r="H7" s="11" t="s">
        <v>8050</v>
      </c>
      <c r="I7" s="3" t="s">
        <v>64</v>
      </c>
      <c r="J7" s="7">
        <v>0.9</v>
      </c>
      <c r="K7" s="2" t="s">
        <v>65</v>
      </c>
      <c r="L7" s="2">
        <v>0.70199999999999996</v>
      </c>
      <c r="M7" s="2">
        <f>78656/100000</f>
        <v>0.78656000000000004</v>
      </c>
      <c r="N7" s="2">
        <v>0.82929589999999997</v>
      </c>
      <c r="O7" s="4" t="s">
        <v>66</v>
      </c>
      <c r="P7" s="2">
        <v>1.4</v>
      </c>
      <c r="Q7" s="7" t="s">
        <v>67</v>
      </c>
      <c r="R7" s="2">
        <v>0.21199999999999999</v>
      </c>
      <c r="S7" s="2">
        <f>21180/100000</f>
        <v>0.21179999999999999</v>
      </c>
      <c r="T7" s="2">
        <v>0.50399070000000001</v>
      </c>
    </row>
    <row r="8" spans="1:20">
      <c r="A8" s="3" t="s">
        <v>68</v>
      </c>
      <c r="B8" s="1" t="s">
        <v>69</v>
      </c>
      <c r="C8" s="3" t="s">
        <v>70</v>
      </c>
      <c r="D8" s="3" t="s">
        <v>71</v>
      </c>
      <c r="E8" s="3" t="s">
        <v>72</v>
      </c>
      <c r="F8" s="3" t="s">
        <v>73</v>
      </c>
      <c r="G8" s="3" t="s">
        <v>74</v>
      </c>
      <c r="H8" s="11" t="s">
        <v>8049</v>
      </c>
      <c r="I8" s="3" t="s">
        <v>75</v>
      </c>
      <c r="J8" s="7">
        <v>0.92</v>
      </c>
      <c r="K8" s="2" t="s">
        <v>76</v>
      </c>
      <c r="L8" s="2">
        <v>0.45800000000000002</v>
      </c>
      <c r="M8" s="2">
        <f>49042/100000</f>
        <v>0.49042000000000002</v>
      </c>
      <c r="N8" s="2">
        <v>0.73186450000000003</v>
      </c>
      <c r="O8" s="4" t="s">
        <v>77</v>
      </c>
      <c r="P8" s="2">
        <v>1.29</v>
      </c>
      <c r="Q8" s="7" t="s">
        <v>78</v>
      </c>
      <c r="R8" s="2">
        <v>7.3000000000000001E-3</v>
      </c>
      <c r="S8" s="2">
        <f>854/100000</f>
        <v>8.5400000000000007E-3</v>
      </c>
      <c r="T8" s="2">
        <v>7.8589430000000002E-2</v>
      </c>
    </row>
    <row r="9" spans="1:20">
      <c r="A9" s="3" t="s">
        <v>79</v>
      </c>
      <c r="B9" s="1" t="s">
        <v>80</v>
      </c>
      <c r="C9" s="3" t="s">
        <v>81</v>
      </c>
      <c r="D9" s="3" t="s">
        <v>82</v>
      </c>
      <c r="E9" s="3" t="s">
        <v>83</v>
      </c>
      <c r="F9" s="3" t="s">
        <v>84</v>
      </c>
      <c r="G9" s="3" t="s">
        <v>85</v>
      </c>
      <c r="H9" s="11" t="s">
        <v>8050</v>
      </c>
      <c r="I9" s="3" t="s">
        <v>86</v>
      </c>
      <c r="J9" s="7">
        <v>1.46</v>
      </c>
      <c r="K9" s="2" t="s">
        <v>87</v>
      </c>
      <c r="L9" s="2">
        <v>0.13700000000000001</v>
      </c>
      <c r="M9" s="2">
        <f>17464/100000</f>
        <v>0.17463999999999999</v>
      </c>
      <c r="N9" s="2">
        <v>0.46368680000000001</v>
      </c>
      <c r="O9" s="4" t="s">
        <v>88</v>
      </c>
      <c r="P9" s="2">
        <v>0.75</v>
      </c>
      <c r="Q9" s="7" t="s">
        <v>89</v>
      </c>
      <c r="R9" s="2">
        <v>0.43</v>
      </c>
      <c r="S9" s="2">
        <f>52009/100000</f>
        <v>0.52009000000000005</v>
      </c>
      <c r="T9" s="2">
        <v>0.74478149999999999</v>
      </c>
    </row>
    <row r="10" spans="1:20">
      <c r="A10" s="3" t="s">
        <v>90</v>
      </c>
      <c r="B10" s="1" t="s">
        <v>91</v>
      </c>
      <c r="C10" s="3" t="s">
        <v>92</v>
      </c>
      <c r="D10" s="3" t="s">
        <v>93</v>
      </c>
      <c r="E10" s="3" t="s">
        <v>94</v>
      </c>
      <c r="F10" s="3" t="s">
        <v>95</v>
      </c>
      <c r="G10" s="3" t="s">
        <v>96</v>
      </c>
      <c r="H10" s="11" t="s">
        <v>8051</v>
      </c>
      <c r="I10" s="3" t="s">
        <v>97</v>
      </c>
      <c r="J10" s="7">
        <v>0.89</v>
      </c>
      <c r="K10" s="2" t="s">
        <v>98</v>
      </c>
      <c r="L10" s="2">
        <v>0.66400000000000003</v>
      </c>
      <c r="M10" s="2">
        <f>70628/100000</f>
        <v>0.70628000000000002</v>
      </c>
      <c r="N10" s="2">
        <v>0.82137769999999999</v>
      </c>
      <c r="O10" s="4" t="s">
        <v>99</v>
      </c>
      <c r="P10" s="2">
        <v>0.71</v>
      </c>
      <c r="Q10" s="7" t="s">
        <v>100</v>
      </c>
      <c r="R10" s="2">
        <v>0.27600000000000002</v>
      </c>
      <c r="S10" s="2">
        <f>28782/100000</f>
        <v>0.28782000000000002</v>
      </c>
      <c r="T10" s="2">
        <v>0.57813919999999996</v>
      </c>
    </row>
    <row r="11" spans="1:20">
      <c r="A11" s="3" t="s">
        <v>101</v>
      </c>
      <c r="B11" s="1" t="s">
        <v>102</v>
      </c>
      <c r="C11" s="3" t="s">
        <v>103</v>
      </c>
      <c r="D11" s="3" t="s">
        <v>104</v>
      </c>
      <c r="E11" s="3" t="s">
        <v>105</v>
      </c>
      <c r="F11" s="3" t="s">
        <v>106</v>
      </c>
      <c r="G11" s="3" t="s">
        <v>107</v>
      </c>
      <c r="H11" s="11" t="s">
        <v>8052</v>
      </c>
      <c r="I11" s="3" t="s">
        <v>108</v>
      </c>
      <c r="J11" s="7">
        <v>1.1299999999999999</v>
      </c>
      <c r="K11" s="2" t="s">
        <v>109</v>
      </c>
      <c r="L11" s="2">
        <v>0.38100000000000001</v>
      </c>
      <c r="M11" s="2">
        <f>41203/100000</f>
        <v>0.41203000000000001</v>
      </c>
      <c r="N11" s="2">
        <v>0.67240169999999999</v>
      </c>
      <c r="O11" s="4" t="s">
        <v>110</v>
      </c>
      <c r="P11" s="2">
        <v>0.76</v>
      </c>
      <c r="Q11" s="7" t="s">
        <v>111</v>
      </c>
      <c r="R11" s="2">
        <v>6.9599999999999995E-2</v>
      </c>
      <c r="S11" s="2">
        <f>7815/100000</f>
        <v>7.8149999999999997E-2</v>
      </c>
      <c r="T11" s="2">
        <v>0.31469979999999997</v>
      </c>
    </row>
    <row r="12" spans="1:20">
      <c r="A12" s="3" t="s">
        <v>112</v>
      </c>
      <c r="B12" s="1" t="s">
        <v>102</v>
      </c>
      <c r="C12" s="3" t="s">
        <v>103</v>
      </c>
      <c r="D12" s="3" t="s">
        <v>113</v>
      </c>
      <c r="E12" s="3" t="s">
        <v>114</v>
      </c>
      <c r="F12" s="3" t="s">
        <v>115</v>
      </c>
      <c r="G12" s="3" t="s">
        <v>116</v>
      </c>
      <c r="H12" s="11" t="s">
        <v>8053</v>
      </c>
      <c r="I12" s="3" t="s">
        <v>117</v>
      </c>
      <c r="J12" s="7">
        <v>1.1100000000000001</v>
      </c>
      <c r="K12" s="2" t="s">
        <v>118</v>
      </c>
      <c r="L12" s="2">
        <v>0.68899999999999995</v>
      </c>
      <c r="M12" s="2">
        <f>78598/100000</f>
        <v>0.78598000000000001</v>
      </c>
      <c r="N12" s="2">
        <v>0.82929589999999997</v>
      </c>
      <c r="O12" s="4" t="s">
        <v>119</v>
      </c>
      <c r="P12" s="2">
        <v>1.27</v>
      </c>
      <c r="Q12" s="7" t="s">
        <v>120</v>
      </c>
      <c r="R12" s="2">
        <v>0.314</v>
      </c>
      <c r="S12" s="2">
        <f>36322/100000</f>
        <v>0.36321999999999999</v>
      </c>
      <c r="T12" s="2">
        <v>0.64099209999999995</v>
      </c>
    </row>
    <row r="13" spans="1:20">
      <c r="A13" s="3" t="s">
        <v>121</v>
      </c>
      <c r="B13" s="1" t="s">
        <v>122</v>
      </c>
      <c r="C13" s="3" t="s">
        <v>123</v>
      </c>
      <c r="D13" s="3" t="s">
        <v>124</v>
      </c>
      <c r="E13" s="3" t="s">
        <v>125</v>
      </c>
      <c r="F13" s="3" t="s">
        <v>126</v>
      </c>
      <c r="G13" s="3" t="s">
        <v>127</v>
      </c>
      <c r="H13" s="11" t="s">
        <v>8054</v>
      </c>
      <c r="I13" s="3" t="s">
        <v>128</v>
      </c>
      <c r="J13" s="7">
        <v>1.1100000000000001</v>
      </c>
      <c r="K13" s="2" t="s">
        <v>129</v>
      </c>
      <c r="L13" s="2">
        <v>0.626</v>
      </c>
      <c r="M13" s="2">
        <f>66763/100000</f>
        <v>0.66762999999999995</v>
      </c>
      <c r="N13" s="2">
        <v>0.80511429999999995</v>
      </c>
      <c r="O13" s="4" t="s">
        <v>130</v>
      </c>
      <c r="P13" s="2">
        <v>1.02</v>
      </c>
      <c r="Q13" s="7" t="s">
        <v>131</v>
      </c>
      <c r="R13" s="2">
        <v>0.93200000000000005</v>
      </c>
      <c r="S13" s="2">
        <f>100000/100000</f>
        <v>1</v>
      </c>
      <c r="T13" s="2">
        <v>0.82929589999999997</v>
      </c>
    </row>
    <row r="14" spans="1:20">
      <c r="A14" s="3" t="s">
        <v>132</v>
      </c>
      <c r="B14" s="1" t="s">
        <v>122</v>
      </c>
      <c r="C14" s="3" t="s">
        <v>123</v>
      </c>
      <c r="D14" s="3" t="s">
        <v>133</v>
      </c>
      <c r="E14" s="3" t="s">
        <v>134</v>
      </c>
      <c r="F14" s="3" t="s">
        <v>135</v>
      </c>
      <c r="G14" s="3" t="s">
        <v>136</v>
      </c>
      <c r="H14" s="11" t="s">
        <v>8054</v>
      </c>
      <c r="I14" s="3" t="s">
        <v>137</v>
      </c>
      <c r="J14" s="7">
        <v>0.78</v>
      </c>
      <c r="K14" s="2" t="s">
        <v>138</v>
      </c>
      <c r="L14" s="2">
        <v>0.26400000000000001</v>
      </c>
      <c r="M14" s="2">
        <f>30648/100000</f>
        <v>0.30647999999999997</v>
      </c>
      <c r="N14" s="2">
        <v>0.59429270000000001</v>
      </c>
      <c r="O14" s="4" t="s">
        <v>139</v>
      </c>
      <c r="P14" s="2">
        <v>0.89</v>
      </c>
      <c r="Q14" s="7" t="s">
        <v>140</v>
      </c>
      <c r="R14" s="2">
        <v>0.624</v>
      </c>
      <c r="S14" s="2">
        <f>65674/100000</f>
        <v>0.65673999999999999</v>
      </c>
      <c r="T14" s="2">
        <v>0.80511429999999995</v>
      </c>
    </row>
    <row r="15" spans="1:20">
      <c r="A15" s="3" t="s">
        <v>141</v>
      </c>
      <c r="B15" s="1" t="s">
        <v>142</v>
      </c>
      <c r="C15" s="3" t="s">
        <v>143</v>
      </c>
      <c r="D15" s="3" t="s">
        <v>144</v>
      </c>
      <c r="E15" s="3" t="s">
        <v>145</v>
      </c>
      <c r="F15" s="3" t="s">
        <v>146</v>
      </c>
      <c r="G15" s="3" t="s">
        <v>147</v>
      </c>
      <c r="H15" s="11" t="s">
        <v>8055</v>
      </c>
      <c r="I15" s="3" t="s">
        <v>148</v>
      </c>
      <c r="J15" s="7">
        <v>1.19</v>
      </c>
      <c r="K15" s="2" t="s">
        <v>149</v>
      </c>
      <c r="L15" s="2">
        <v>0.61099999999999999</v>
      </c>
      <c r="M15" s="2">
        <f>70702/100000</f>
        <v>0.70701999999999998</v>
      </c>
      <c r="N15" s="2">
        <v>0.82137769999999999</v>
      </c>
      <c r="O15" s="4" t="s">
        <v>150</v>
      </c>
      <c r="P15" s="2">
        <v>1.04</v>
      </c>
      <c r="Q15" s="7" t="s">
        <v>151</v>
      </c>
      <c r="R15" s="2">
        <v>0.91900000000000004</v>
      </c>
      <c r="S15" s="2">
        <f>100000/100000</f>
        <v>1</v>
      </c>
      <c r="T15" s="2">
        <v>0.82929589999999997</v>
      </c>
    </row>
    <row r="16" spans="1:20">
      <c r="A16" s="3" t="s">
        <v>152</v>
      </c>
      <c r="B16" s="1" t="s">
        <v>153</v>
      </c>
      <c r="C16" s="3" t="s">
        <v>154</v>
      </c>
      <c r="D16" s="3" t="s">
        <v>155</v>
      </c>
      <c r="E16" s="3" t="s">
        <v>156</v>
      </c>
      <c r="F16" s="3" t="s">
        <v>157</v>
      </c>
      <c r="G16" s="3" t="s">
        <v>158</v>
      </c>
      <c r="H16" s="11" t="s">
        <v>8056</v>
      </c>
      <c r="I16" s="3" t="s">
        <v>159</v>
      </c>
      <c r="J16" s="7">
        <v>1.27</v>
      </c>
      <c r="K16" s="2" t="s">
        <v>160</v>
      </c>
      <c r="L16" s="2">
        <v>0.57099999999999995</v>
      </c>
      <c r="M16" s="2">
        <f>63275/100000</f>
        <v>0.63275000000000003</v>
      </c>
      <c r="N16" s="2">
        <v>0.79869500000000004</v>
      </c>
      <c r="O16" s="4" t="s">
        <v>161</v>
      </c>
      <c r="P16" s="2">
        <v>1.6</v>
      </c>
      <c r="Q16" s="7" t="s">
        <v>162</v>
      </c>
      <c r="R16" s="2">
        <v>0.17799999999999999</v>
      </c>
      <c r="S16" s="2">
        <f>19300/100000</f>
        <v>0.193</v>
      </c>
      <c r="T16" s="2">
        <v>0.48203059999999998</v>
      </c>
    </row>
    <row r="17" spans="1:20">
      <c r="A17" s="3" t="s">
        <v>163</v>
      </c>
      <c r="B17" s="1" t="s">
        <v>153</v>
      </c>
      <c r="C17" s="3" t="s">
        <v>154</v>
      </c>
      <c r="D17" s="3" t="s">
        <v>164</v>
      </c>
      <c r="E17" s="3" t="s">
        <v>165</v>
      </c>
      <c r="F17" s="3" t="s">
        <v>166</v>
      </c>
      <c r="G17" s="3" t="s">
        <v>167</v>
      </c>
      <c r="H17" s="11" t="s">
        <v>8050</v>
      </c>
      <c r="I17" s="3" t="s">
        <v>168</v>
      </c>
      <c r="J17" s="7">
        <v>1.41</v>
      </c>
      <c r="K17" s="2" t="s">
        <v>169</v>
      </c>
      <c r="L17" s="2">
        <v>0.32700000000000001</v>
      </c>
      <c r="M17" s="2">
        <f>41376/100000</f>
        <v>0.41376000000000002</v>
      </c>
      <c r="N17" s="2">
        <v>0.67274999999999996</v>
      </c>
      <c r="O17" s="4" t="s">
        <v>170</v>
      </c>
      <c r="P17" s="2">
        <v>1.85</v>
      </c>
      <c r="Q17" s="7" t="s">
        <v>171</v>
      </c>
      <c r="R17" s="2">
        <v>2.86E-2</v>
      </c>
      <c r="S17" s="2">
        <f>4144/100000</f>
        <v>4.1439999999999998E-2</v>
      </c>
      <c r="T17" s="2">
        <v>0.2170087</v>
      </c>
    </row>
    <row r="18" spans="1:20">
      <c r="A18" s="3" t="s">
        <v>172</v>
      </c>
      <c r="B18" s="1" t="s">
        <v>173</v>
      </c>
      <c r="C18" s="3" t="s">
        <v>174</v>
      </c>
      <c r="D18" s="3" t="s">
        <v>175</v>
      </c>
      <c r="E18" s="3" t="s">
        <v>176</v>
      </c>
      <c r="F18" s="3" t="s">
        <v>177</v>
      </c>
      <c r="G18" s="3" t="s">
        <v>178</v>
      </c>
      <c r="H18" s="11" t="s">
        <v>8057</v>
      </c>
      <c r="I18" s="3" t="s">
        <v>179</v>
      </c>
      <c r="J18" s="7">
        <v>0.56999999999999995</v>
      </c>
      <c r="K18" s="2" t="s">
        <v>180</v>
      </c>
      <c r="L18" s="2">
        <v>0.26900000000000002</v>
      </c>
      <c r="M18" s="2">
        <f>32620/100000</f>
        <v>0.32619999999999999</v>
      </c>
      <c r="N18" s="2">
        <v>0.61139880000000002</v>
      </c>
      <c r="O18" s="4" t="s">
        <v>181</v>
      </c>
      <c r="P18" s="2">
        <v>1.34</v>
      </c>
      <c r="Q18" s="7" t="s">
        <v>182</v>
      </c>
      <c r="R18" s="2">
        <v>0.252</v>
      </c>
      <c r="S18" s="2">
        <f>31170/100000</f>
        <v>0.31169999999999998</v>
      </c>
      <c r="T18" s="2">
        <v>0.59780599999999995</v>
      </c>
    </row>
    <row r="19" spans="1:20">
      <c r="A19" s="3" t="s">
        <v>183</v>
      </c>
      <c r="B19" s="1" t="s">
        <v>184</v>
      </c>
      <c r="C19" s="3" t="s">
        <v>185</v>
      </c>
      <c r="D19" s="3" t="s">
        <v>186</v>
      </c>
      <c r="E19" s="3" t="s">
        <v>187</v>
      </c>
      <c r="F19" s="3" t="s">
        <v>188</v>
      </c>
      <c r="G19" s="3" t="s">
        <v>189</v>
      </c>
      <c r="H19" s="11" t="s">
        <v>8058</v>
      </c>
      <c r="I19" s="3" t="s">
        <v>190</v>
      </c>
      <c r="J19" s="7">
        <v>2.02</v>
      </c>
      <c r="K19" s="2" t="s">
        <v>191</v>
      </c>
      <c r="L19" s="2">
        <v>7.1400000000000001E-4</v>
      </c>
      <c r="M19" s="2">
        <f>152/100000</f>
        <v>1.5200000000000001E-3</v>
      </c>
      <c r="N19" s="2">
        <v>2.204859E-2</v>
      </c>
      <c r="O19" s="4" t="s">
        <v>192</v>
      </c>
      <c r="P19" s="2">
        <v>1.36</v>
      </c>
      <c r="Q19" s="7" t="s">
        <v>193</v>
      </c>
      <c r="R19" s="2">
        <v>0.13200000000000001</v>
      </c>
      <c r="S19" s="2">
        <f>15587/100000</f>
        <v>0.15587000000000001</v>
      </c>
      <c r="T19" s="2">
        <v>0.43347400000000003</v>
      </c>
    </row>
    <row r="20" spans="1:20">
      <c r="A20" s="3" t="s">
        <v>194</v>
      </c>
      <c r="B20" s="1" t="s">
        <v>184</v>
      </c>
      <c r="C20" s="3" t="s">
        <v>185</v>
      </c>
      <c r="D20" s="3" t="s">
        <v>195</v>
      </c>
      <c r="E20" s="3" t="s">
        <v>196</v>
      </c>
      <c r="F20" s="3" t="s">
        <v>197</v>
      </c>
      <c r="G20" s="3" t="s">
        <v>198</v>
      </c>
      <c r="H20" s="11" t="s">
        <v>8058</v>
      </c>
      <c r="I20" s="3" t="s">
        <v>199</v>
      </c>
      <c r="J20" s="7">
        <v>2.38</v>
      </c>
      <c r="K20" s="2" t="s">
        <v>200</v>
      </c>
      <c r="L20" s="2">
        <v>1.3900000000000001E-5</v>
      </c>
      <c r="M20" s="2">
        <f>8/100000</f>
        <v>8.0000000000000007E-5</v>
      </c>
      <c r="N20" s="2">
        <v>2.1175259999999998E-3</v>
      </c>
      <c r="O20" s="4" t="s">
        <v>201</v>
      </c>
      <c r="P20" s="2">
        <v>1.1599999999999999</v>
      </c>
      <c r="Q20" s="7" t="s">
        <v>202</v>
      </c>
      <c r="R20" s="2">
        <v>0.49399999999999999</v>
      </c>
      <c r="S20" s="2">
        <f>55991/100000</f>
        <v>0.55991000000000002</v>
      </c>
      <c r="T20" s="2">
        <v>0.75993659999999996</v>
      </c>
    </row>
    <row r="21" spans="1:20">
      <c r="A21" s="3" t="s">
        <v>203</v>
      </c>
      <c r="B21" s="1" t="s">
        <v>204</v>
      </c>
      <c r="C21" s="3" t="s">
        <v>205</v>
      </c>
      <c r="D21" s="3" t="s">
        <v>206</v>
      </c>
      <c r="E21" s="3" t="s">
        <v>207</v>
      </c>
      <c r="F21" s="3" t="s">
        <v>208</v>
      </c>
      <c r="G21" s="3" t="s">
        <v>209</v>
      </c>
      <c r="H21" s="11" t="s">
        <v>8059</v>
      </c>
      <c r="I21" s="3" t="s">
        <v>210</v>
      </c>
      <c r="J21" s="7">
        <v>0.48</v>
      </c>
      <c r="K21" s="2" t="s">
        <v>211</v>
      </c>
      <c r="L21" s="2">
        <v>0.13900000000000001</v>
      </c>
      <c r="M21" s="2">
        <f>14553/100000</f>
        <v>0.14552999999999999</v>
      </c>
      <c r="N21" s="2">
        <v>0.41650559999999998</v>
      </c>
      <c r="O21" s="4" t="s">
        <v>212</v>
      </c>
      <c r="P21" s="2">
        <v>0.63</v>
      </c>
      <c r="Q21" s="7" t="s">
        <v>213</v>
      </c>
      <c r="R21" s="2">
        <v>0.315</v>
      </c>
      <c r="S21" s="2">
        <f>35613/100000</f>
        <v>0.35613</v>
      </c>
      <c r="T21" s="2">
        <v>0.63342339999999997</v>
      </c>
    </row>
    <row r="22" spans="1:20">
      <c r="A22" s="3" t="s">
        <v>214</v>
      </c>
      <c r="B22" s="1" t="s">
        <v>215</v>
      </c>
      <c r="C22" s="3" t="s">
        <v>216</v>
      </c>
      <c r="D22" s="3" t="s">
        <v>217</v>
      </c>
      <c r="E22" s="3" t="s">
        <v>218</v>
      </c>
      <c r="F22" s="3" t="s">
        <v>219</v>
      </c>
      <c r="G22" s="3" t="s">
        <v>220</v>
      </c>
      <c r="H22" s="11" t="s">
        <v>8060</v>
      </c>
      <c r="I22" s="3" t="s">
        <v>221</v>
      </c>
      <c r="J22" s="7">
        <v>0.65</v>
      </c>
      <c r="K22" s="2" t="s">
        <v>222</v>
      </c>
      <c r="L22" s="2">
        <v>0.20200000000000001</v>
      </c>
      <c r="M22" s="2">
        <f>21119/100000</f>
        <v>0.21118999999999999</v>
      </c>
      <c r="N22" s="2">
        <v>0.50207829999999998</v>
      </c>
      <c r="O22" s="4" t="s">
        <v>223</v>
      </c>
      <c r="P22" s="2">
        <v>0.98</v>
      </c>
      <c r="Q22" s="7" t="s">
        <v>224</v>
      </c>
      <c r="R22" s="2">
        <v>0.93400000000000005</v>
      </c>
      <c r="S22" s="2">
        <f>100000/100000</f>
        <v>1</v>
      </c>
      <c r="T22" s="2">
        <v>0.82929589999999997</v>
      </c>
    </row>
    <row r="23" spans="1:20">
      <c r="A23" s="3" t="s">
        <v>225</v>
      </c>
      <c r="B23" s="1" t="s">
        <v>215</v>
      </c>
      <c r="C23" s="3" t="s">
        <v>216</v>
      </c>
      <c r="D23" s="3" t="s">
        <v>226</v>
      </c>
      <c r="E23" s="3" t="s">
        <v>227</v>
      </c>
      <c r="F23" s="3" t="s">
        <v>228</v>
      </c>
      <c r="G23" s="3" t="s">
        <v>229</v>
      </c>
      <c r="H23" s="11" t="s">
        <v>8061</v>
      </c>
      <c r="I23" s="3" t="s">
        <v>230</v>
      </c>
      <c r="J23" s="7">
        <v>0.97</v>
      </c>
      <c r="K23" s="2" t="s">
        <v>231</v>
      </c>
      <c r="L23" s="2">
        <v>0.92200000000000004</v>
      </c>
      <c r="M23" s="2">
        <f>100000/100000</f>
        <v>1</v>
      </c>
      <c r="N23" s="2">
        <v>0.82929589999999997</v>
      </c>
      <c r="O23" s="4" t="s">
        <v>232</v>
      </c>
      <c r="P23" s="2">
        <v>1.36</v>
      </c>
      <c r="Q23" s="7" t="s">
        <v>233</v>
      </c>
      <c r="R23" s="2">
        <v>0.159</v>
      </c>
      <c r="S23" s="2">
        <f>16969/100000</f>
        <v>0.16969000000000001</v>
      </c>
      <c r="T23" s="2">
        <v>0.4546615</v>
      </c>
    </row>
    <row r="24" spans="1:20">
      <c r="A24" s="3" t="s">
        <v>234</v>
      </c>
      <c r="B24" s="1" t="s">
        <v>235</v>
      </c>
      <c r="C24" s="3" t="s">
        <v>236</v>
      </c>
      <c r="D24" s="3" t="s">
        <v>237</v>
      </c>
      <c r="E24" s="5" t="s">
        <v>238</v>
      </c>
      <c r="F24" s="3" t="s">
        <v>239</v>
      </c>
      <c r="G24" s="5" t="s">
        <v>240</v>
      </c>
      <c r="H24" s="11" t="s">
        <v>8062</v>
      </c>
      <c r="I24" s="3" t="s">
        <v>241</v>
      </c>
      <c r="J24" s="7">
        <v>0.97</v>
      </c>
      <c r="K24" s="2" t="s">
        <v>242</v>
      </c>
      <c r="L24" s="2">
        <v>0.80400000000000005</v>
      </c>
      <c r="M24" s="2">
        <f>82528/100000</f>
        <v>0.82528000000000001</v>
      </c>
      <c r="N24" s="2">
        <v>0.82929589999999997</v>
      </c>
      <c r="O24" s="4" t="s">
        <v>243</v>
      </c>
      <c r="P24" s="2">
        <v>1.18</v>
      </c>
      <c r="Q24" s="7" t="s">
        <v>244</v>
      </c>
      <c r="R24" s="2">
        <v>6.3299999999999995E-2</v>
      </c>
      <c r="S24" s="2">
        <f>6729/100000</f>
        <v>6.7290000000000003E-2</v>
      </c>
      <c r="T24" s="2">
        <v>0.28895110000000002</v>
      </c>
    </row>
    <row r="25" spans="1:20">
      <c r="A25" s="3" t="s">
        <v>245</v>
      </c>
      <c r="B25" s="1" t="s">
        <v>246</v>
      </c>
      <c r="C25" s="3" t="s">
        <v>247</v>
      </c>
      <c r="D25" s="3" t="s">
        <v>248</v>
      </c>
      <c r="E25" s="3" t="s">
        <v>249</v>
      </c>
      <c r="F25" s="3" t="s">
        <v>250</v>
      </c>
      <c r="G25" s="3" t="s">
        <v>251</v>
      </c>
      <c r="H25" s="11" t="s">
        <v>8051</v>
      </c>
      <c r="I25" s="3" t="s">
        <v>252</v>
      </c>
      <c r="J25" s="7">
        <v>0.96</v>
      </c>
      <c r="K25" s="2" t="s">
        <v>253</v>
      </c>
      <c r="L25" s="2">
        <v>0.89700000000000002</v>
      </c>
      <c r="M25" s="2">
        <f>100000/100000</f>
        <v>1</v>
      </c>
      <c r="N25" s="2">
        <v>0.82929589999999997</v>
      </c>
      <c r="O25" s="4" t="s">
        <v>254</v>
      </c>
      <c r="P25" s="2">
        <v>0.46</v>
      </c>
      <c r="Q25" s="7" t="s">
        <v>255</v>
      </c>
      <c r="R25" s="2">
        <v>1.9699999999999999E-2</v>
      </c>
      <c r="S25" s="2">
        <f>2043/100000</f>
        <v>2.043E-2</v>
      </c>
      <c r="T25" s="2">
        <v>0.1414184</v>
      </c>
    </row>
    <row r="26" spans="1:20">
      <c r="A26" s="3" t="s">
        <v>256</v>
      </c>
      <c r="B26" s="1" t="s">
        <v>257</v>
      </c>
      <c r="C26" s="3" t="s">
        <v>258</v>
      </c>
      <c r="D26" s="3" t="s">
        <v>259</v>
      </c>
      <c r="E26" s="5" t="s">
        <v>260</v>
      </c>
      <c r="F26" s="3" t="s">
        <v>261</v>
      </c>
      <c r="G26" s="5" t="s">
        <v>262</v>
      </c>
      <c r="H26" s="11" t="s">
        <v>8063</v>
      </c>
      <c r="I26" s="3" t="s">
        <v>263</v>
      </c>
      <c r="J26" s="7">
        <v>0.28999999999999998</v>
      </c>
      <c r="K26" s="2" t="s">
        <v>264</v>
      </c>
      <c r="L26" s="2">
        <v>0.19900000000000001</v>
      </c>
      <c r="M26" s="2">
        <f>25563/100000</f>
        <v>0.25563000000000002</v>
      </c>
      <c r="N26" s="2">
        <v>0.55796259999999998</v>
      </c>
      <c r="O26" s="4" t="s">
        <v>265</v>
      </c>
      <c r="P26" s="2">
        <v>0.99</v>
      </c>
      <c r="Q26" s="7" t="s">
        <v>266</v>
      </c>
      <c r="R26" s="2">
        <v>0.98699999999999999</v>
      </c>
      <c r="S26" s="2">
        <f>100000/100000</f>
        <v>1</v>
      </c>
      <c r="T26" s="2">
        <v>0.82929589999999997</v>
      </c>
    </row>
    <row r="27" spans="1:20">
      <c r="A27" s="3" t="s">
        <v>267</v>
      </c>
      <c r="B27" s="1" t="s">
        <v>268</v>
      </c>
      <c r="C27" s="3" t="s">
        <v>269</v>
      </c>
      <c r="D27" s="3" t="s">
        <v>270</v>
      </c>
      <c r="E27" s="3" t="s">
        <v>271</v>
      </c>
      <c r="F27" s="3" t="s">
        <v>272</v>
      </c>
      <c r="G27" s="3" t="s">
        <v>273</v>
      </c>
      <c r="H27" s="11" t="s">
        <v>8064</v>
      </c>
      <c r="I27" s="3" t="s">
        <v>274</v>
      </c>
      <c r="J27" s="7">
        <v>1.4</v>
      </c>
      <c r="K27" s="2" t="s">
        <v>275</v>
      </c>
      <c r="L27" s="2">
        <v>9.5100000000000004E-2</v>
      </c>
      <c r="M27" s="2">
        <f>9963/100000</f>
        <v>9.9629999999999996E-2</v>
      </c>
      <c r="N27" s="2">
        <v>0.3565972</v>
      </c>
      <c r="O27" s="4" t="s">
        <v>276</v>
      </c>
      <c r="P27" s="2">
        <v>0.94</v>
      </c>
      <c r="Q27" s="7" t="s">
        <v>277</v>
      </c>
      <c r="R27" s="2">
        <v>0.81899999999999995</v>
      </c>
      <c r="S27" s="2">
        <f>90033/100000</f>
        <v>0.90032999999999996</v>
      </c>
      <c r="T27" s="2">
        <v>0.82929589999999997</v>
      </c>
    </row>
    <row r="28" spans="1:20">
      <c r="A28" s="3" t="s">
        <v>278</v>
      </c>
      <c r="B28" s="1" t="s">
        <v>268</v>
      </c>
      <c r="C28" s="3" t="s">
        <v>269</v>
      </c>
      <c r="D28" s="3" t="s">
        <v>279</v>
      </c>
      <c r="E28" s="3" t="s">
        <v>280</v>
      </c>
      <c r="F28" s="3" t="s">
        <v>272</v>
      </c>
      <c r="G28" s="3" t="s">
        <v>273</v>
      </c>
      <c r="H28" s="11" t="s">
        <v>8065</v>
      </c>
      <c r="I28" s="3" t="s">
        <v>281</v>
      </c>
      <c r="J28" s="7">
        <v>0.79</v>
      </c>
      <c r="K28" s="2" t="s">
        <v>282</v>
      </c>
      <c r="L28" s="2">
        <v>0.35099999999999998</v>
      </c>
      <c r="M28" s="2">
        <f>36901/100000</f>
        <v>0.36901</v>
      </c>
      <c r="N28" s="2">
        <v>0.64405679999999998</v>
      </c>
      <c r="O28" s="4" t="s">
        <v>283</v>
      </c>
      <c r="P28" s="2">
        <v>1.34</v>
      </c>
      <c r="Q28" s="7" t="s">
        <v>284</v>
      </c>
      <c r="R28" s="2">
        <v>0.156</v>
      </c>
      <c r="S28" s="2">
        <f>16052/100000</f>
        <v>0.16052</v>
      </c>
      <c r="T28" s="2">
        <v>0.4440038</v>
      </c>
    </row>
    <row r="29" spans="1:20">
      <c r="A29" s="3" t="s">
        <v>285</v>
      </c>
      <c r="B29" s="1" t="s">
        <v>286</v>
      </c>
      <c r="C29" s="3" t="s">
        <v>287</v>
      </c>
      <c r="D29" s="3" t="s">
        <v>288</v>
      </c>
      <c r="E29" s="3" t="s">
        <v>289</v>
      </c>
      <c r="F29" s="3" t="s">
        <v>290</v>
      </c>
      <c r="G29" s="3" t="s">
        <v>291</v>
      </c>
      <c r="H29" s="11" t="s">
        <v>8052</v>
      </c>
      <c r="I29" s="3" t="s">
        <v>292</v>
      </c>
      <c r="J29" s="7">
        <v>0.51</v>
      </c>
      <c r="K29" s="2" t="s">
        <v>293</v>
      </c>
      <c r="L29" s="2">
        <v>9.7600000000000006E-2</v>
      </c>
      <c r="M29" s="2">
        <f>12193/100000</f>
        <v>0.12193</v>
      </c>
      <c r="N29" s="2">
        <v>0.38766709999999999</v>
      </c>
      <c r="O29" s="4" t="s">
        <v>294</v>
      </c>
      <c r="P29" s="2">
        <v>1.68</v>
      </c>
      <c r="Q29" s="7" t="s">
        <v>295</v>
      </c>
      <c r="R29" s="2">
        <v>9.4699999999999993E-3</v>
      </c>
      <c r="S29" s="2">
        <f>1265/100000</f>
        <v>1.265E-2</v>
      </c>
      <c r="T29" s="2">
        <v>0.1012648</v>
      </c>
    </row>
    <row r="30" spans="1:20">
      <c r="A30" s="3" t="s">
        <v>296</v>
      </c>
      <c r="B30" s="1" t="s">
        <v>297</v>
      </c>
      <c r="C30" s="3" t="s">
        <v>298</v>
      </c>
      <c r="D30" s="3" t="s">
        <v>299</v>
      </c>
      <c r="E30" s="3" t="s">
        <v>300</v>
      </c>
      <c r="F30" s="3" t="s">
        <v>301</v>
      </c>
      <c r="G30" s="3" t="s">
        <v>302</v>
      </c>
      <c r="H30" s="11" t="s">
        <v>8066</v>
      </c>
      <c r="I30" s="3" t="s">
        <v>303</v>
      </c>
      <c r="J30" s="7">
        <v>0.61</v>
      </c>
      <c r="K30" s="2" t="s">
        <v>304</v>
      </c>
      <c r="L30" s="2">
        <v>0.39600000000000002</v>
      </c>
      <c r="M30" s="2">
        <f>48659/100000</f>
        <v>0.48659000000000002</v>
      </c>
      <c r="N30" s="2">
        <v>0.73078460000000001</v>
      </c>
      <c r="O30" s="4" t="s">
        <v>305</v>
      </c>
      <c r="P30" s="2">
        <v>1.31</v>
      </c>
      <c r="Q30" s="7" t="s">
        <v>306</v>
      </c>
      <c r="R30" s="2">
        <v>0.36099999999999999</v>
      </c>
      <c r="S30" s="2">
        <f>41023/100000</f>
        <v>0.41022999999999998</v>
      </c>
      <c r="T30" s="2">
        <v>0.67049360000000002</v>
      </c>
    </row>
    <row r="31" spans="1:20">
      <c r="A31" s="3" t="s">
        <v>307</v>
      </c>
      <c r="B31" s="1" t="s">
        <v>308</v>
      </c>
      <c r="C31" s="3" t="s">
        <v>309</v>
      </c>
      <c r="D31" s="3" t="s">
        <v>310</v>
      </c>
      <c r="E31" s="3" t="s">
        <v>311</v>
      </c>
      <c r="F31" s="3" t="s">
        <v>312</v>
      </c>
      <c r="G31" s="3" t="s">
        <v>313</v>
      </c>
      <c r="H31" s="11" t="s">
        <v>8067</v>
      </c>
      <c r="I31" s="3" t="s">
        <v>314</v>
      </c>
      <c r="J31" s="7">
        <v>1.68</v>
      </c>
      <c r="K31" s="2" t="s">
        <v>315</v>
      </c>
      <c r="L31" s="2">
        <v>7.0199999999999997E-6</v>
      </c>
      <c r="M31" s="2">
        <f>3/100000</f>
        <v>3.0000000000000001E-5</v>
      </c>
      <c r="N31" s="2">
        <v>9.1696430000000003E-4</v>
      </c>
      <c r="O31" s="4" t="s">
        <v>316</v>
      </c>
      <c r="P31" s="2">
        <v>0.94</v>
      </c>
      <c r="Q31" s="7" t="s">
        <v>317</v>
      </c>
      <c r="R31" s="2">
        <v>0.71699999999999997</v>
      </c>
      <c r="S31" s="2">
        <f>72899/100000</f>
        <v>0.72899000000000003</v>
      </c>
      <c r="T31" s="2">
        <v>0.82137769999999999</v>
      </c>
    </row>
    <row r="32" spans="1:20">
      <c r="A32" s="3" t="s">
        <v>318</v>
      </c>
      <c r="B32" s="1" t="s">
        <v>308</v>
      </c>
      <c r="C32" s="3" t="s">
        <v>309</v>
      </c>
      <c r="D32" s="3" t="s">
        <v>319</v>
      </c>
      <c r="E32" s="3" t="s">
        <v>320</v>
      </c>
      <c r="F32" s="3" t="s">
        <v>321</v>
      </c>
      <c r="G32" s="3" t="s">
        <v>322</v>
      </c>
      <c r="H32" s="11" t="s">
        <v>8068</v>
      </c>
      <c r="I32" s="3" t="s">
        <v>323</v>
      </c>
      <c r="J32" s="7">
        <v>1.28</v>
      </c>
      <c r="K32" s="2" t="s">
        <v>324</v>
      </c>
      <c r="L32" s="2">
        <v>0.22600000000000001</v>
      </c>
      <c r="M32" s="2">
        <f>25091/100000</f>
        <v>0.25091000000000002</v>
      </c>
      <c r="N32" s="2">
        <v>0.55316949999999998</v>
      </c>
      <c r="O32" s="4" t="s">
        <v>325</v>
      </c>
      <c r="P32" s="2">
        <v>0.69</v>
      </c>
      <c r="Q32" s="7" t="s">
        <v>326</v>
      </c>
      <c r="R32" s="2">
        <v>0.15</v>
      </c>
      <c r="S32" s="2">
        <f>15517/100000</f>
        <v>0.15517</v>
      </c>
      <c r="T32" s="2">
        <v>0.4316296</v>
      </c>
    </row>
    <row r="33" spans="1:20">
      <c r="A33" s="3" t="s">
        <v>327</v>
      </c>
      <c r="B33" s="1" t="s">
        <v>328</v>
      </c>
      <c r="C33" s="3" t="s">
        <v>329</v>
      </c>
      <c r="D33" s="3" t="s">
        <v>330</v>
      </c>
      <c r="E33" s="3" t="s">
        <v>331</v>
      </c>
      <c r="F33" s="3" t="s">
        <v>332</v>
      </c>
      <c r="G33" s="3" t="s">
        <v>333</v>
      </c>
      <c r="H33" s="11" t="s">
        <v>8069</v>
      </c>
      <c r="I33" s="3" t="s">
        <v>334</v>
      </c>
      <c r="J33" s="7">
        <v>0.82</v>
      </c>
      <c r="K33" s="2" t="s">
        <v>335</v>
      </c>
      <c r="L33" s="2">
        <v>0.19500000000000001</v>
      </c>
      <c r="M33" s="2">
        <f>20096/100000</f>
        <v>0.20096</v>
      </c>
      <c r="N33" s="2">
        <v>0.48870029999999998</v>
      </c>
      <c r="O33" s="4" t="s">
        <v>336</v>
      </c>
      <c r="P33" s="2">
        <v>0.89</v>
      </c>
      <c r="Q33" s="7" t="s">
        <v>337</v>
      </c>
      <c r="R33" s="2">
        <v>0.38900000000000001</v>
      </c>
      <c r="S33" s="2">
        <f>42567/100000</f>
        <v>0.42566999999999999</v>
      </c>
      <c r="T33" s="2">
        <v>0.68104299999999995</v>
      </c>
    </row>
    <row r="34" spans="1:20">
      <c r="A34" s="3" t="s">
        <v>338</v>
      </c>
      <c r="B34" s="1" t="s">
        <v>339</v>
      </c>
      <c r="C34" s="3" t="s">
        <v>340</v>
      </c>
      <c r="D34" s="3" t="s">
        <v>341</v>
      </c>
      <c r="E34" s="3" t="s">
        <v>342</v>
      </c>
      <c r="F34" s="3" t="s">
        <v>343</v>
      </c>
      <c r="G34" s="3" t="s">
        <v>344</v>
      </c>
      <c r="H34" s="11" t="s">
        <v>8060</v>
      </c>
      <c r="I34" s="3" t="s">
        <v>345</v>
      </c>
      <c r="J34" s="7">
        <v>1.23</v>
      </c>
      <c r="K34" s="2" t="s">
        <v>346</v>
      </c>
      <c r="L34" s="2">
        <v>0.111</v>
      </c>
      <c r="M34" s="2">
        <f>11676/100000</f>
        <v>0.11676</v>
      </c>
      <c r="N34" s="2">
        <v>0.38060929999999998</v>
      </c>
      <c r="O34" s="4" t="s">
        <v>347</v>
      </c>
      <c r="P34" s="2">
        <v>1.04</v>
      </c>
      <c r="Q34" s="7" t="s">
        <v>348</v>
      </c>
      <c r="R34" s="2">
        <v>0.878</v>
      </c>
      <c r="S34" s="2">
        <f>90773/100000</f>
        <v>0.90773000000000004</v>
      </c>
      <c r="T34" s="2">
        <v>0.82929589999999997</v>
      </c>
    </row>
    <row r="35" spans="1:20">
      <c r="A35" s="3" t="s">
        <v>349</v>
      </c>
      <c r="B35" s="1" t="s">
        <v>350</v>
      </c>
      <c r="C35" s="3" t="s">
        <v>351</v>
      </c>
      <c r="D35" s="3" t="s">
        <v>341</v>
      </c>
      <c r="E35" s="3" t="s">
        <v>342</v>
      </c>
      <c r="F35" s="3" t="s">
        <v>343</v>
      </c>
      <c r="G35" s="3" t="s">
        <v>344</v>
      </c>
      <c r="H35" s="11" t="s">
        <v>8070</v>
      </c>
      <c r="I35" s="3" t="s">
        <v>345</v>
      </c>
      <c r="J35" s="7">
        <v>1.23</v>
      </c>
      <c r="K35" s="2" t="s">
        <v>346</v>
      </c>
      <c r="L35" s="2">
        <v>0.111</v>
      </c>
      <c r="M35" s="2">
        <f>11676/100000</f>
        <v>0.11676</v>
      </c>
      <c r="N35" s="2">
        <v>0.38060929999999998</v>
      </c>
      <c r="O35" s="4" t="s">
        <v>347</v>
      </c>
      <c r="P35" s="2">
        <v>1.04</v>
      </c>
      <c r="Q35" s="7" t="s">
        <v>348</v>
      </c>
      <c r="R35" s="2">
        <v>0.878</v>
      </c>
      <c r="S35" s="2">
        <f>90773/100000</f>
        <v>0.90773000000000004</v>
      </c>
      <c r="T35" s="2">
        <v>0.82929589999999997</v>
      </c>
    </row>
    <row r="36" spans="1:20">
      <c r="A36" s="3" t="s">
        <v>352</v>
      </c>
      <c r="B36" s="1" t="s">
        <v>353</v>
      </c>
      <c r="C36" s="3" t="s">
        <v>354</v>
      </c>
      <c r="D36" s="3" t="s">
        <v>355</v>
      </c>
      <c r="E36" s="3" t="s">
        <v>356</v>
      </c>
      <c r="F36" s="3" t="s">
        <v>357</v>
      </c>
      <c r="G36" s="3" t="s">
        <v>358</v>
      </c>
      <c r="H36" s="11" t="s">
        <v>8071</v>
      </c>
      <c r="I36" s="3" t="s">
        <v>359</v>
      </c>
      <c r="J36" s="7">
        <v>0.82</v>
      </c>
      <c r="K36" s="2" t="s">
        <v>360</v>
      </c>
      <c r="L36" s="2">
        <v>0.69</v>
      </c>
      <c r="M36" s="2">
        <f>82081/100000</f>
        <v>0.82081000000000004</v>
      </c>
      <c r="N36" s="2">
        <v>0.82929589999999997</v>
      </c>
      <c r="O36" s="4" t="s">
        <v>361</v>
      </c>
      <c r="P36" s="2">
        <v>1.01</v>
      </c>
      <c r="Q36" s="7" t="s">
        <v>362</v>
      </c>
      <c r="R36" s="2">
        <v>0.97799999999999998</v>
      </c>
      <c r="S36" s="2">
        <f>100000/100000</f>
        <v>1</v>
      </c>
      <c r="T36" s="2">
        <v>0.82929589999999997</v>
      </c>
    </row>
    <row r="37" spans="1:20">
      <c r="A37" s="3" t="s">
        <v>363</v>
      </c>
      <c r="B37" s="1" t="s">
        <v>364</v>
      </c>
      <c r="C37" s="3" t="s">
        <v>365</v>
      </c>
      <c r="D37" s="3" t="s">
        <v>366</v>
      </c>
      <c r="E37" s="3" t="s">
        <v>367</v>
      </c>
      <c r="F37" s="3" t="s">
        <v>368</v>
      </c>
      <c r="G37" s="3" t="s">
        <v>369</v>
      </c>
      <c r="H37" s="11" t="s">
        <v>8072</v>
      </c>
      <c r="I37" s="3" t="s">
        <v>370</v>
      </c>
      <c r="J37" s="7">
        <v>1.24</v>
      </c>
      <c r="K37" s="2" t="s">
        <v>371</v>
      </c>
      <c r="L37" s="2">
        <v>0.436</v>
      </c>
      <c r="M37" s="2">
        <f>43950/100000</f>
        <v>0.4395</v>
      </c>
      <c r="N37" s="2">
        <v>0.69010380000000004</v>
      </c>
      <c r="O37" s="4" t="s">
        <v>372</v>
      </c>
      <c r="P37" s="2">
        <v>0.7</v>
      </c>
      <c r="Q37" s="7" t="s">
        <v>373</v>
      </c>
      <c r="R37" s="2">
        <v>0.39300000000000002</v>
      </c>
      <c r="S37" s="2">
        <f>47266/100000</f>
        <v>0.47266000000000002</v>
      </c>
      <c r="T37" s="2">
        <v>0.72030099999999997</v>
      </c>
    </row>
    <row r="38" spans="1:20">
      <c r="A38" s="3" t="s">
        <v>374</v>
      </c>
      <c r="B38" s="1" t="s">
        <v>375</v>
      </c>
      <c r="C38" s="3" t="s">
        <v>376</v>
      </c>
      <c r="D38" s="3" t="s">
        <v>377</v>
      </c>
      <c r="E38" s="3" t="s">
        <v>378</v>
      </c>
      <c r="F38" s="3" t="s">
        <v>379</v>
      </c>
      <c r="G38" s="3" t="s">
        <v>380</v>
      </c>
      <c r="H38" s="11" t="s">
        <v>8073</v>
      </c>
      <c r="I38" s="3" t="s">
        <v>381</v>
      </c>
      <c r="J38" s="7">
        <v>1.08</v>
      </c>
      <c r="K38" s="2" t="s">
        <v>382</v>
      </c>
      <c r="L38" s="2">
        <v>0.80800000000000005</v>
      </c>
      <c r="M38" s="2">
        <f>86264/100000</f>
        <v>0.86263999999999996</v>
      </c>
      <c r="N38" s="2">
        <v>0.82929589999999997</v>
      </c>
      <c r="O38" s="4" t="s">
        <v>383</v>
      </c>
      <c r="P38" s="2">
        <v>0.95</v>
      </c>
      <c r="Q38" s="7" t="s">
        <v>384</v>
      </c>
      <c r="R38" s="2">
        <v>0.90200000000000002</v>
      </c>
      <c r="S38" s="2">
        <f>100000/100000</f>
        <v>1</v>
      </c>
      <c r="T38" s="2">
        <v>0.82929589999999997</v>
      </c>
    </row>
    <row r="39" spans="1:20">
      <c r="A39" s="3" t="s">
        <v>385</v>
      </c>
      <c r="B39" s="1" t="s">
        <v>375</v>
      </c>
      <c r="C39" s="3" t="s">
        <v>376</v>
      </c>
      <c r="D39" s="3" t="s">
        <v>386</v>
      </c>
      <c r="E39" s="3" t="s">
        <v>387</v>
      </c>
      <c r="F39" s="3" t="s">
        <v>388</v>
      </c>
      <c r="G39" s="3" t="s">
        <v>389</v>
      </c>
      <c r="H39" s="11" t="s">
        <v>8053</v>
      </c>
      <c r="I39" s="3" t="s">
        <v>390</v>
      </c>
      <c r="J39" s="7">
        <v>2.2200000000000002</v>
      </c>
      <c r="K39" s="2" t="s">
        <v>391</v>
      </c>
      <c r="L39" s="2">
        <v>6.6800000000000002E-3</v>
      </c>
      <c r="M39" s="2">
        <f>1078/100000</f>
        <v>1.078E-2</v>
      </c>
      <c r="N39" s="2">
        <v>9.0617649999999994E-2</v>
      </c>
      <c r="O39" s="4" t="s">
        <v>392</v>
      </c>
      <c r="P39" s="2">
        <v>1.1000000000000001</v>
      </c>
      <c r="Q39" s="7" t="s">
        <v>393</v>
      </c>
      <c r="R39" s="2">
        <v>0.78100000000000003</v>
      </c>
      <c r="S39" s="2">
        <f>85325/100000</f>
        <v>0.85324999999999995</v>
      </c>
      <c r="T39" s="2">
        <v>0.82929589999999997</v>
      </c>
    </row>
    <row r="40" spans="1:20">
      <c r="A40" s="3" t="s">
        <v>394</v>
      </c>
      <c r="B40" s="1" t="s">
        <v>395</v>
      </c>
      <c r="C40" s="3" t="s">
        <v>396</v>
      </c>
      <c r="D40" s="3" t="s">
        <v>397</v>
      </c>
      <c r="E40" s="3" t="s">
        <v>398</v>
      </c>
      <c r="F40" s="3" t="s">
        <v>399</v>
      </c>
      <c r="G40" s="3" t="s">
        <v>400</v>
      </c>
      <c r="H40" s="11" t="s">
        <v>8074</v>
      </c>
      <c r="I40" s="3" t="s">
        <v>401</v>
      </c>
      <c r="J40" s="7">
        <v>0.68</v>
      </c>
      <c r="K40" s="2" t="s">
        <v>402</v>
      </c>
      <c r="L40" s="2">
        <v>0.39700000000000002</v>
      </c>
      <c r="M40" s="2">
        <f>44947/100000</f>
        <v>0.44946999999999998</v>
      </c>
      <c r="N40" s="2">
        <v>0.69853390000000004</v>
      </c>
      <c r="O40" s="4" t="s">
        <v>403</v>
      </c>
      <c r="P40" s="2">
        <v>1.52</v>
      </c>
      <c r="Q40" s="7" t="s">
        <v>404</v>
      </c>
      <c r="R40" s="2">
        <v>0.17199999999999999</v>
      </c>
      <c r="S40" s="2">
        <f>19841/100000</f>
        <v>0.19841</v>
      </c>
      <c r="T40" s="2">
        <v>0.48870029999999998</v>
      </c>
    </row>
    <row r="41" spans="1:20">
      <c r="A41" s="3" t="s">
        <v>405</v>
      </c>
      <c r="B41" s="1" t="s">
        <v>406</v>
      </c>
      <c r="C41" s="3" t="s">
        <v>407</v>
      </c>
      <c r="D41" s="3" t="s">
        <v>408</v>
      </c>
      <c r="E41" s="3" t="s">
        <v>409</v>
      </c>
      <c r="F41" s="3" t="s">
        <v>410</v>
      </c>
      <c r="G41" s="3" t="s">
        <v>411</v>
      </c>
      <c r="H41" s="11" t="s">
        <v>8055</v>
      </c>
      <c r="I41" s="3" t="s">
        <v>412</v>
      </c>
      <c r="J41" s="7">
        <v>0.86</v>
      </c>
      <c r="K41" s="2" t="s">
        <v>413</v>
      </c>
      <c r="L41" s="2">
        <v>0.71499999999999997</v>
      </c>
      <c r="M41" s="2">
        <f>84639/100000</f>
        <v>0.84638999999999998</v>
      </c>
      <c r="N41" s="2">
        <v>0.82929589999999997</v>
      </c>
      <c r="O41" s="4" t="s">
        <v>414</v>
      </c>
      <c r="P41" s="2">
        <v>0.31</v>
      </c>
      <c r="Q41" s="7" t="s">
        <v>415</v>
      </c>
      <c r="R41" s="2">
        <v>3.2300000000000002E-2</v>
      </c>
      <c r="S41" s="2">
        <f>3818/100000</f>
        <v>3.8179999999999999E-2</v>
      </c>
      <c r="T41" s="2">
        <v>0.2064811</v>
      </c>
    </row>
    <row r="42" spans="1:20">
      <c r="A42" s="3" t="s">
        <v>416</v>
      </c>
      <c r="B42" s="1" t="s">
        <v>406</v>
      </c>
      <c r="C42" s="3" t="s">
        <v>407</v>
      </c>
      <c r="D42" s="3" t="s">
        <v>417</v>
      </c>
      <c r="E42" s="3" t="s">
        <v>418</v>
      </c>
      <c r="F42" s="3" t="s">
        <v>410</v>
      </c>
      <c r="G42" s="3" t="s">
        <v>411</v>
      </c>
      <c r="H42" s="11" t="s">
        <v>8075</v>
      </c>
      <c r="I42" s="3" t="s">
        <v>419</v>
      </c>
      <c r="J42" s="7">
        <v>0.98</v>
      </c>
      <c r="K42" s="2" t="s">
        <v>420</v>
      </c>
      <c r="L42" s="2">
        <v>0.95099999999999996</v>
      </c>
      <c r="M42" s="2">
        <f>100000/100000</f>
        <v>1</v>
      </c>
      <c r="N42" s="2">
        <v>0.82929589999999997</v>
      </c>
      <c r="O42" s="4" t="s">
        <v>421</v>
      </c>
      <c r="P42" s="2">
        <v>1.53</v>
      </c>
      <c r="Q42" s="7" t="s">
        <v>422</v>
      </c>
      <c r="R42" s="2">
        <v>0.127</v>
      </c>
      <c r="S42" s="2">
        <f>12726/100000</f>
        <v>0.12726000000000001</v>
      </c>
      <c r="T42" s="2">
        <v>0.39428360000000001</v>
      </c>
    </row>
    <row r="43" spans="1:20">
      <c r="A43" s="3" t="s">
        <v>423</v>
      </c>
      <c r="B43" s="1" t="s">
        <v>406</v>
      </c>
      <c r="C43" s="3" t="s">
        <v>407</v>
      </c>
      <c r="D43" s="3" t="s">
        <v>424</v>
      </c>
      <c r="E43" s="3" t="s">
        <v>425</v>
      </c>
      <c r="F43" s="3" t="s">
        <v>426</v>
      </c>
      <c r="G43" s="3" t="s">
        <v>427</v>
      </c>
      <c r="H43" s="11" t="s">
        <v>8076</v>
      </c>
      <c r="I43" s="3" t="s">
        <v>428</v>
      </c>
      <c r="J43" s="7">
        <v>0.81</v>
      </c>
      <c r="K43" s="2" t="s">
        <v>429</v>
      </c>
      <c r="L43" s="2">
        <v>0.65</v>
      </c>
      <c r="M43" s="2">
        <f>68896/100000</f>
        <v>0.68896000000000002</v>
      </c>
      <c r="N43" s="2">
        <v>0.81339530000000004</v>
      </c>
      <c r="O43" s="4" t="s">
        <v>430</v>
      </c>
      <c r="P43" s="2">
        <v>0.82</v>
      </c>
      <c r="Q43" s="7" t="s">
        <v>431</v>
      </c>
      <c r="R43" s="2">
        <v>0.64500000000000002</v>
      </c>
      <c r="S43" s="2">
        <f>70881/100000</f>
        <v>0.70881000000000005</v>
      </c>
      <c r="T43" s="2">
        <v>0.82137769999999999</v>
      </c>
    </row>
    <row r="44" spans="1:20">
      <c r="A44" s="3" t="s">
        <v>432</v>
      </c>
      <c r="B44" s="1" t="s">
        <v>406</v>
      </c>
      <c r="C44" s="3" t="s">
        <v>407</v>
      </c>
      <c r="D44" s="3" t="s">
        <v>433</v>
      </c>
      <c r="E44" s="3" t="s">
        <v>434</v>
      </c>
      <c r="F44" s="3" t="s">
        <v>426</v>
      </c>
      <c r="G44" s="3" t="s">
        <v>427</v>
      </c>
      <c r="H44" s="11" t="s">
        <v>8056</v>
      </c>
      <c r="I44" s="3" t="s">
        <v>435</v>
      </c>
      <c r="J44" s="7">
        <v>0.2</v>
      </c>
      <c r="K44" s="2" t="s">
        <v>436</v>
      </c>
      <c r="L44" s="2">
        <v>1.0800000000000001E-2</v>
      </c>
      <c r="M44" s="2">
        <f>1023/100000</f>
        <v>1.023E-2</v>
      </c>
      <c r="N44" s="2">
        <v>8.8176770000000002E-2</v>
      </c>
      <c r="O44" s="4" t="s">
        <v>437</v>
      </c>
      <c r="P44" s="2">
        <v>0.65</v>
      </c>
      <c r="Q44" s="7" t="s">
        <v>438</v>
      </c>
      <c r="R44" s="2">
        <v>0.29699999999999999</v>
      </c>
      <c r="S44" s="2">
        <f>31062/100000</f>
        <v>0.31062000000000001</v>
      </c>
      <c r="T44" s="2">
        <v>0.59678059999999999</v>
      </c>
    </row>
    <row r="45" spans="1:20">
      <c r="A45" s="3" t="s">
        <v>439</v>
      </c>
      <c r="B45" s="1" t="s">
        <v>440</v>
      </c>
      <c r="C45" s="3" t="s">
        <v>441</v>
      </c>
      <c r="D45" s="3" t="s">
        <v>442</v>
      </c>
      <c r="E45" s="3" t="s">
        <v>443</v>
      </c>
      <c r="F45" s="3" t="s">
        <v>444</v>
      </c>
      <c r="G45" s="3" t="s">
        <v>445</v>
      </c>
      <c r="H45" s="11" t="s">
        <v>8054</v>
      </c>
      <c r="I45" s="3" t="s">
        <v>446</v>
      </c>
      <c r="J45" s="7">
        <v>1.72</v>
      </c>
      <c r="K45" s="2" t="s">
        <v>447</v>
      </c>
      <c r="L45" s="2">
        <v>2.47E-2</v>
      </c>
      <c r="M45" s="2">
        <f>3170/100000</f>
        <v>3.1699999999999999E-2</v>
      </c>
      <c r="N45" s="2">
        <v>0.18497669999999999</v>
      </c>
      <c r="O45" s="4" t="s">
        <v>448</v>
      </c>
      <c r="P45" s="2">
        <v>0.99</v>
      </c>
      <c r="Q45" s="7" t="s">
        <v>449</v>
      </c>
      <c r="R45" s="2">
        <v>0.98199999999999998</v>
      </c>
      <c r="S45" s="2">
        <f>100000/100000</f>
        <v>1</v>
      </c>
      <c r="T45" s="2">
        <v>0.82929589999999997</v>
      </c>
    </row>
    <row r="46" spans="1:20">
      <c r="A46" s="3" t="s">
        <v>450</v>
      </c>
      <c r="B46" s="1" t="s">
        <v>440</v>
      </c>
      <c r="C46" s="3" t="s">
        <v>441</v>
      </c>
      <c r="D46" s="3" t="s">
        <v>451</v>
      </c>
      <c r="E46" s="3" t="s">
        <v>452</v>
      </c>
      <c r="F46" s="3" t="s">
        <v>453</v>
      </c>
      <c r="G46" s="3" t="s">
        <v>454</v>
      </c>
      <c r="H46" s="11" t="s">
        <v>8077</v>
      </c>
      <c r="I46" s="3" t="s">
        <v>455</v>
      </c>
      <c r="J46" s="7">
        <v>1.06</v>
      </c>
      <c r="K46" s="2" t="s">
        <v>456</v>
      </c>
      <c r="L46" s="2">
        <v>0.85199999999999998</v>
      </c>
      <c r="M46" s="2">
        <f>88235/100000</f>
        <v>0.88234999999999997</v>
      </c>
      <c r="N46" s="2">
        <v>0.82929589999999997</v>
      </c>
      <c r="O46" s="4" t="s">
        <v>457</v>
      </c>
      <c r="P46" s="2">
        <v>1.1000000000000001</v>
      </c>
      <c r="Q46" s="7" t="s">
        <v>458</v>
      </c>
      <c r="R46" s="2">
        <v>0.73399999999999999</v>
      </c>
      <c r="S46" s="2">
        <f>77012/100000</f>
        <v>0.77012000000000003</v>
      </c>
      <c r="T46" s="2">
        <v>0.82929589999999997</v>
      </c>
    </row>
    <row r="47" spans="1:20">
      <c r="A47" s="3" t="s">
        <v>459</v>
      </c>
      <c r="B47" s="1" t="s">
        <v>440</v>
      </c>
      <c r="C47" s="3" t="s">
        <v>441</v>
      </c>
      <c r="D47" s="3" t="s">
        <v>460</v>
      </c>
      <c r="E47" s="3" t="s">
        <v>461</v>
      </c>
      <c r="F47" s="3" t="s">
        <v>444</v>
      </c>
      <c r="G47" s="3" t="s">
        <v>445</v>
      </c>
      <c r="H47" s="11" t="s">
        <v>8078</v>
      </c>
      <c r="I47" s="3" t="s">
        <v>462</v>
      </c>
      <c r="J47" s="7">
        <v>0.96</v>
      </c>
      <c r="K47" s="2" t="s">
        <v>463</v>
      </c>
      <c r="L47" s="2">
        <v>0.86899999999999999</v>
      </c>
      <c r="M47" s="2">
        <f>89430/100000</f>
        <v>0.89429999999999998</v>
      </c>
      <c r="N47" s="2">
        <v>0.82929589999999997</v>
      </c>
      <c r="O47" s="4" t="s">
        <v>464</v>
      </c>
      <c r="P47" s="2">
        <v>0.83</v>
      </c>
      <c r="Q47" s="7" t="s">
        <v>465</v>
      </c>
      <c r="R47" s="2">
        <v>0.59699999999999998</v>
      </c>
      <c r="S47" s="2">
        <f>64134/100000</f>
        <v>0.64134000000000002</v>
      </c>
      <c r="T47" s="2">
        <v>0.79869500000000004</v>
      </c>
    </row>
    <row r="48" spans="1:20">
      <c r="A48" s="3" t="s">
        <v>466</v>
      </c>
      <c r="B48" s="1" t="s">
        <v>440</v>
      </c>
      <c r="C48" s="3" t="s">
        <v>441</v>
      </c>
      <c r="D48" s="3" t="s">
        <v>467</v>
      </c>
      <c r="E48" s="3" t="s">
        <v>468</v>
      </c>
      <c r="F48" s="3" t="s">
        <v>453</v>
      </c>
      <c r="G48" s="3" t="s">
        <v>454</v>
      </c>
      <c r="H48" s="11" t="s">
        <v>8079</v>
      </c>
      <c r="I48" s="3" t="s">
        <v>469</v>
      </c>
      <c r="J48" s="7">
        <v>1.05</v>
      </c>
      <c r="K48" s="2" t="s">
        <v>470</v>
      </c>
      <c r="L48" s="2">
        <v>0.87</v>
      </c>
      <c r="M48" s="2">
        <f>88997/100000</f>
        <v>0.88997000000000004</v>
      </c>
      <c r="N48" s="2">
        <v>0.82929589999999997</v>
      </c>
      <c r="O48" s="4" t="s">
        <v>471</v>
      </c>
      <c r="P48" s="2">
        <v>1.19</v>
      </c>
      <c r="Q48" s="7" t="s">
        <v>472</v>
      </c>
      <c r="R48" s="2">
        <v>0.52800000000000002</v>
      </c>
      <c r="S48" s="2">
        <f>54504/100000</f>
        <v>0.54503999999999997</v>
      </c>
      <c r="T48" s="2">
        <v>0.74606439999999996</v>
      </c>
    </row>
    <row r="49" spans="1:20">
      <c r="A49" s="3" t="s">
        <v>473</v>
      </c>
      <c r="B49" s="1" t="s">
        <v>474</v>
      </c>
      <c r="C49" s="3" t="s">
        <v>475</v>
      </c>
      <c r="D49" s="3" t="s">
        <v>442</v>
      </c>
      <c r="E49" s="3" t="s">
        <v>443</v>
      </c>
      <c r="F49" s="3" t="s">
        <v>444</v>
      </c>
      <c r="G49" s="3" t="s">
        <v>445</v>
      </c>
      <c r="H49" s="11" t="s">
        <v>8054</v>
      </c>
      <c r="I49" s="3" t="s">
        <v>446</v>
      </c>
      <c r="J49" s="7">
        <v>1.72</v>
      </c>
      <c r="K49" s="2" t="s">
        <v>447</v>
      </c>
      <c r="L49" s="2">
        <v>2.47E-2</v>
      </c>
      <c r="M49" s="2">
        <f>3170/100000</f>
        <v>3.1699999999999999E-2</v>
      </c>
      <c r="N49" s="2">
        <v>0.18497669999999999</v>
      </c>
      <c r="O49" s="4" t="s">
        <v>448</v>
      </c>
      <c r="P49" s="2">
        <v>0.99</v>
      </c>
      <c r="Q49" s="7" t="s">
        <v>449</v>
      </c>
      <c r="R49" s="2">
        <v>0.98199999999999998</v>
      </c>
      <c r="S49" s="2">
        <f>100000/100000</f>
        <v>1</v>
      </c>
      <c r="T49" s="2">
        <v>0.82929589999999997</v>
      </c>
    </row>
    <row r="50" spans="1:20">
      <c r="A50" s="3" t="s">
        <v>476</v>
      </c>
      <c r="B50" s="1" t="s">
        <v>474</v>
      </c>
      <c r="C50" s="3" t="s">
        <v>475</v>
      </c>
      <c r="D50" s="3" t="s">
        <v>460</v>
      </c>
      <c r="E50" s="3" t="s">
        <v>461</v>
      </c>
      <c r="F50" s="3" t="s">
        <v>444</v>
      </c>
      <c r="G50" s="3" t="s">
        <v>445</v>
      </c>
      <c r="H50" s="11" t="s">
        <v>8080</v>
      </c>
      <c r="I50" s="3" t="s">
        <v>462</v>
      </c>
      <c r="J50" s="7">
        <v>0.96</v>
      </c>
      <c r="K50" s="2" t="s">
        <v>463</v>
      </c>
      <c r="L50" s="2">
        <v>0.86899999999999999</v>
      </c>
      <c r="M50" s="2">
        <f>89430/100000</f>
        <v>0.89429999999999998</v>
      </c>
      <c r="N50" s="2">
        <v>0.82929589999999997</v>
      </c>
      <c r="O50" s="4" t="s">
        <v>464</v>
      </c>
      <c r="P50" s="2">
        <v>0.83</v>
      </c>
      <c r="Q50" s="7" t="s">
        <v>465</v>
      </c>
      <c r="R50" s="2">
        <v>0.59699999999999998</v>
      </c>
      <c r="S50" s="2">
        <f>64134/100000</f>
        <v>0.64134000000000002</v>
      </c>
      <c r="T50" s="2">
        <v>0.79869500000000004</v>
      </c>
    </row>
    <row r="51" spans="1:20">
      <c r="A51" s="3" t="s">
        <v>477</v>
      </c>
      <c r="B51" s="1" t="s">
        <v>474</v>
      </c>
      <c r="C51" s="3" t="s">
        <v>475</v>
      </c>
      <c r="D51" s="3" t="s">
        <v>478</v>
      </c>
      <c r="E51" s="3" t="s">
        <v>479</v>
      </c>
      <c r="F51" s="3" t="s">
        <v>480</v>
      </c>
      <c r="G51" s="3" t="s">
        <v>481</v>
      </c>
      <c r="H51" s="11" t="s">
        <v>8079</v>
      </c>
      <c r="I51" s="3" t="s">
        <v>469</v>
      </c>
      <c r="J51" s="7">
        <v>1.05</v>
      </c>
      <c r="K51" s="2" t="s">
        <v>470</v>
      </c>
      <c r="L51" s="2">
        <v>0.87</v>
      </c>
      <c r="M51" s="2">
        <f>88997/100000</f>
        <v>0.88997000000000004</v>
      </c>
      <c r="N51" s="2">
        <v>0.82929589999999997</v>
      </c>
      <c r="O51" s="4" t="s">
        <v>471</v>
      </c>
      <c r="P51" s="2">
        <v>1.19</v>
      </c>
      <c r="Q51" s="7" t="s">
        <v>472</v>
      </c>
      <c r="R51" s="2">
        <v>0.52800000000000002</v>
      </c>
      <c r="S51" s="2">
        <f>54504/100000</f>
        <v>0.54503999999999997</v>
      </c>
      <c r="T51" s="2">
        <v>0.74606439999999996</v>
      </c>
    </row>
    <row r="52" spans="1:20">
      <c r="A52" s="3" t="s">
        <v>482</v>
      </c>
      <c r="B52" s="1" t="s">
        <v>474</v>
      </c>
      <c r="C52" s="3" t="s">
        <v>475</v>
      </c>
      <c r="D52" s="3" t="s">
        <v>483</v>
      </c>
      <c r="E52" s="3" t="s">
        <v>484</v>
      </c>
      <c r="F52" s="3" t="s">
        <v>480</v>
      </c>
      <c r="G52" s="3" t="s">
        <v>481</v>
      </c>
      <c r="H52" s="11" t="s">
        <v>8081</v>
      </c>
      <c r="I52" s="3" t="s">
        <v>455</v>
      </c>
      <c r="J52" s="7">
        <v>1.06</v>
      </c>
      <c r="K52" s="2" t="s">
        <v>456</v>
      </c>
      <c r="L52" s="2">
        <v>0.85199999999999998</v>
      </c>
      <c r="M52" s="2">
        <f>88235/100000</f>
        <v>0.88234999999999997</v>
      </c>
      <c r="N52" s="2">
        <v>0.82929589999999997</v>
      </c>
      <c r="O52" s="4" t="s">
        <v>457</v>
      </c>
      <c r="P52" s="2">
        <v>1.1000000000000001</v>
      </c>
      <c r="Q52" s="7" t="s">
        <v>458</v>
      </c>
      <c r="R52" s="2">
        <v>0.73399999999999999</v>
      </c>
      <c r="S52" s="2">
        <f>77012/100000</f>
        <v>0.77012000000000003</v>
      </c>
      <c r="T52" s="2">
        <v>0.82929589999999997</v>
      </c>
    </row>
    <row r="53" spans="1:20">
      <c r="A53" s="3" t="s">
        <v>485</v>
      </c>
      <c r="B53" s="1" t="s">
        <v>474</v>
      </c>
      <c r="C53" s="3" t="s">
        <v>475</v>
      </c>
      <c r="D53" s="3" t="s">
        <v>408</v>
      </c>
      <c r="E53" s="3" t="s">
        <v>409</v>
      </c>
      <c r="F53" s="3" t="s">
        <v>410</v>
      </c>
      <c r="G53" s="3" t="s">
        <v>411</v>
      </c>
      <c r="H53" s="11" t="s">
        <v>8055</v>
      </c>
      <c r="I53" s="3" t="s">
        <v>412</v>
      </c>
      <c r="J53" s="7">
        <v>0.86</v>
      </c>
      <c r="K53" s="2" t="s">
        <v>413</v>
      </c>
      <c r="L53" s="2">
        <v>0.71499999999999997</v>
      </c>
      <c r="M53" s="2">
        <f>84639/100000</f>
        <v>0.84638999999999998</v>
      </c>
      <c r="N53" s="2">
        <v>0.82929589999999997</v>
      </c>
      <c r="O53" s="4" t="s">
        <v>414</v>
      </c>
      <c r="P53" s="2">
        <v>0.31</v>
      </c>
      <c r="Q53" s="7" t="s">
        <v>415</v>
      </c>
      <c r="R53" s="2">
        <v>3.2300000000000002E-2</v>
      </c>
      <c r="S53" s="2">
        <f>3818/100000</f>
        <v>3.8179999999999999E-2</v>
      </c>
      <c r="T53" s="2">
        <v>0.2064811</v>
      </c>
    </row>
    <row r="54" spans="1:20">
      <c r="A54" s="3" t="s">
        <v>486</v>
      </c>
      <c r="B54" s="1" t="s">
        <v>474</v>
      </c>
      <c r="C54" s="3" t="s">
        <v>475</v>
      </c>
      <c r="D54" s="3" t="s">
        <v>417</v>
      </c>
      <c r="E54" s="3" t="s">
        <v>418</v>
      </c>
      <c r="F54" s="3" t="s">
        <v>410</v>
      </c>
      <c r="G54" s="3" t="s">
        <v>411</v>
      </c>
      <c r="H54" s="11" t="s">
        <v>8082</v>
      </c>
      <c r="I54" s="3" t="s">
        <v>419</v>
      </c>
      <c r="J54" s="7">
        <v>0.98</v>
      </c>
      <c r="K54" s="2" t="s">
        <v>420</v>
      </c>
      <c r="L54" s="2">
        <v>0.95099999999999996</v>
      </c>
      <c r="M54" s="2">
        <f>100000/100000</f>
        <v>1</v>
      </c>
      <c r="N54" s="2">
        <v>0.82929589999999997</v>
      </c>
      <c r="O54" s="4" t="s">
        <v>421</v>
      </c>
      <c r="P54" s="2">
        <v>1.53</v>
      </c>
      <c r="Q54" s="7" t="s">
        <v>422</v>
      </c>
      <c r="R54" s="2">
        <v>0.127</v>
      </c>
      <c r="S54" s="2">
        <f>12726/100000</f>
        <v>0.12726000000000001</v>
      </c>
      <c r="T54" s="2">
        <v>0.39428360000000001</v>
      </c>
    </row>
    <row r="55" spans="1:20">
      <c r="A55" s="3" t="s">
        <v>487</v>
      </c>
      <c r="B55" s="1" t="s">
        <v>474</v>
      </c>
      <c r="C55" s="3" t="s">
        <v>475</v>
      </c>
      <c r="D55" s="3" t="s">
        <v>424</v>
      </c>
      <c r="E55" s="3" t="s">
        <v>425</v>
      </c>
      <c r="F55" s="3" t="s">
        <v>426</v>
      </c>
      <c r="G55" s="3" t="s">
        <v>427</v>
      </c>
      <c r="H55" s="11" t="s">
        <v>8083</v>
      </c>
      <c r="I55" s="3" t="s">
        <v>428</v>
      </c>
      <c r="J55" s="7">
        <v>0.81</v>
      </c>
      <c r="K55" s="2" t="s">
        <v>429</v>
      </c>
      <c r="L55" s="2">
        <v>0.65</v>
      </c>
      <c r="M55" s="2">
        <f>68896/100000</f>
        <v>0.68896000000000002</v>
      </c>
      <c r="N55" s="2">
        <v>0.81339530000000004</v>
      </c>
      <c r="O55" s="4" t="s">
        <v>430</v>
      </c>
      <c r="P55" s="2">
        <v>0.82</v>
      </c>
      <c r="Q55" s="7" t="s">
        <v>431</v>
      </c>
      <c r="R55" s="2">
        <v>0.64500000000000002</v>
      </c>
      <c r="S55" s="2">
        <f>70881/100000</f>
        <v>0.70881000000000005</v>
      </c>
      <c r="T55" s="2">
        <v>0.82137769999999999</v>
      </c>
    </row>
    <row r="56" spans="1:20">
      <c r="A56" s="3" t="s">
        <v>488</v>
      </c>
      <c r="B56" s="1" t="s">
        <v>474</v>
      </c>
      <c r="C56" s="3" t="s">
        <v>475</v>
      </c>
      <c r="D56" s="3" t="s">
        <v>433</v>
      </c>
      <c r="E56" s="3" t="s">
        <v>434</v>
      </c>
      <c r="F56" s="3" t="s">
        <v>426</v>
      </c>
      <c r="G56" s="3" t="s">
        <v>427</v>
      </c>
      <c r="H56" s="11" t="s">
        <v>8056</v>
      </c>
      <c r="I56" s="3" t="s">
        <v>435</v>
      </c>
      <c r="J56" s="7">
        <v>0.2</v>
      </c>
      <c r="K56" s="2" t="s">
        <v>436</v>
      </c>
      <c r="L56" s="2">
        <v>1.0800000000000001E-2</v>
      </c>
      <c r="M56" s="2">
        <f>1023/100000</f>
        <v>1.023E-2</v>
      </c>
      <c r="N56" s="2">
        <v>8.8176770000000002E-2</v>
      </c>
      <c r="O56" s="4" t="s">
        <v>437</v>
      </c>
      <c r="P56" s="2">
        <v>0.65</v>
      </c>
      <c r="Q56" s="7" t="s">
        <v>438</v>
      </c>
      <c r="R56" s="2">
        <v>0.29699999999999999</v>
      </c>
      <c r="S56" s="2">
        <f>31062/100000</f>
        <v>0.31062000000000001</v>
      </c>
      <c r="T56" s="2">
        <v>0.59678059999999999</v>
      </c>
    </row>
    <row r="57" spans="1:20">
      <c r="A57" s="3" t="s">
        <v>489</v>
      </c>
      <c r="B57" s="1" t="s">
        <v>490</v>
      </c>
      <c r="C57" s="3" t="s">
        <v>491</v>
      </c>
      <c r="D57" s="3" t="s">
        <v>492</v>
      </c>
      <c r="E57" s="3" t="s">
        <v>493</v>
      </c>
      <c r="F57" s="3" t="s">
        <v>494</v>
      </c>
      <c r="G57" s="3" t="s">
        <v>495</v>
      </c>
      <c r="H57" s="11" t="s">
        <v>8084</v>
      </c>
      <c r="I57" s="3" t="s">
        <v>496</v>
      </c>
      <c r="J57" s="7">
        <v>0.64</v>
      </c>
      <c r="K57" s="2" t="s">
        <v>497</v>
      </c>
      <c r="L57" s="2">
        <v>1.0999999999999999E-2</v>
      </c>
      <c r="M57" s="2">
        <f>1281/100000</f>
        <v>1.281E-2</v>
      </c>
      <c r="N57" s="2">
        <v>0.10174610000000001</v>
      </c>
      <c r="O57" s="4" t="s">
        <v>498</v>
      </c>
      <c r="P57" s="2">
        <v>1.94</v>
      </c>
      <c r="Q57" s="7" t="s">
        <v>499</v>
      </c>
      <c r="R57" s="2">
        <v>2.5300000000000002E-9</v>
      </c>
      <c r="S57" s="2" t="s">
        <v>500</v>
      </c>
      <c r="T57" s="2">
        <v>3.517123E-4</v>
      </c>
    </row>
    <row r="58" spans="1:20">
      <c r="A58" s="3" t="s">
        <v>501</v>
      </c>
      <c r="B58" s="1" t="s">
        <v>490</v>
      </c>
      <c r="C58" s="3" t="s">
        <v>491</v>
      </c>
      <c r="D58" s="3" t="s">
        <v>502</v>
      </c>
      <c r="E58" s="3" t="s">
        <v>503</v>
      </c>
      <c r="F58" s="3" t="s">
        <v>504</v>
      </c>
      <c r="G58" s="3" t="s">
        <v>505</v>
      </c>
      <c r="H58" s="11" t="s">
        <v>8085</v>
      </c>
      <c r="I58" s="3" t="s">
        <v>506</v>
      </c>
      <c r="J58" s="7">
        <v>0.81</v>
      </c>
      <c r="K58" s="2" t="s">
        <v>507</v>
      </c>
      <c r="L58" s="2">
        <v>0.40699999999999997</v>
      </c>
      <c r="M58" s="2">
        <f>41798/100000</f>
        <v>0.41798000000000002</v>
      </c>
      <c r="N58" s="2">
        <v>0.67565790000000003</v>
      </c>
      <c r="O58" s="4" t="s">
        <v>508</v>
      </c>
      <c r="P58" s="2">
        <v>0.86</v>
      </c>
      <c r="Q58" s="7" t="s">
        <v>509</v>
      </c>
      <c r="R58" s="2">
        <v>0.52800000000000002</v>
      </c>
      <c r="S58" s="2">
        <f>57125/100000</f>
        <v>0.57125000000000004</v>
      </c>
      <c r="T58" s="2">
        <v>0.76356380000000001</v>
      </c>
    </row>
    <row r="59" spans="1:20">
      <c r="A59" s="3" t="s">
        <v>510</v>
      </c>
      <c r="B59" s="1" t="s">
        <v>511</v>
      </c>
      <c r="C59" s="3" t="s">
        <v>512</v>
      </c>
      <c r="D59" s="3" t="s">
        <v>513</v>
      </c>
      <c r="E59" s="5" t="s">
        <v>514</v>
      </c>
      <c r="F59" s="3" t="s">
        <v>515</v>
      </c>
      <c r="G59" s="3" t="s">
        <v>516</v>
      </c>
      <c r="H59" s="11" t="s">
        <v>8086</v>
      </c>
      <c r="I59" s="3" t="s">
        <v>517</v>
      </c>
      <c r="J59" s="7">
        <v>0.81</v>
      </c>
      <c r="K59" s="2" t="s">
        <v>518</v>
      </c>
      <c r="L59" s="2">
        <v>1.9599999999999999E-2</v>
      </c>
      <c r="M59" s="2">
        <f>2041/100000</f>
        <v>2.0410000000000001E-2</v>
      </c>
      <c r="N59" s="2">
        <v>0.1414184</v>
      </c>
      <c r="O59" s="4" t="s">
        <v>519</v>
      </c>
      <c r="P59" s="2">
        <v>1.05</v>
      </c>
      <c r="Q59" s="7" t="s">
        <v>520</v>
      </c>
      <c r="R59" s="2">
        <v>0.46899999999999997</v>
      </c>
      <c r="S59" s="2">
        <f>48370/100000</f>
        <v>0.48370000000000002</v>
      </c>
      <c r="T59" s="2">
        <v>0.73078460000000001</v>
      </c>
    </row>
    <row r="60" spans="1:20">
      <c r="A60" s="3" t="s">
        <v>521</v>
      </c>
      <c r="B60" s="1" t="s">
        <v>511</v>
      </c>
      <c r="C60" s="3" t="s">
        <v>512</v>
      </c>
      <c r="D60" s="3" t="s">
        <v>522</v>
      </c>
      <c r="E60" s="3" t="s">
        <v>523</v>
      </c>
      <c r="F60" s="3" t="s">
        <v>515</v>
      </c>
      <c r="G60" s="3" t="s">
        <v>516</v>
      </c>
      <c r="H60" s="11" t="s">
        <v>8087</v>
      </c>
      <c r="I60" s="3" t="s">
        <v>524</v>
      </c>
      <c r="J60" s="7">
        <v>0.95</v>
      </c>
      <c r="K60" s="2" t="s">
        <v>525</v>
      </c>
      <c r="L60" s="2">
        <v>0.52800000000000002</v>
      </c>
      <c r="M60" s="2">
        <f>55544/100000</f>
        <v>0.55544000000000004</v>
      </c>
      <c r="N60" s="2">
        <v>0.75594830000000002</v>
      </c>
      <c r="O60" s="4" t="s">
        <v>526</v>
      </c>
      <c r="P60" s="2">
        <v>1.01</v>
      </c>
      <c r="Q60" s="7" t="s">
        <v>527</v>
      </c>
      <c r="R60" s="2">
        <v>0.84799999999999998</v>
      </c>
      <c r="S60" s="2">
        <f>85433/100000</f>
        <v>0.85433000000000003</v>
      </c>
      <c r="T60" s="2">
        <v>0.82929589999999997</v>
      </c>
    </row>
    <row r="61" spans="1:20">
      <c r="A61" s="3" t="s">
        <v>528</v>
      </c>
      <c r="B61" s="1" t="s">
        <v>529</v>
      </c>
      <c r="C61" s="3" t="s">
        <v>530</v>
      </c>
      <c r="D61" s="3" t="s">
        <v>531</v>
      </c>
      <c r="E61" s="3" t="s">
        <v>532</v>
      </c>
      <c r="F61" s="3" t="s">
        <v>533</v>
      </c>
      <c r="G61" s="3" t="s">
        <v>534</v>
      </c>
      <c r="H61" s="11" t="s">
        <v>8057</v>
      </c>
      <c r="I61" s="3" t="s">
        <v>535</v>
      </c>
      <c r="J61" s="7">
        <v>1.1299999999999999</v>
      </c>
      <c r="K61" s="2" t="s">
        <v>536</v>
      </c>
      <c r="L61" s="2">
        <v>0.27900000000000003</v>
      </c>
      <c r="M61" s="2">
        <f>29246/100000</f>
        <v>0.29246</v>
      </c>
      <c r="N61" s="2">
        <v>0.57823020000000003</v>
      </c>
      <c r="O61" s="4" t="s">
        <v>537</v>
      </c>
      <c r="P61" s="2">
        <v>1.34</v>
      </c>
      <c r="Q61" s="7" t="s">
        <v>538</v>
      </c>
      <c r="R61" s="2">
        <v>1.04E-2</v>
      </c>
      <c r="S61" s="2">
        <f>1136/100000</f>
        <v>1.136E-2</v>
      </c>
      <c r="T61" s="2">
        <v>9.2919050000000003E-2</v>
      </c>
    </row>
    <row r="62" spans="1:20">
      <c r="A62" s="3" t="s">
        <v>539</v>
      </c>
      <c r="B62" s="1" t="s">
        <v>529</v>
      </c>
      <c r="C62" s="3" t="s">
        <v>530</v>
      </c>
      <c r="D62" s="3" t="s">
        <v>540</v>
      </c>
      <c r="E62" s="3" t="s">
        <v>541</v>
      </c>
      <c r="F62" s="3" t="s">
        <v>533</v>
      </c>
      <c r="G62" s="3" t="s">
        <v>534</v>
      </c>
      <c r="H62" s="11" t="s">
        <v>8057</v>
      </c>
      <c r="I62" s="3" t="s">
        <v>542</v>
      </c>
      <c r="J62" s="7">
        <v>1.4</v>
      </c>
      <c r="K62" s="2" t="s">
        <v>543</v>
      </c>
      <c r="L62" s="2">
        <v>2.1800000000000001E-3</v>
      </c>
      <c r="M62" s="2">
        <f>220/100000</f>
        <v>2.2000000000000001E-3</v>
      </c>
      <c r="N62" s="2">
        <v>2.8527779999999999E-2</v>
      </c>
      <c r="O62" s="4" t="s">
        <v>544</v>
      </c>
      <c r="P62" s="2">
        <v>1.2</v>
      </c>
      <c r="Q62" s="7" t="s">
        <v>545</v>
      </c>
      <c r="R62" s="2">
        <v>0.24399999999999999</v>
      </c>
      <c r="S62" s="2">
        <f>26961/100000</f>
        <v>0.26961000000000002</v>
      </c>
      <c r="T62" s="2">
        <v>0.56620890000000001</v>
      </c>
    </row>
    <row r="63" spans="1:20">
      <c r="A63" s="3" t="s">
        <v>546</v>
      </c>
      <c r="B63" s="1" t="s">
        <v>547</v>
      </c>
      <c r="C63" s="3" t="s">
        <v>548</v>
      </c>
      <c r="D63" s="3" t="s">
        <v>549</v>
      </c>
      <c r="E63" s="3" t="s">
        <v>550</v>
      </c>
      <c r="F63" s="3" t="s">
        <v>551</v>
      </c>
      <c r="G63" s="3" t="s">
        <v>552</v>
      </c>
      <c r="H63" s="11" t="s">
        <v>8059</v>
      </c>
      <c r="I63" s="3" t="s">
        <v>553</v>
      </c>
      <c r="J63" s="7">
        <v>0.97</v>
      </c>
      <c r="K63" s="2" t="s">
        <v>554</v>
      </c>
      <c r="L63" s="2">
        <v>0.96399999999999997</v>
      </c>
      <c r="M63" s="2">
        <f>100000/100000</f>
        <v>1</v>
      </c>
      <c r="N63" s="2">
        <v>0.82929589999999997</v>
      </c>
      <c r="O63" s="4" t="s">
        <v>555</v>
      </c>
      <c r="P63" s="2">
        <v>2.33</v>
      </c>
      <c r="Q63" s="7" t="s">
        <v>556</v>
      </c>
      <c r="R63" s="2">
        <v>3.3000000000000002E-2</v>
      </c>
      <c r="S63" s="2">
        <f>4312/100000</f>
        <v>4.3119999999999999E-2</v>
      </c>
      <c r="T63" s="2">
        <v>0.2222073</v>
      </c>
    </row>
    <row r="64" spans="1:20">
      <c r="A64" s="3" t="s">
        <v>557</v>
      </c>
      <c r="B64" s="1" t="s">
        <v>558</v>
      </c>
      <c r="C64" s="3" t="s">
        <v>559</v>
      </c>
      <c r="D64" s="3" t="s">
        <v>560</v>
      </c>
      <c r="E64" s="3" t="s">
        <v>561</v>
      </c>
      <c r="F64" s="3" t="s">
        <v>562</v>
      </c>
      <c r="G64" s="3" t="s">
        <v>563</v>
      </c>
      <c r="H64" s="11" t="s">
        <v>8088</v>
      </c>
      <c r="I64" s="3" t="s">
        <v>564</v>
      </c>
      <c r="J64" s="7">
        <v>0.68</v>
      </c>
      <c r="K64" s="2" t="s">
        <v>565</v>
      </c>
      <c r="L64" s="2">
        <v>0.218</v>
      </c>
      <c r="M64" s="2">
        <f>23757/100000</f>
        <v>0.23757</v>
      </c>
      <c r="N64" s="2">
        <v>0.53743620000000003</v>
      </c>
      <c r="O64" s="4" t="s">
        <v>566</v>
      </c>
      <c r="P64" s="2">
        <v>1.1299999999999999</v>
      </c>
      <c r="Q64" s="7" t="s">
        <v>567</v>
      </c>
      <c r="R64" s="2">
        <v>0.70799999999999996</v>
      </c>
      <c r="S64" s="2">
        <f>73725/100000</f>
        <v>0.73724999999999996</v>
      </c>
      <c r="T64" s="2">
        <v>0.82137769999999999</v>
      </c>
    </row>
    <row r="65" spans="1:20">
      <c r="A65" s="3" t="s">
        <v>568</v>
      </c>
      <c r="B65" s="1" t="s">
        <v>558</v>
      </c>
      <c r="C65" s="3" t="s">
        <v>559</v>
      </c>
      <c r="D65" s="3" t="s">
        <v>569</v>
      </c>
      <c r="E65" s="3" t="s">
        <v>570</v>
      </c>
      <c r="F65" s="3" t="s">
        <v>571</v>
      </c>
      <c r="G65" s="3" t="s">
        <v>572</v>
      </c>
      <c r="H65" s="11" t="s">
        <v>8088</v>
      </c>
      <c r="I65" s="3" t="s">
        <v>573</v>
      </c>
      <c r="J65" s="7">
        <v>0.91</v>
      </c>
      <c r="K65" s="2" t="s">
        <v>574</v>
      </c>
      <c r="L65" s="2">
        <v>0.74</v>
      </c>
      <c r="M65" s="2">
        <f>79588/100000</f>
        <v>0.79588000000000003</v>
      </c>
      <c r="N65" s="2">
        <v>0.82929589999999997</v>
      </c>
      <c r="O65" s="4" t="s">
        <v>575</v>
      </c>
      <c r="P65" s="2">
        <v>1.46</v>
      </c>
      <c r="Q65" s="7" t="s">
        <v>576</v>
      </c>
      <c r="R65" s="2">
        <v>0.10100000000000001</v>
      </c>
      <c r="S65" s="2">
        <f>10429/100000</f>
        <v>0.10428999999999999</v>
      </c>
      <c r="T65" s="2">
        <v>0.36230659999999998</v>
      </c>
    </row>
    <row r="66" spans="1:20">
      <c r="A66" s="3" t="s">
        <v>577</v>
      </c>
      <c r="B66" s="1" t="s">
        <v>578</v>
      </c>
      <c r="C66" s="3" t="s">
        <v>579</v>
      </c>
      <c r="D66" s="3" t="s">
        <v>580</v>
      </c>
      <c r="E66" s="3" t="s">
        <v>581</v>
      </c>
      <c r="F66" s="3" t="s">
        <v>582</v>
      </c>
      <c r="G66" s="3" t="s">
        <v>583</v>
      </c>
      <c r="H66" s="11" t="s">
        <v>8089</v>
      </c>
      <c r="I66" s="3" t="s">
        <v>584</v>
      </c>
      <c r="J66" s="7">
        <v>1.23</v>
      </c>
      <c r="K66" s="2" t="s">
        <v>585</v>
      </c>
      <c r="L66" s="2">
        <v>0.32500000000000001</v>
      </c>
      <c r="M66" s="2">
        <f>34996/100000</f>
        <v>0.34995999999999999</v>
      </c>
      <c r="N66" s="2">
        <v>0.6266562</v>
      </c>
      <c r="O66" s="4" t="s">
        <v>586</v>
      </c>
      <c r="P66" s="2">
        <v>1.33</v>
      </c>
      <c r="Q66" s="7" t="s">
        <v>587</v>
      </c>
      <c r="R66" s="2">
        <v>0.16800000000000001</v>
      </c>
      <c r="S66" s="2">
        <f>20044/100000</f>
        <v>0.20044000000000001</v>
      </c>
      <c r="T66" s="2">
        <v>0.48870029999999998</v>
      </c>
    </row>
    <row r="67" spans="1:20">
      <c r="A67" s="3" t="s">
        <v>588</v>
      </c>
      <c r="B67" s="1" t="s">
        <v>578</v>
      </c>
      <c r="C67" s="3" t="s">
        <v>579</v>
      </c>
      <c r="D67" s="3" t="s">
        <v>589</v>
      </c>
      <c r="E67" s="3" t="s">
        <v>590</v>
      </c>
      <c r="F67" s="3" t="s">
        <v>591</v>
      </c>
      <c r="G67" s="3" t="s">
        <v>592</v>
      </c>
      <c r="H67" s="12" t="s">
        <v>8090</v>
      </c>
      <c r="I67" s="3" t="s">
        <v>593</v>
      </c>
      <c r="J67" s="7">
        <v>1.28</v>
      </c>
      <c r="K67" s="2" t="s">
        <v>594</v>
      </c>
      <c r="L67" s="2">
        <v>4.5600000000000002E-2</v>
      </c>
      <c r="M67" s="2">
        <f>5249/100000</f>
        <v>5.2490000000000002E-2</v>
      </c>
      <c r="N67" s="2">
        <v>0.2500812</v>
      </c>
      <c r="O67" s="4" t="s">
        <v>595</v>
      </c>
      <c r="P67" s="2">
        <v>1.44</v>
      </c>
      <c r="Q67" s="7" t="s">
        <v>596</v>
      </c>
      <c r="R67" s="2">
        <v>3.48E-3</v>
      </c>
      <c r="S67" s="2">
        <f>410/100000</f>
        <v>4.1000000000000003E-3</v>
      </c>
      <c r="T67" s="2">
        <v>4.7205160000000003E-2</v>
      </c>
    </row>
    <row r="68" spans="1:20">
      <c r="A68" s="3" t="s">
        <v>597</v>
      </c>
      <c r="B68" s="1" t="s">
        <v>598</v>
      </c>
      <c r="C68" s="3" t="s">
        <v>599</v>
      </c>
      <c r="D68" s="3" t="s">
        <v>600</v>
      </c>
      <c r="E68" s="3" t="s">
        <v>601</v>
      </c>
      <c r="F68" s="3" t="s">
        <v>602</v>
      </c>
      <c r="G68" s="3" t="s">
        <v>603</v>
      </c>
      <c r="H68" s="11" t="s">
        <v>8091</v>
      </c>
      <c r="I68" s="3" t="s">
        <v>604</v>
      </c>
      <c r="J68" s="7">
        <v>0.94</v>
      </c>
      <c r="K68" s="2" t="s">
        <v>605</v>
      </c>
      <c r="L68" s="2">
        <v>0.55000000000000004</v>
      </c>
      <c r="M68" s="2">
        <f>56322/100000</f>
        <v>0.56322000000000005</v>
      </c>
      <c r="N68" s="2">
        <v>0.76054100000000002</v>
      </c>
      <c r="O68" s="4" t="s">
        <v>606</v>
      </c>
      <c r="P68" s="2">
        <v>0.7</v>
      </c>
      <c r="Q68" s="7" t="s">
        <v>607</v>
      </c>
      <c r="R68" s="2">
        <v>9.2000000000000003E-4</v>
      </c>
      <c r="S68" s="2">
        <f>121/100000</f>
        <v>1.2099999999999999E-3</v>
      </c>
      <c r="T68" s="2">
        <v>1.929612E-2</v>
      </c>
    </row>
    <row r="69" spans="1:20">
      <c r="A69" s="3" t="s">
        <v>608</v>
      </c>
      <c r="B69" s="1" t="s">
        <v>609</v>
      </c>
      <c r="C69" s="3" t="s">
        <v>610</v>
      </c>
      <c r="D69" s="3" t="s">
        <v>611</v>
      </c>
      <c r="E69" s="3" t="s">
        <v>612</v>
      </c>
      <c r="F69" s="3" t="s">
        <v>613</v>
      </c>
      <c r="G69" s="3" t="s">
        <v>614</v>
      </c>
      <c r="H69" s="11" t="s">
        <v>8060</v>
      </c>
      <c r="I69" s="3" t="s">
        <v>615</v>
      </c>
      <c r="J69" s="7">
        <v>1.42</v>
      </c>
      <c r="K69" s="2" t="s">
        <v>616</v>
      </c>
      <c r="L69" s="2">
        <v>7.3400000000000007E-2</v>
      </c>
      <c r="M69" s="2">
        <f>8575/100000</f>
        <v>8.5750000000000007E-2</v>
      </c>
      <c r="N69" s="2">
        <v>0.33377499999999999</v>
      </c>
      <c r="O69" s="4" t="s">
        <v>617</v>
      </c>
      <c r="P69" s="2">
        <v>1.51</v>
      </c>
      <c r="Q69" s="7" t="s">
        <v>618</v>
      </c>
      <c r="R69" s="2">
        <v>4.02E-2</v>
      </c>
      <c r="S69" s="2">
        <f>4364/100000</f>
        <v>4.3639999999999998E-2</v>
      </c>
      <c r="T69" s="2">
        <v>0.2234391</v>
      </c>
    </row>
    <row r="70" spans="1:20">
      <c r="A70" s="3" t="s">
        <v>619</v>
      </c>
      <c r="B70" s="1" t="s">
        <v>620</v>
      </c>
      <c r="C70" s="3" t="s">
        <v>621</v>
      </c>
      <c r="D70" s="3" t="s">
        <v>622</v>
      </c>
      <c r="E70" s="3" t="s">
        <v>623</v>
      </c>
      <c r="F70" s="3" t="s">
        <v>624</v>
      </c>
      <c r="G70" s="3" t="s">
        <v>625</v>
      </c>
      <c r="H70" s="11" t="s">
        <v>8092</v>
      </c>
      <c r="I70" s="3" t="s">
        <v>626</v>
      </c>
      <c r="J70" s="7">
        <v>0.77</v>
      </c>
      <c r="K70" s="2" t="s">
        <v>627</v>
      </c>
      <c r="L70" s="2">
        <v>0.48</v>
      </c>
      <c r="M70" s="2">
        <f>52497/100000</f>
        <v>0.52497000000000005</v>
      </c>
      <c r="N70" s="2">
        <v>0.74478149999999999</v>
      </c>
      <c r="O70" s="4" t="s">
        <v>628</v>
      </c>
      <c r="P70" s="2">
        <v>1.07</v>
      </c>
      <c r="Q70" s="7" t="s">
        <v>629</v>
      </c>
      <c r="R70" s="2">
        <v>0.81100000000000005</v>
      </c>
      <c r="S70" s="2">
        <f>88593/100000</f>
        <v>0.88593</v>
      </c>
      <c r="T70" s="2">
        <v>0.82929589999999997</v>
      </c>
    </row>
    <row r="71" spans="1:20">
      <c r="A71" s="3" t="s">
        <v>630</v>
      </c>
      <c r="B71" s="1" t="s">
        <v>620</v>
      </c>
      <c r="C71" s="3" t="s">
        <v>621</v>
      </c>
      <c r="D71" s="3" t="s">
        <v>631</v>
      </c>
      <c r="E71" s="3" t="s">
        <v>632</v>
      </c>
      <c r="F71" s="3" t="s">
        <v>624</v>
      </c>
      <c r="G71" s="3" t="s">
        <v>625</v>
      </c>
      <c r="H71" s="11" t="s">
        <v>8093</v>
      </c>
      <c r="I71" s="3" t="s">
        <v>633</v>
      </c>
      <c r="J71" s="7">
        <v>1.07</v>
      </c>
      <c r="K71" s="2" t="s">
        <v>634</v>
      </c>
      <c r="L71" s="2">
        <v>0.80900000000000005</v>
      </c>
      <c r="M71" s="2">
        <f>88190/100000</f>
        <v>0.88190000000000002</v>
      </c>
      <c r="N71" s="2">
        <v>0.82929589999999997</v>
      </c>
      <c r="O71" s="4" t="s">
        <v>635</v>
      </c>
      <c r="P71" s="2">
        <v>1.1399999999999999</v>
      </c>
      <c r="Q71" s="7" t="s">
        <v>636</v>
      </c>
      <c r="R71" s="2">
        <v>0.64300000000000002</v>
      </c>
      <c r="S71" s="2">
        <f>64402/100000</f>
        <v>0.64402000000000004</v>
      </c>
      <c r="T71" s="2">
        <v>0.79916379999999998</v>
      </c>
    </row>
    <row r="72" spans="1:20">
      <c r="A72" s="3" t="s">
        <v>637</v>
      </c>
      <c r="B72" s="1" t="s">
        <v>620</v>
      </c>
      <c r="C72" s="3" t="s">
        <v>621</v>
      </c>
      <c r="D72" s="3" t="s">
        <v>638</v>
      </c>
      <c r="E72" s="3" t="s">
        <v>639</v>
      </c>
      <c r="F72" s="3" t="s">
        <v>624</v>
      </c>
      <c r="G72" s="3" t="s">
        <v>625</v>
      </c>
      <c r="H72" s="11" t="s">
        <v>8061</v>
      </c>
      <c r="I72" s="3" t="s">
        <v>640</v>
      </c>
      <c r="J72" s="7">
        <v>1.8</v>
      </c>
      <c r="K72" s="2" t="s">
        <v>641</v>
      </c>
      <c r="L72" s="2">
        <v>1.14E-2</v>
      </c>
      <c r="M72" s="2">
        <f>1605/100000</f>
        <v>1.6049999999999998E-2</v>
      </c>
      <c r="N72" s="2">
        <v>0.1191261</v>
      </c>
      <c r="O72" s="4" t="s">
        <v>642</v>
      </c>
      <c r="P72" s="2">
        <v>1.02</v>
      </c>
      <c r="Q72" s="7" t="s">
        <v>643</v>
      </c>
      <c r="R72" s="2">
        <v>0.95799999999999996</v>
      </c>
      <c r="S72" s="2">
        <f>100000/100000</f>
        <v>1</v>
      </c>
      <c r="T72" s="2">
        <v>0.82929589999999997</v>
      </c>
    </row>
    <row r="73" spans="1:20">
      <c r="A73" s="3" t="s">
        <v>644</v>
      </c>
      <c r="B73" s="1" t="s">
        <v>620</v>
      </c>
      <c r="C73" s="3" t="s">
        <v>621</v>
      </c>
      <c r="D73" s="3" t="s">
        <v>645</v>
      </c>
      <c r="E73" s="3" t="s">
        <v>646</v>
      </c>
      <c r="F73" s="3" t="s">
        <v>624</v>
      </c>
      <c r="G73" s="3" t="s">
        <v>625</v>
      </c>
      <c r="H73" s="11" t="s">
        <v>8094</v>
      </c>
      <c r="I73" s="3" t="s">
        <v>647</v>
      </c>
      <c r="J73" s="7">
        <v>1.66</v>
      </c>
      <c r="K73" s="2" t="s">
        <v>648</v>
      </c>
      <c r="L73" s="2">
        <v>5.1200000000000002E-2</v>
      </c>
      <c r="M73" s="2">
        <f>7039/100000</f>
        <v>7.0389999999999994E-2</v>
      </c>
      <c r="N73" s="2">
        <v>0.29680129999999999</v>
      </c>
      <c r="O73" s="4" t="s">
        <v>649</v>
      </c>
      <c r="P73" s="2">
        <v>1</v>
      </c>
      <c r="Q73" s="7" t="s">
        <v>650</v>
      </c>
      <c r="R73" s="2">
        <v>0.99099999999999999</v>
      </c>
      <c r="S73" s="2">
        <f>100000/100000</f>
        <v>1</v>
      </c>
      <c r="T73" s="2">
        <v>0.82929589999999997</v>
      </c>
    </row>
    <row r="74" spans="1:20">
      <c r="A74" s="3" t="s">
        <v>651</v>
      </c>
      <c r="B74" s="1" t="s">
        <v>652</v>
      </c>
      <c r="C74" s="3" t="s">
        <v>653</v>
      </c>
      <c r="D74" s="3" t="s">
        <v>654</v>
      </c>
      <c r="E74" s="3" t="s">
        <v>655</v>
      </c>
      <c r="F74" s="3" t="s">
        <v>656</v>
      </c>
      <c r="G74" s="3" t="s">
        <v>657</v>
      </c>
      <c r="H74" s="11" t="s">
        <v>8095</v>
      </c>
      <c r="I74" s="3" t="s">
        <v>658</v>
      </c>
      <c r="J74" s="7">
        <v>0.68</v>
      </c>
      <c r="K74" s="2" t="s">
        <v>659</v>
      </c>
      <c r="L74" s="2">
        <v>0.58799999999999997</v>
      </c>
      <c r="M74" s="2">
        <f>76704/100000</f>
        <v>0.76704000000000006</v>
      </c>
      <c r="N74" s="2">
        <v>0.82929589999999997</v>
      </c>
      <c r="O74" s="4" t="s">
        <v>660</v>
      </c>
      <c r="P74" s="2">
        <v>0.63</v>
      </c>
      <c r="Q74" s="7" t="s">
        <v>661</v>
      </c>
      <c r="R74" s="2">
        <v>0.64700000000000002</v>
      </c>
      <c r="S74" s="2">
        <f>73269/100000</f>
        <v>0.73268999999999995</v>
      </c>
      <c r="T74" s="2">
        <v>0.82137769999999999</v>
      </c>
    </row>
    <row r="75" spans="1:20">
      <c r="A75" s="3" t="s">
        <v>662</v>
      </c>
      <c r="B75" s="1" t="s">
        <v>652</v>
      </c>
      <c r="C75" s="3" t="s">
        <v>653</v>
      </c>
      <c r="D75" s="3" t="s">
        <v>663</v>
      </c>
      <c r="E75" s="3" t="s">
        <v>664</v>
      </c>
      <c r="F75" s="3" t="s">
        <v>656</v>
      </c>
      <c r="G75" s="3" t="s">
        <v>657</v>
      </c>
      <c r="H75" s="11" t="s">
        <v>8095</v>
      </c>
      <c r="I75" s="3" t="s">
        <v>665</v>
      </c>
      <c r="J75" s="7">
        <v>0.31</v>
      </c>
      <c r="K75" s="2" t="s">
        <v>666</v>
      </c>
      <c r="L75" s="2">
        <v>0.22600000000000001</v>
      </c>
      <c r="M75" s="2">
        <f>26054/100000</f>
        <v>0.26053999999999999</v>
      </c>
      <c r="N75" s="2">
        <v>0.56338779999999999</v>
      </c>
      <c r="O75" s="4" t="s">
        <v>667</v>
      </c>
      <c r="P75" s="2">
        <v>1.06</v>
      </c>
      <c r="Q75" s="7" t="s">
        <v>668</v>
      </c>
      <c r="R75" s="2">
        <v>0.94</v>
      </c>
      <c r="S75" s="2">
        <f>100000/100000</f>
        <v>1</v>
      </c>
      <c r="T75" s="2">
        <v>0.82929589999999997</v>
      </c>
    </row>
    <row r="76" spans="1:20">
      <c r="A76" s="3" t="s">
        <v>669</v>
      </c>
      <c r="B76" s="1" t="s">
        <v>670</v>
      </c>
      <c r="C76" s="3" t="s">
        <v>671</v>
      </c>
      <c r="D76" s="3" t="s">
        <v>672</v>
      </c>
      <c r="E76" s="3" t="s">
        <v>673</v>
      </c>
      <c r="F76" s="3" t="s">
        <v>674</v>
      </c>
      <c r="G76" s="3" t="s">
        <v>675</v>
      </c>
      <c r="H76" s="11" t="s">
        <v>8062</v>
      </c>
      <c r="I76" s="3" t="s">
        <v>676</v>
      </c>
      <c r="J76" s="7">
        <v>0.78</v>
      </c>
      <c r="K76" s="2" t="s">
        <v>677</v>
      </c>
      <c r="L76" s="2">
        <v>0.34499999999999997</v>
      </c>
      <c r="M76" s="2">
        <f>40267/100000</f>
        <v>0.40266999999999997</v>
      </c>
      <c r="N76" s="2">
        <v>0.66626050000000003</v>
      </c>
      <c r="O76" s="4" t="s">
        <v>678</v>
      </c>
      <c r="P76" s="2">
        <v>1.46</v>
      </c>
      <c r="Q76" s="7" t="s">
        <v>679</v>
      </c>
      <c r="R76" s="2">
        <v>2.5600000000000001E-2</v>
      </c>
      <c r="S76" s="2">
        <f>2892/100000</f>
        <v>2.8920000000000001E-2</v>
      </c>
      <c r="T76" s="2">
        <v>0.17624880000000001</v>
      </c>
    </row>
    <row r="77" spans="1:20">
      <c r="A77" s="3" t="s">
        <v>680</v>
      </c>
      <c r="B77" s="1" t="s">
        <v>670</v>
      </c>
      <c r="C77" s="3" t="s">
        <v>671</v>
      </c>
      <c r="D77" s="3" t="s">
        <v>681</v>
      </c>
      <c r="E77" s="3" t="s">
        <v>682</v>
      </c>
      <c r="F77" s="3" t="s">
        <v>674</v>
      </c>
      <c r="G77" s="3" t="s">
        <v>675</v>
      </c>
      <c r="H77" s="11" t="s">
        <v>8096</v>
      </c>
      <c r="I77" s="3" t="s">
        <v>683</v>
      </c>
      <c r="J77" s="7">
        <v>1.54</v>
      </c>
      <c r="K77" s="2" t="s">
        <v>684</v>
      </c>
      <c r="L77" s="2">
        <v>8.2199999999999995E-2</v>
      </c>
      <c r="M77" s="2">
        <f>9715/100000</f>
        <v>9.715E-2</v>
      </c>
      <c r="N77" s="2">
        <v>0.35651569999999999</v>
      </c>
      <c r="O77" s="4" t="s">
        <v>685</v>
      </c>
      <c r="P77" s="2">
        <v>1.24</v>
      </c>
      <c r="Q77" s="7" t="s">
        <v>686</v>
      </c>
      <c r="R77" s="2">
        <v>0.38700000000000001</v>
      </c>
      <c r="S77" s="2">
        <f>41313/100000</f>
        <v>0.41313</v>
      </c>
      <c r="T77" s="2">
        <v>0.67240169999999999</v>
      </c>
    </row>
    <row r="78" spans="1:20">
      <c r="A78" s="3" t="s">
        <v>687</v>
      </c>
      <c r="B78" s="1" t="s">
        <v>670</v>
      </c>
      <c r="C78" s="3" t="s">
        <v>671</v>
      </c>
      <c r="D78" s="3" t="s">
        <v>688</v>
      </c>
      <c r="E78" s="3" t="s">
        <v>689</v>
      </c>
      <c r="F78" s="3" t="s">
        <v>674</v>
      </c>
      <c r="G78" s="3" t="s">
        <v>675</v>
      </c>
      <c r="H78" s="11" t="s">
        <v>8097</v>
      </c>
      <c r="I78" s="3" t="s">
        <v>690</v>
      </c>
      <c r="J78" s="7">
        <v>0.88</v>
      </c>
      <c r="K78" s="2" t="s">
        <v>691</v>
      </c>
      <c r="L78" s="2">
        <v>0.66200000000000003</v>
      </c>
      <c r="M78" s="2">
        <f>67995/100000</f>
        <v>0.67995000000000005</v>
      </c>
      <c r="N78" s="2">
        <v>0.81053850000000005</v>
      </c>
      <c r="O78" s="4" t="s">
        <v>692</v>
      </c>
      <c r="P78" s="2">
        <v>1.54</v>
      </c>
      <c r="Q78" s="7" t="s">
        <v>693</v>
      </c>
      <c r="R78" s="2">
        <v>9.4199999999999996E-3</v>
      </c>
      <c r="S78" s="2">
        <f>1098/100000</f>
        <v>1.098E-2</v>
      </c>
      <c r="T78" s="2">
        <v>9.1104840000000006E-2</v>
      </c>
    </row>
    <row r="79" spans="1:20">
      <c r="A79" s="3" t="s">
        <v>694</v>
      </c>
      <c r="B79" s="1" t="s">
        <v>695</v>
      </c>
      <c r="C79" s="3" t="s">
        <v>696</v>
      </c>
      <c r="D79" s="3" t="s">
        <v>697</v>
      </c>
      <c r="E79" s="3" t="s">
        <v>698</v>
      </c>
      <c r="F79" s="3" t="s">
        <v>699</v>
      </c>
      <c r="G79" s="3" t="s">
        <v>700</v>
      </c>
      <c r="H79" s="11" t="s">
        <v>8098</v>
      </c>
      <c r="I79" s="3" t="s">
        <v>701</v>
      </c>
      <c r="J79" s="7">
        <v>1.04</v>
      </c>
      <c r="K79" s="2" t="s">
        <v>702</v>
      </c>
      <c r="L79" s="2">
        <v>0.88500000000000001</v>
      </c>
      <c r="M79" s="2">
        <f>89247/100000</f>
        <v>0.89246999999999999</v>
      </c>
      <c r="N79" s="2">
        <v>0.82929589999999997</v>
      </c>
      <c r="O79" s="4" t="s">
        <v>703</v>
      </c>
      <c r="P79" s="2">
        <v>0.63</v>
      </c>
      <c r="Q79" s="7" t="s">
        <v>704</v>
      </c>
      <c r="R79" s="2">
        <v>0.191</v>
      </c>
      <c r="S79" s="2">
        <f>23804/100000</f>
        <v>0.23804</v>
      </c>
      <c r="T79" s="2">
        <v>0.53743620000000003</v>
      </c>
    </row>
    <row r="80" spans="1:20">
      <c r="A80" s="3" t="s">
        <v>705</v>
      </c>
      <c r="B80" s="1" t="s">
        <v>695</v>
      </c>
      <c r="C80" s="3" t="s">
        <v>696</v>
      </c>
      <c r="D80" s="3" t="s">
        <v>706</v>
      </c>
      <c r="E80" s="3" t="s">
        <v>707</v>
      </c>
      <c r="F80" s="3" t="s">
        <v>708</v>
      </c>
      <c r="G80" s="3" t="s">
        <v>709</v>
      </c>
      <c r="H80" s="11" t="s">
        <v>8063</v>
      </c>
      <c r="I80" s="3" t="s">
        <v>710</v>
      </c>
      <c r="J80" s="7">
        <v>1.57</v>
      </c>
      <c r="K80" s="2" t="s">
        <v>711</v>
      </c>
      <c r="L80" s="2">
        <v>3.9199999999999999E-2</v>
      </c>
      <c r="M80" s="2">
        <f>4445/100000</f>
        <v>4.4450000000000003E-2</v>
      </c>
      <c r="N80" s="2">
        <v>0.2257979</v>
      </c>
      <c r="O80" s="4" t="s">
        <v>712</v>
      </c>
      <c r="P80" s="2">
        <v>1.1499999999999999</v>
      </c>
      <c r="Q80" s="7" t="s">
        <v>713</v>
      </c>
      <c r="R80" s="2">
        <v>0.65200000000000002</v>
      </c>
      <c r="S80" s="2">
        <f>75089/100000</f>
        <v>0.75088999999999995</v>
      </c>
      <c r="T80" s="2">
        <v>0.8286173</v>
      </c>
    </row>
    <row r="81" spans="1:20">
      <c r="A81" s="3" t="s">
        <v>714</v>
      </c>
      <c r="B81" s="1" t="s">
        <v>715</v>
      </c>
      <c r="C81" s="3" t="s">
        <v>716</v>
      </c>
      <c r="D81" s="3" t="s">
        <v>717</v>
      </c>
      <c r="E81" s="3" t="s">
        <v>718</v>
      </c>
      <c r="F81" s="3" t="s">
        <v>719</v>
      </c>
      <c r="G81" s="3" t="s">
        <v>720</v>
      </c>
      <c r="H81" s="11" t="s">
        <v>8099</v>
      </c>
      <c r="I81" s="3" t="s">
        <v>721</v>
      </c>
      <c r="J81" s="7">
        <v>0.59</v>
      </c>
      <c r="K81" s="2" t="s">
        <v>722</v>
      </c>
      <c r="L81" s="2">
        <v>5.1999999999999998E-3</v>
      </c>
      <c r="M81" s="2">
        <f>553/100000</f>
        <v>5.5300000000000002E-3</v>
      </c>
      <c r="N81" s="2">
        <v>5.7716570000000002E-2</v>
      </c>
      <c r="O81" s="4" t="s">
        <v>723</v>
      </c>
      <c r="P81" s="2">
        <v>0.56000000000000005</v>
      </c>
      <c r="Q81" s="7" t="s">
        <v>724</v>
      </c>
      <c r="R81" s="2">
        <v>5.5400000000000002E-4</v>
      </c>
      <c r="S81" s="2">
        <f>58/100000</f>
        <v>5.8E-4</v>
      </c>
      <c r="T81" s="2">
        <v>1.1113059999999999E-2</v>
      </c>
    </row>
    <row r="82" spans="1:20">
      <c r="A82" s="3" t="s">
        <v>725</v>
      </c>
      <c r="B82" s="1" t="s">
        <v>715</v>
      </c>
      <c r="C82" s="3" t="s">
        <v>716</v>
      </c>
      <c r="D82" s="3" t="s">
        <v>726</v>
      </c>
      <c r="E82" s="3" t="s">
        <v>727</v>
      </c>
      <c r="F82" s="3" t="s">
        <v>719</v>
      </c>
      <c r="G82" s="3" t="s">
        <v>720</v>
      </c>
      <c r="H82" s="11" t="s">
        <v>8099</v>
      </c>
      <c r="I82" s="3" t="s">
        <v>728</v>
      </c>
      <c r="J82" s="7">
        <v>0.6</v>
      </c>
      <c r="K82" s="2" t="s">
        <v>729</v>
      </c>
      <c r="L82" s="2">
        <v>5.6099999999999998E-4</v>
      </c>
      <c r="M82" s="2">
        <f>51/100000</f>
        <v>5.1000000000000004E-4</v>
      </c>
      <c r="N82" s="2">
        <v>1.0310430000000001E-2</v>
      </c>
      <c r="O82" s="4" t="s">
        <v>730</v>
      </c>
      <c r="P82" s="2">
        <v>1.02</v>
      </c>
      <c r="Q82" s="7" t="s">
        <v>731</v>
      </c>
      <c r="R82" s="2">
        <v>0.85899999999999999</v>
      </c>
      <c r="S82" s="2">
        <f>90279/100000</f>
        <v>0.90278999999999998</v>
      </c>
      <c r="T82" s="2">
        <v>0.82929589999999997</v>
      </c>
    </row>
    <row r="83" spans="1:20">
      <c r="A83" s="3" t="s">
        <v>732</v>
      </c>
      <c r="B83" s="1" t="s">
        <v>733</v>
      </c>
      <c r="C83" s="3" t="s">
        <v>734</v>
      </c>
      <c r="D83" s="3" t="s">
        <v>735</v>
      </c>
      <c r="E83" s="3" t="s">
        <v>736</v>
      </c>
      <c r="F83" s="3" t="s">
        <v>737</v>
      </c>
      <c r="G83" s="3" t="s">
        <v>738</v>
      </c>
      <c r="H83" s="11" t="s">
        <v>8064</v>
      </c>
      <c r="I83" s="3" t="s">
        <v>739</v>
      </c>
      <c r="J83" s="7">
        <v>0.66</v>
      </c>
      <c r="K83" s="2" t="s">
        <v>740</v>
      </c>
      <c r="L83" s="2">
        <v>2.7E-2</v>
      </c>
      <c r="M83" s="2">
        <f>3200/100000</f>
        <v>3.2000000000000001E-2</v>
      </c>
      <c r="N83" s="2">
        <v>0.18630389999999999</v>
      </c>
      <c r="O83" s="4" t="s">
        <v>741</v>
      </c>
      <c r="P83" s="2">
        <v>1.68</v>
      </c>
      <c r="Q83" s="7" t="s">
        <v>742</v>
      </c>
      <c r="R83" s="2">
        <v>1.2500000000000001E-2</v>
      </c>
      <c r="S83" s="2">
        <f>1586/100000</f>
        <v>1.5859999999999999E-2</v>
      </c>
      <c r="T83" s="2">
        <v>0.11867220000000001</v>
      </c>
    </row>
    <row r="84" spans="1:20">
      <c r="A84" s="3" t="s">
        <v>743</v>
      </c>
      <c r="B84" s="1" t="s">
        <v>733</v>
      </c>
      <c r="C84" s="3" t="s">
        <v>734</v>
      </c>
      <c r="D84" s="3" t="s">
        <v>744</v>
      </c>
      <c r="E84" s="3" t="s">
        <v>745</v>
      </c>
      <c r="F84" s="3" t="s">
        <v>737</v>
      </c>
      <c r="G84" s="3" t="s">
        <v>738</v>
      </c>
      <c r="H84" s="11" t="s">
        <v>8098</v>
      </c>
      <c r="I84" s="3" t="s">
        <v>746</v>
      </c>
      <c r="J84" s="7">
        <v>1.23</v>
      </c>
      <c r="K84" s="2" t="s">
        <v>747</v>
      </c>
      <c r="L84" s="2">
        <v>0.153</v>
      </c>
      <c r="M84" s="2">
        <f>17036/100000</f>
        <v>0.17036000000000001</v>
      </c>
      <c r="N84" s="2">
        <v>0.4546615</v>
      </c>
      <c r="O84" s="4" t="s">
        <v>748</v>
      </c>
      <c r="P84" s="2">
        <v>0.9</v>
      </c>
      <c r="Q84" s="7" t="s">
        <v>749</v>
      </c>
      <c r="R84" s="2">
        <v>0.59199999999999997</v>
      </c>
      <c r="S84" s="2">
        <f>63363/100000</f>
        <v>0.63363000000000003</v>
      </c>
      <c r="T84" s="2">
        <v>0.79869500000000004</v>
      </c>
    </row>
    <row r="85" spans="1:20">
      <c r="A85" s="3" t="s">
        <v>750</v>
      </c>
      <c r="B85" s="1" t="s">
        <v>733</v>
      </c>
      <c r="C85" s="3" t="s">
        <v>734</v>
      </c>
      <c r="D85" s="3" t="s">
        <v>751</v>
      </c>
      <c r="E85" s="3" t="s">
        <v>752</v>
      </c>
      <c r="F85" s="3" t="s">
        <v>737</v>
      </c>
      <c r="G85" s="3" t="s">
        <v>738</v>
      </c>
      <c r="H85" s="11" t="s">
        <v>8100</v>
      </c>
      <c r="I85" s="3" t="s">
        <v>753</v>
      </c>
      <c r="J85" s="7">
        <v>1.04</v>
      </c>
      <c r="K85" s="2" t="s">
        <v>754</v>
      </c>
      <c r="L85" s="2">
        <v>0.82799999999999996</v>
      </c>
      <c r="M85" s="2">
        <f>85234/100000</f>
        <v>0.85233999999999999</v>
      </c>
      <c r="N85" s="2">
        <v>0.82929589999999997</v>
      </c>
      <c r="O85" s="4" t="s">
        <v>755</v>
      </c>
      <c r="P85" s="2">
        <v>1.06</v>
      </c>
      <c r="Q85" s="7" t="s">
        <v>756</v>
      </c>
      <c r="R85" s="2">
        <v>0.751</v>
      </c>
      <c r="S85" s="2">
        <f>77807/100000</f>
        <v>0.77807000000000004</v>
      </c>
      <c r="T85" s="2">
        <v>0.82929589999999997</v>
      </c>
    </row>
    <row r="86" spans="1:20">
      <c r="A86" s="3" t="s">
        <v>757</v>
      </c>
      <c r="B86" s="1" t="s">
        <v>758</v>
      </c>
      <c r="C86" s="3" t="s">
        <v>759</v>
      </c>
      <c r="D86" s="3" t="s">
        <v>760</v>
      </c>
      <c r="E86" s="3" t="s">
        <v>761</v>
      </c>
      <c r="F86" s="3" t="s">
        <v>762</v>
      </c>
      <c r="G86" s="3" t="s">
        <v>763</v>
      </c>
      <c r="H86" s="11" t="s">
        <v>8065</v>
      </c>
      <c r="I86" s="3" t="s">
        <v>764</v>
      </c>
      <c r="J86" s="7">
        <v>0.14000000000000001</v>
      </c>
      <c r="K86" s="2" t="s">
        <v>765</v>
      </c>
      <c r="L86" s="2">
        <v>2.2700000000000001E-2</v>
      </c>
      <c r="M86" s="2">
        <f>2241/100000</f>
        <v>2.2409999999999999E-2</v>
      </c>
      <c r="N86" s="2">
        <v>0.14822679999999999</v>
      </c>
      <c r="O86" s="4" t="s">
        <v>766</v>
      </c>
      <c r="P86" s="2">
        <v>0.88</v>
      </c>
      <c r="Q86" s="7" t="s">
        <v>767</v>
      </c>
      <c r="R86" s="2">
        <v>0.71899999999999997</v>
      </c>
      <c r="S86" s="2">
        <f>74980/100000</f>
        <v>0.74980000000000002</v>
      </c>
      <c r="T86" s="2">
        <v>0.82858220000000005</v>
      </c>
    </row>
    <row r="87" spans="1:20">
      <c r="A87" s="3" t="s">
        <v>768</v>
      </c>
      <c r="B87" s="1" t="s">
        <v>758</v>
      </c>
      <c r="C87" s="3" t="s">
        <v>759</v>
      </c>
      <c r="D87" s="3" t="s">
        <v>769</v>
      </c>
      <c r="E87" s="3" t="s">
        <v>770</v>
      </c>
      <c r="F87" s="3" t="s">
        <v>762</v>
      </c>
      <c r="G87" s="3" t="s">
        <v>763</v>
      </c>
      <c r="H87" s="11" t="s">
        <v>8101</v>
      </c>
      <c r="I87" s="3" t="s">
        <v>771</v>
      </c>
      <c r="J87" s="7">
        <v>0.79</v>
      </c>
      <c r="K87" s="2" t="s">
        <v>772</v>
      </c>
      <c r="L87" s="2">
        <v>0.64900000000000002</v>
      </c>
      <c r="M87" s="2">
        <f>81721/100000</f>
        <v>0.81720999999999999</v>
      </c>
      <c r="N87" s="2">
        <v>0.82929589999999997</v>
      </c>
      <c r="O87" s="4" t="s">
        <v>773</v>
      </c>
      <c r="P87" s="2">
        <v>0</v>
      </c>
      <c r="Q87" s="7" t="s">
        <v>774</v>
      </c>
      <c r="R87" s="2">
        <v>9.8699999999999996E-2</v>
      </c>
      <c r="S87" s="2">
        <f>10937/100000</f>
        <v>0.10936999999999999</v>
      </c>
      <c r="T87" s="2">
        <v>0.37067220000000001</v>
      </c>
    </row>
    <row r="88" spans="1:20">
      <c r="A88" s="3" t="s">
        <v>775</v>
      </c>
      <c r="B88" s="1" t="s">
        <v>758</v>
      </c>
      <c r="C88" s="3" t="s">
        <v>759</v>
      </c>
      <c r="D88" s="3" t="s">
        <v>776</v>
      </c>
      <c r="E88" s="3" t="s">
        <v>777</v>
      </c>
      <c r="F88" s="3" t="s">
        <v>762</v>
      </c>
      <c r="G88" s="3" t="s">
        <v>763</v>
      </c>
      <c r="H88" s="11" t="s">
        <v>8102</v>
      </c>
      <c r="I88" s="3" t="s">
        <v>778</v>
      </c>
      <c r="J88" s="7">
        <v>0.54</v>
      </c>
      <c r="K88" s="2" t="s">
        <v>779</v>
      </c>
      <c r="L88" s="2">
        <v>5.0900000000000001E-2</v>
      </c>
      <c r="M88" s="2">
        <f>6091/100000</f>
        <v>6.0909999999999999E-2</v>
      </c>
      <c r="N88" s="2">
        <v>0.2719317</v>
      </c>
      <c r="O88" s="4" t="s">
        <v>780</v>
      </c>
      <c r="P88" s="2">
        <v>0.7</v>
      </c>
      <c r="Q88" s="7" t="s">
        <v>781</v>
      </c>
      <c r="R88" s="2">
        <v>0.27200000000000002</v>
      </c>
      <c r="S88" s="2">
        <f>32513/100000</f>
        <v>0.32512999999999997</v>
      </c>
      <c r="T88" s="2">
        <v>0.61041509999999999</v>
      </c>
    </row>
    <row r="89" spans="1:20">
      <c r="A89" s="3" t="s">
        <v>782</v>
      </c>
      <c r="B89" s="1" t="s">
        <v>758</v>
      </c>
      <c r="C89" s="3" t="s">
        <v>759</v>
      </c>
      <c r="D89" s="3" t="s">
        <v>783</v>
      </c>
      <c r="E89" s="3" t="s">
        <v>784</v>
      </c>
      <c r="F89" s="3" t="s">
        <v>762</v>
      </c>
      <c r="G89" s="3" t="s">
        <v>763</v>
      </c>
      <c r="H89" s="11" t="s">
        <v>8065</v>
      </c>
      <c r="I89" s="3" t="s">
        <v>785</v>
      </c>
      <c r="J89" s="7">
        <v>0.46</v>
      </c>
      <c r="K89" s="2" t="s">
        <v>786</v>
      </c>
      <c r="L89" s="2">
        <v>3.5999999999999999E-3</v>
      </c>
      <c r="M89" s="2">
        <f>467/100000</f>
        <v>4.6699999999999997E-3</v>
      </c>
      <c r="N89" s="2">
        <v>5.1240279999999999E-2</v>
      </c>
      <c r="O89" s="4" t="s">
        <v>787</v>
      </c>
      <c r="P89" s="2">
        <v>1.68</v>
      </c>
      <c r="Q89" s="7" t="s">
        <v>788</v>
      </c>
      <c r="R89" s="2">
        <v>2.1999999999999999E-2</v>
      </c>
      <c r="S89" s="2">
        <f>2604/100000</f>
        <v>2.6040000000000001E-2</v>
      </c>
      <c r="T89" s="2">
        <v>0.16361519999999999</v>
      </c>
    </row>
    <row r="90" spans="1:20">
      <c r="A90" s="3" t="s">
        <v>789</v>
      </c>
      <c r="B90" s="1" t="s">
        <v>758</v>
      </c>
      <c r="C90" s="3" t="s">
        <v>759</v>
      </c>
      <c r="D90" s="3" t="s">
        <v>790</v>
      </c>
      <c r="E90" s="3" t="s">
        <v>791</v>
      </c>
      <c r="F90" s="3" t="s">
        <v>762</v>
      </c>
      <c r="G90" s="3" t="s">
        <v>763</v>
      </c>
      <c r="H90" s="11" t="s">
        <v>8065</v>
      </c>
      <c r="I90" s="3" t="s">
        <v>792</v>
      </c>
      <c r="J90" s="7">
        <v>0.43</v>
      </c>
      <c r="K90" s="2" t="s">
        <v>793</v>
      </c>
      <c r="L90" s="2">
        <v>3.9800000000000002E-4</v>
      </c>
      <c r="M90" s="2">
        <f>54/100000</f>
        <v>5.4000000000000001E-4</v>
      </c>
      <c r="N90" s="2">
        <v>1.058359E-2</v>
      </c>
      <c r="O90" s="4" t="s">
        <v>794</v>
      </c>
      <c r="P90" s="2">
        <v>1.58</v>
      </c>
      <c r="Q90" s="7" t="s">
        <v>795</v>
      </c>
      <c r="R90" s="2">
        <v>9.5600000000000008E-3</v>
      </c>
      <c r="S90" s="2">
        <f>1091/100000</f>
        <v>1.091E-2</v>
      </c>
      <c r="T90" s="2">
        <v>9.0862819999999997E-2</v>
      </c>
    </row>
    <row r="91" spans="1:20">
      <c r="A91" s="3" t="s">
        <v>796</v>
      </c>
      <c r="B91" s="1" t="s">
        <v>797</v>
      </c>
      <c r="C91" s="3" t="s">
        <v>798</v>
      </c>
      <c r="D91" s="3" t="s">
        <v>799</v>
      </c>
      <c r="E91" s="3" t="s">
        <v>800</v>
      </c>
      <c r="F91" s="3" t="s">
        <v>801</v>
      </c>
      <c r="G91" s="3" t="s">
        <v>802</v>
      </c>
      <c r="H91" s="11" t="s">
        <v>8103</v>
      </c>
      <c r="I91" s="3" t="s">
        <v>803</v>
      </c>
      <c r="J91" s="7">
        <v>1.1200000000000001</v>
      </c>
      <c r="K91" s="2" t="s">
        <v>804</v>
      </c>
      <c r="L91" s="2">
        <v>0.60599999999999998</v>
      </c>
      <c r="M91" s="2">
        <f>64130/100000</f>
        <v>0.64129999999999998</v>
      </c>
      <c r="N91" s="2">
        <v>0.79869500000000004</v>
      </c>
      <c r="O91" s="4" t="s">
        <v>805</v>
      </c>
      <c r="P91" s="2">
        <v>0.98</v>
      </c>
      <c r="Q91" s="7" t="s">
        <v>806</v>
      </c>
      <c r="R91" s="2">
        <v>0.90400000000000003</v>
      </c>
      <c r="S91" s="2">
        <f>93215/100000</f>
        <v>0.93215000000000003</v>
      </c>
      <c r="T91" s="2">
        <v>0.82929589999999997</v>
      </c>
    </row>
    <row r="92" spans="1:20">
      <c r="A92" s="3" t="s">
        <v>807</v>
      </c>
      <c r="B92" s="1" t="s">
        <v>808</v>
      </c>
      <c r="C92" s="3" t="s">
        <v>809</v>
      </c>
      <c r="D92" s="3" t="s">
        <v>810</v>
      </c>
      <c r="E92" s="3" t="s">
        <v>811</v>
      </c>
      <c r="F92" s="3" t="s">
        <v>812</v>
      </c>
      <c r="G92" s="3" t="s">
        <v>813</v>
      </c>
      <c r="H92" s="11" t="s">
        <v>8066</v>
      </c>
      <c r="I92" s="3" t="s">
        <v>814</v>
      </c>
      <c r="J92" s="7">
        <v>1.77</v>
      </c>
      <c r="K92" s="2" t="s">
        <v>815</v>
      </c>
      <c r="L92" s="2">
        <v>2.37E-5</v>
      </c>
      <c r="M92" s="2">
        <f>7/100000</f>
        <v>6.9999999999999994E-5</v>
      </c>
      <c r="N92" s="2">
        <v>1.8918419999999999E-3</v>
      </c>
      <c r="O92" s="4" t="s">
        <v>816</v>
      </c>
      <c r="P92" s="2">
        <v>0.86</v>
      </c>
      <c r="Q92" s="7" t="s">
        <v>817</v>
      </c>
      <c r="R92" s="2">
        <v>0.44900000000000001</v>
      </c>
      <c r="S92" s="2">
        <f>49859/100000</f>
        <v>0.49858999999999998</v>
      </c>
      <c r="T92" s="2">
        <v>0.73504449999999999</v>
      </c>
    </row>
    <row r="93" spans="1:20">
      <c r="A93" s="3" t="s">
        <v>818</v>
      </c>
      <c r="B93" s="1" t="s">
        <v>808</v>
      </c>
      <c r="C93" s="3" t="s">
        <v>809</v>
      </c>
      <c r="D93" s="3" t="s">
        <v>819</v>
      </c>
      <c r="E93" s="3" t="s">
        <v>820</v>
      </c>
      <c r="F93" s="3" t="s">
        <v>821</v>
      </c>
      <c r="G93" s="3" t="s">
        <v>822</v>
      </c>
      <c r="H93" s="11" t="s">
        <v>8066</v>
      </c>
      <c r="I93" s="3" t="s">
        <v>823</v>
      </c>
      <c r="J93" s="7">
        <v>1.24</v>
      </c>
      <c r="K93" s="2" t="s">
        <v>824</v>
      </c>
      <c r="L93" s="2">
        <v>0.14000000000000001</v>
      </c>
      <c r="M93" s="2">
        <f>15656/100000</f>
        <v>0.15656</v>
      </c>
      <c r="N93" s="2">
        <v>0.43578109999999998</v>
      </c>
      <c r="O93" s="4" t="s">
        <v>825</v>
      </c>
      <c r="P93" s="2">
        <v>0.64</v>
      </c>
      <c r="Q93" s="7" t="s">
        <v>826</v>
      </c>
      <c r="R93" s="2">
        <v>3.27E-2</v>
      </c>
      <c r="S93" s="2">
        <f>3511/100000</f>
        <v>3.5110000000000002E-2</v>
      </c>
      <c r="T93" s="2">
        <v>0.19676689999999999</v>
      </c>
    </row>
    <row r="94" spans="1:20">
      <c r="A94" s="3" t="s">
        <v>827</v>
      </c>
      <c r="B94" s="1" t="s">
        <v>828</v>
      </c>
      <c r="C94" s="3" t="s">
        <v>829</v>
      </c>
      <c r="D94" s="3" t="s">
        <v>830</v>
      </c>
      <c r="E94" s="3" t="s">
        <v>831</v>
      </c>
      <c r="F94" s="3" t="s">
        <v>832</v>
      </c>
      <c r="G94" s="3" t="s">
        <v>833</v>
      </c>
      <c r="H94" s="11" t="s">
        <v>8104</v>
      </c>
      <c r="I94" s="3" t="s">
        <v>834</v>
      </c>
      <c r="J94" s="7">
        <v>1.1100000000000001</v>
      </c>
      <c r="K94" s="2" t="s">
        <v>835</v>
      </c>
      <c r="L94" s="2">
        <v>0.72399999999999998</v>
      </c>
      <c r="M94" s="2">
        <f>76435/100000</f>
        <v>0.76434999999999997</v>
      </c>
      <c r="N94" s="2">
        <v>0.82929589999999997</v>
      </c>
      <c r="O94" s="4" t="s">
        <v>836</v>
      </c>
      <c r="P94" s="2">
        <v>1.02</v>
      </c>
      <c r="Q94" s="7" t="s">
        <v>837</v>
      </c>
      <c r="R94" s="2">
        <v>0.94399999999999995</v>
      </c>
      <c r="S94" s="2">
        <f>100000/100000</f>
        <v>1</v>
      </c>
      <c r="T94" s="2">
        <v>0.82929589999999997</v>
      </c>
    </row>
    <row r="95" spans="1:20">
      <c r="A95" s="3" t="s">
        <v>838</v>
      </c>
      <c r="B95" s="1" t="s">
        <v>828</v>
      </c>
      <c r="C95" s="3" t="s">
        <v>829</v>
      </c>
      <c r="D95" s="3" t="s">
        <v>839</v>
      </c>
      <c r="E95" s="3" t="s">
        <v>840</v>
      </c>
      <c r="F95" s="3" t="s">
        <v>841</v>
      </c>
      <c r="G95" s="3" t="s">
        <v>842</v>
      </c>
      <c r="H95" s="11" t="s">
        <v>8105</v>
      </c>
      <c r="I95" s="3" t="s">
        <v>843</v>
      </c>
      <c r="J95" s="7">
        <v>0.51</v>
      </c>
      <c r="K95" s="2" t="s">
        <v>844</v>
      </c>
      <c r="L95" s="2">
        <v>0.17599999999999999</v>
      </c>
      <c r="M95" s="2">
        <f>19377/100000</f>
        <v>0.19377</v>
      </c>
      <c r="N95" s="2">
        <v>0.4835874</v>
      </c>
      <c r="O95" s="4" t="s">
        <v>845</v>
      </c>
      <c r="P95" s="2">
        <v>0.74</v>
      </c>
      <c r="Q95" s="7" t="s">
        <v>846</v>
      </c>
      <c r="R95" s="2">
        <v>0.439</v>
      </c>
      <c r="S95" s="2">
        <f>50506/100000</f>
        <v>0.50505999999999995</v>
      </c>
      <c r="T95" s="2">
        <v>0.73837560000000002</v>
      </c>
    </row>
    <row r="96" spans="1:20">
      <c r="A96" s="3" t="s">
        <v>847</v>
      </c>
      <c r="B96" s="1" t="s">
        <v>848</v>
      </c>
      <c r="C96" s="3" t="s">
        <v>849</v>
      </c>
      <c r="D96" s="3" t="s">
        <v>850</v>
      </c>
      <c r="E96" s="3" t="s">
        <v>851</v>
      </c>
      <c r="F96" s="3" t="s">
        <v>852</v>
      </c>
      <c r="G96" s="3" t="s">
        <v>853</v>
      </c>
      <c r="H96" s="11" t="s">
        <v>8106</v>
      </c>
      <c r="I96" s="3" t="s">
        <v>854</v>
      </c>
      <c r="J96" s="7">
        <v>0.67</v>
      </c>
      <c r="K96" s="2" t="s">
        <v>855</v>
      </c>
      <c r="L96" s="2">
        <v>0.193</v>
      </c>
      <c r="M96" s="2">
        <f>23774/100000</f>
        <v>0.23774000000000001</v>
      </c>
      <c r="N96" s="2">
        <v>0.53743620000000003</v>
      </c>
      <c r="O96" s="4" t="s">
        <v>856</v>
      </c>
      <c r="P96" s="2">
        <v>1.0900000000000001</v>
      </c>
      <c r="Q96" s="7" t="s">
        <v>857</v>
      </c>
      <c r="R96" s="2">
        <v>0.78900000000000003</v>
      </c>
      <c r="S96" s="2">
        <f>86430/100000</f>
        <v>0.86429999999999996</v>
      </c>
      <c r="T96" s="2">
        <v>0.82929589999999997</v>
      </c>
    </row>
    <row r="97" spans="1:20">
      <c r="A97" s="3" t="s">
        <v>858</v>
      </c>
      <c r="B97" s="1" t="s">
        <v>848</v>
      </c>
      <c r="C97" s="3" t="s">
        <v>849</v>
      </c>
      <c r="D97" s="3" t="s">
        <v>859</v>
      </c>
      <c r="E97" s="3" t="s">
        <v>860</v>
      </c>
      <c r="F97" s="3" t="s">
        <v>861</v>
      </c>
      <c r="G97" s="3" t="s">
        <v>862</v>
      </c>
      <c r="H97" s="11" t="s">
        <v>8094</v>
      </c>
      <c r="I97" s="3" t="s">
        <v>863</v>
      </c>
      <c r="J97" s="7">
        <v>1.25</v>
      </c>
      <c r="K97" s="2" t="s">
        <v>864</v>
      </c>
      <c r="L97" s="2">
        <v>0.55400000000000005</v>
      </c>
      <c r="M97" s="2">
        <f>68368/100000</f>
        <v>0.68367999999999995</v>
      </c>
      <c r="N97" s="2">
        <v>0.81339530000000004</v>
      </c>
      <c r="O97" s="4" t="s">
        <v>865</v>
      </c>
      <c r="P97" s="2">
        <v>1</v>
      </c>
      <c r="Q97" s="7" t="s">
        <v>362</v>
      </c>
      <c r="R97" s="2">
        <v>0.99399999999999999</v>
      </c>
      <c r="S97" s="2">
        <f>100000/100000</f>
        <v>1</v>
      </c>
      <c r="T97" s="2">
        <v>0.82929589999999997</v>
      </c>
    </row>
    <row r="98" spans="1:20">
      <c r="A98" s="3" t="s">
        <v>866</v>
      </c>
      <c r="B98" s="1" t="s">
        <v>867</v>
      </c>
      <c r="C98" s="3" t="s">
        <v>868</v>
      </c>
      <c r="D98" s="3" t="s">
        <v>850</v>
      </c>
      <c r="E98" s="3" t="s">
        <v>851</v>
      </c>
      <c r="F98" s="3" t="s">
        <v>852</v>
      </c>
      <c r="G98" s="3" t="s">
        <v>853</v>
      </c>
      <c r="H98" s="11" t="s">
        <v>8107</v>
      </c>
      <c r="I98" s="3" t="s">
        <v>854</v>
      </c>
      <c r="J98" s="7">
        <v>0.67</v>
      </c>
      <c r="K98" s="2" t="s">
        <v>855</v>
      </c>
      <c r="L98" s="2">
        <v>0.193</v>
      </c>
      <c r="M98" s="2">
        <f>23774/100000</f>
        <v>0.23774000000000001</v>
      </c>
      <c r="N98" s="2">
        <v>0.53743620000000003</v>
      </c>
      <c r="O98" s="4" t="s">
        <v>856</v>
      </c>
      <c r="P98" s="2">
        <v>1.0900000000000001</v>
      </c>
      <c r="Q98" s="7" t="s">
        <v>857</v>
      </c>
      <c r="R98" s="2">
        <v>0.78900000000000003</v>
      </c>
      <c r="S98" s="2">
        <f>86430/100000</f>
        <v>0.86429999999999996</v>
      </c>
      <c r="T98" s="2">
        <v>0.82929589999999997</v>
      </c>
    </row>
    <row r="99" spans="1:20">
      <c r="A99" s="3" t="s">
        <v>869</v>
      </c>
      <c r="B99" s="1" t="s">
        <v>867</v>
      </c>
      <c r="C99" s="3" t="s">
        <v>868</v>
      </c>
      <c r="D99" s="3" t="s">
        <v>859</v>
      </c>
      <c r="E99" s="3" t="s">
        <v>860</v>
      </c>
      <c r="F99" s="3" t="s">
        <v>861</v>
      </c>
      <c r="G99" s="3" t="s">
        <v>862</v>
      </c>
      <c r="H99" s="11" t="s">
        <v>8108</v>
      </c>
      <c r="I99" s="3" t="s">
        <v>863</v>
      </c>
      <c r="J99" s="7">
        <v>1.25</v>
      </c>
      <c r="K99" s="2" t="s">
        <v>864</v>
      </c>
      <c r="L99" s="2">
        <v>0.55400000000000005</v>
      </c>
      <c r="M99" s="2">
        <f>68368/100000</f>
        <v>0.68367999999999995</v>
      </c>
      <c r="N99" s="2">
        <v>0.81339530000000004</v>
      </c>
      <c r="O99" s="4" t="s">
        <v>865</v>
      </c>
      <c r="P99" s="2">
        <v>1</v>
      </c>
      <c r="Q99" s="7" t="s">
        <v>362</v>
      </c>
      <c r="R99" s="2">
        <v>0.99399999999999999</v>
      </c>
      <c r="S99" s="2">
        <f>100000/100000</f>
        <v>1</v>
      </c>
      <c r="T99" s="2">
        <v>0.82929589999999997</v>
      </c>
    </row>
    <row r="100" spans="1:20">
      <c r="A100" s="3" t="s">
        <v>870</v>
      </c>
      <c r="B100" s="1" t="s">
        <v>871</v>
      </c>
      <c r="C100" s="3" t="s">
        <v>872</v>
      </c>
      <c r="D100" s="3" t="s">
        <v>873</v>
      </c>
      <c r="E100" s="3" t="s">
        <v>874</v>
      </c>
      <c r="F100" s="3" t="s">
        <v>875</v>
      </c>
      <c r="G100" s="3" t="s">
        <v>876</v>
      </c>
      <c r="H100" s="11" t="s">
        <v>8078</v>
      </c>
      <c r="I100" s="3" t="s">
        <v>877</v>
      </c>
      <c r="J100" s="7">
        <v>0.9</v>
      </c>
      <c r="K100" s="2" t="s">
        <v>878</v>
      </c>
      <c r="L100" s="2">
        <v>0.72399999999999998</v>
      </c>
      <c r="M100" s="2">
        <f>77149/100000</f>
        <v>0.77149000000000001</v>
      </c>
      <c r="N100" s="2">
        <v>0.82929589999999997</v>
      </c>
      <c r="O100" s="4" t="s">
        <v>879</v>
      </c>
      <c r="P100" s="2">
        <v>0.76</v>
      </c>
      <c r="Q100" s="7" t="s">
        <v>880</v>
      </c>
      <c r="R100" s="2">
        <v>0.48199999999999998</v>
      </c>
      <c r="S100" s="2">
        <f>50266/100000</f>
        <v>0.50266</v>
      </c>
      <c r="T100" s="2">
        <v>0.73837560000000002</v>
      </c>
    </row>
    <row r="101" spans="1:20">
      <c r="A101" s="3" t="s">
        <v>881</v>
      </c>
      <c r="B101" s="1" t="s">
        <v>871</v>
      </c>
      <c r="C101" s="3" t="s">
        <v>872</v>
      </c>
      <c r="D101" s="3" t="s">
        <v>882</v>
      </c>
      <c r="E101" s="3" t="s">
        <v>883</v>
      </c>
      <c r="F101" s="3" t="s">
        <v>884</v>
      </c>
      <c r="G101" s="3" t="s">
        <v>885</v>
      </c>
      <c r="H101" s="11" t="s">
        <v>8078</v>
      </c>
      <c r="I101" s="3" t="s">
        <v>886</v>
      </c>
      <c r="J101" s="7">
        <v>1.29</v>
      </c>
      <c r="K101" s="2" t="s">
        <v>887</v>
      </c>
      <c r="L101" s="2">
        <v>0.35899999999999999</v>
      </c>
      <c r="M101" s="2">
        <f>43656/100000</f>
        <v>0.43656</v>
      </c>
      <c r="N101" s="2">
        <v>0.68822830000000002</v>
      </c>
      <c r="O101" s="4" t="s">
        <v>888</v>
      </c>
      <c r="P101" s="2">
        <v>1.26</v>
      </c>
      <c r="Q101" s="7" t="s">
        <v>889</v>
      </c>
      <c r="R101" s="2">
        <v>0.42699999999999999</v>
      </c>
      <c r="S101" s="2">
        <f>52261/100000</f>
        <v>0.52261000000000002</v>
      </c>
      <c r="T101" s="2">
        <v>0.74478149999999999</v>
      </c>
    </row>
    <row r="102" spans="1:20">
      <c r="A102" s="3" t="s">
        <v>890</v>
      </c>
      <c r="B102" s="1" t="s">
        <v>891</v>
      </c>
      <c r="C102" s="3" t="s">
        <v>892</v>
      </c>
      <c r="D102" s="3" t="s">
        <v>893</v>
      </c>
      <c r="E102" s="3" t="s">
        <v>894</v>
      </c>
      <c r="F102" s="3" t="s">
        <v>895</v>
      </c>
      <c r="G102" s="3" t="s">
        <v>896</v>
      </c>
      <c r="H102" s="11" t="s">
        <v>8068</v>
      </c>
      <c r="I102" s="3" t="s">
        <v>897</v>
      </c>
      <c r="J102" s="7">
        <v>1.08</v>
      </c>
      <c r="K102" s="2" t="s">
        <v>898</v>
      </c>
      <c r="L102" s="2">
        <v>0.43099999999999999</v>
      </c>
      <c r="M102" s="2">
        <f>45022/100000</f>
        <v>0.45022000000000001</v>
      </c>
      <c r="N102" s="2">
        <v>0.69853390000000004</v>
      </c>
      <c r="O102" s="4" t="s">
        <v>899</v>
      </c>
      <c r="P102" s="2">
        <v>1.26</v>
      </c>
      <c r="Q102" s="7" t="s">
        <v>900</v>
      </c>
      <c r="R102" s="2">
        <v>1.54E-2</v>
      </c>
      <c r="S102" s="2">
        <f>1601/100000</f>
        <v>1.601E-2</v>
      </c>
      <c r="T102" s="2">
        <v>0.11872829999999999</v>
      </c>
    </row>
    <row r="103" spans="1:20">
      <c r="A103" s="3" t="s">
        <v>901</v>
      </c>
      <c r="B103" s="1" t="s">
        <v>902</v>
      </c>
      <c r="C103" s="3" t="s">
        <v>903</v>
      </c>
      <c r="D103" s="3" t="s">
        <v>904</v>
      </c>
      <c r="E103" s="3" t="s">
        <v>905</v>
      </c>
      <c r="F103" s="3" t="s">
        <v>906</v>
      </c>
      <c r="G103" s="3" t="s">
        <v>907</v>
      </c>
      <c r="H103" s="11" t="s">
        <v>8069</v>
      </c>
      <c r="I103" s="3" t="s">
        <v>908</v>
      </c>
      <c r="J103" s="7">
        <v>1.1299999999999999</v>
      </c>
      <c r="K103" s="2" t="s">
        <v>909</v>
      </c>
      <c r="L103" s="2">
        <v>0.47799999999999998</v>
      </c>
      <c r="M103" s="2">
        <f>47773/100000</f>
        <v>0.47772999999999999</v>
      </c>
      <c r="N103" s="2">
        <v>0.7270527</v>
      </c>
      <c r="O103" s="4" t="s">
        <v>910</v>
      </c>
      <c r="P103" s="2">
        <v>0.53</v>
      </c>
      <c r="Q103" s="7" t="s">
        <v>911</v>
      </c>
      <c r="R103" s="2">
        <v>1.2200000000000001E-2</v>
      </c>
      <c r="S103" s="2">
        <f>1555/100000</f>
        <v>1.555E-2</v>
      </c>
      <c r="T103" s="2">
        <v>0.11745750000000001</v>
      </c>
    </row>
    <row r="104" spans="1:20">
      <c r="A104" s="3" t="s">
        <v>912</v>
      </c>
      <c r="B104" s="1" t="s">
        <v>902</v>
      </c>
      <c r="C104" s="3" t="s">
        <v>903</v>
      </c>
      <c r="D104" s="3" t="s">
        <v>913</v>
      </c>
      <c r="E104" s="3" t="s">
        <v>914</v>
      </c>
      <c r="F104" s="3" t="s">
        <v>915</v>
      </c>
      <c r="G104" s="3" t="s">
        <v>916</v>
      </c>
      <c r="H104" s="11" t="s">
        <v>8069</v>
      </c>
      <c r="I104" s="3" t="s">
        <v>917</v>
      </c>
      <c r="J104" s="7">
        <v>2.06</v>
      </c>
      <c r="K104" s="2" t="s">
        <v>918</v>
      </c>
      <c r="L104" s="2">
        <v>5.9599999999999996E-4</v>
      </c>
      <c r="M104" s="2">
        <f>134/100000</f>
        <v>1.34E-3</v>
      </c>
      <c r="N104" s="2">
        <v>2.110706E-2</v>
      </c>
      <c r="O104" s="4" t="s">
        <v>919</v>
      </c>
      <c r="P104" s="2">
        <v>0.35</v>
      </c>
      <c r="Q104" s="7" t="s">
        <v>920</v>
      </c>
      <c r="R104" s="2">
        <v>0.12</v>
      </c>
      <c r="S104" s="2">
        <f>12881/100000</f>
        <v>0.12881000000000001</v>
      </c>
      <c r="T104" s="2">
        <v>0.3957079</v>
      </c>
    </row>
    <row r="105" spans="1:20">
      <c r="A105" s="3" t="s">
        <v>921</v>
      </c>
      <c r="B105" s="1" t="s">
        <v>922</v>
      </c>
      <c r="C105" s="3" t="s">
        <v>923</v>
      </c>
      <c r="D105" s="3" t="s">
        <v>924</v>
      </c>
      <c r="E105" s="3" t="s">
        <v>925</v>
      </c>
      <c r="F105" s="3" t="s">
        <v>926</v>
      </c>
      <c r="G105" s="3" t="s">
        <v>927</v>
      </c>
      <c r="H105" s="11" t="s">
        <v>8109</v>
      </c>
      <c r="I105" s="3" t="s">
        <v>928</v>
      </c>
      <c r="J105" s="7">
        <v>1.31</v>
      </c>
      <c r="K105" s="2" t="s">
        <v>929</v>
      </c>
      <c r="L105" s="2">
        <v>0.60799999999999998</v>
      </c>
      <c r="M105" s="2">
        <f>76794/100000</f>
        <v>0.76793999999999996</v>
      </c>
      <c r="N105" s="2">
        <v>0.82929589999999997</v>
      </c>
      <c r="O105" s="4" t="s">
        <v>930</v>
      </c>
      <c r="P105" s="2">
        <v>1.04</v>
      </c>
      <c r="Q105" s="7" t="s">
        <v>931</v>
      </c>
      <c r="R105" s="2">
        <v>0.94899999999999995</v>
      </c>
      <c r="S105" s="2">
        <f>100000/100000</f>
        <v>1</v>
      </c>
      <c r="T105" s="2">
        <v>0.82929589999999997</v>
      </c>
    </row>
    <row r="106" spans="1:20">
      <c r="A106" s="3" t="s">
        <v>932</v>
      </c>
      <c r="B106" s="1" t="s">
        <v>922</v>
      </c>
      <c r="C106" s="3" t="s">
        <v>923</v>
      </c>
      <c r="D106" s="3" t="s">
        <v>933</v>
      </c>
      <c r="E106" s="3" t="s">
        <v>934</v>
      </c>
      <c r="F106" s="3" t="s">
        <v>935</v>
      </c>
      <c r="G106" s="3" t="s">
        <v>936</v>
      </c>
      <c r="H106" s="11" t="s">
        <v>8110</v>
      </c>
      <c r="I106" s="3" t="s">
        <v>937</v>
      </c>
      <c r="J106" s="7">
        <v>1.01</v>
      </c>
      <c r="K106" s="2" t="s">
        <v>938</v>
      </c>
      <c r="L106" s="2">
        <v>0.96899999999999997</v>
      </c>
      <c r="M106" s="2">
        <f>100000/100000</f>
        <v>1</v>
      </c>
      <c r="N106" s="2">
        <v>0.82929589999999997</v>
      </c>
      <c r="O106" s="4" t="s">
        <v>939</v>
      </c>
      <c r="P106" s="2">
        <v>0</v>
      </c>
      <c r="Q106" s="7" t="s">
        <v>774</v>
      </c>
      <c r="R106" s="2">
        <v>0.14699999999999999</v>
      </c>
      <c r="S106" s="2">
        <f>25662/100000</f>
        <v>0.25662000000000001</v>
      </c>
      <c r="T106" s="2">
        <v>0.55966709999999997</v>
      </c>
    </row>
    <row r="107" spans="1:20">
      <c r="A107" s="3" t="s">
        <v>940</v>
      </c>
      <c r="B107" s="1" t="s">
        <v>941</v>
      </c>
      <c r="C107" s="3" t="s">
        <v>942</v>
      </c>
      <c r="D107" s="3" t="s">
        <v>943</v>
      </c>
      <c r="E107" s="3" t="s">
        <v>944</v>
      </c>
      <c r="F107" s="3" t="s">
        <v>945</v>
      </c>
      <c r="G107" s="3" t="s">
        <v>946</v>
      </c>
      <c r="H107" s="11" t="s">
        <v>8111</v>
      </c>
      <c r="I107" s="3" t="s">
        <v>947</v>
      </c>
      <c r="J107" s="7">
        <v>1.17</v>
      </c>
      <c r="K107" s="2" t="s">
        <v>948</v>
      </c>
      <c r="L107" s="2">
        <v>0.14699999999999999</v>
      </c>
      <c r="M107" s="2">
        <f>14988/100000</f>
        <v>0.14988000000000001</v>
      </c>
      <c r="N107" s="2">
        <v>0.42508279999999998</v>
      </c>
      <c r="O107" s="4" t="s">
        <v>949</v>
      </c>
      <c r="P107" s="2">
        <v>0.71</v>
      </c>
      <c r="Q107" s="7" t="s">
        <v>950</v>
      </c>
      <c r="R107" s="2">
        <v>6.8900000000000005E-4</v>
      </c>
      <c r="S107" s="2">
        <f>75/100000</f>
        <v>7.5000000000000002E-4</v>
      </c>
      <c r="T107" s="2">
        <v>1.3465909999999999E-2</v>
      </c>
    </row>
    <row r="108" spans="1:20">
      <c r="A108" s="3" t="s">
        <v>951</v>
      </c>
      <c r="B108" s="1" t="s">
        <v>941</v>
      </c>
      <c r="C108" s="3" t="s">
        <v>942</v>
      </c>
      <c r="D108" s="3" t="s">
        <v>952</v>
      </c>
      <c r="E108" s="3" t="s">
        <v>953</v>
      </c>
      <c r="F108" s="3" t="s">
        <v>954</v>
      </c>
      <c r="G108" s="3" t="s">
        <v>955</v>
      </c>
      <c r="H108" s="11" t="s">
        <v>8111</v>
      </c>
      <c r="I108" s="3" t="s">
        <v>956</v>
      </c>
      <c r="J108" s="7">
        <v>1</v>
      </c>
      <c r="K108" s="2" t="s">
        <v>957</v>
      </c>
      <c r="L108" s="2">
        <v>0.98099999999999998</v>
      </c>
      <c r="M108" s="2">
        <f>100000/100000</f>
        <v>1</v>
      </c>
      <c r="N108" s="2">
        <v>0.82929589999999997</v>
      </c>
      <c r="O108" s="4" t="s">
        <v>958</v>
      </c>
      <c r="P108" s="2">
        <v>0.7</v>
      </c>
      <c r="Q108" s="7" t="s">
        <v>959</v>
      </c>
      <c r="R108" s="2">
        <v>5.3799999999999996E-4</v>
      </c>
      <c r="S108" s="2">
        <f>66/100000</f>
        <v>6.6E-4</v>
      </c>
      <c r="T108" s="2">
        <v>1.219101E-2</v>
      </c>
    </row>
    <row r="109" spans="1:20">
      <c r="A109" s="3" t="s">
        <v>960</v>
      </c>
      <c r="B109" s="1" t="s">
        <v>961</v>
      </c>
      <c r="C109" s="3" t="s">
        <v>962</v>
      </c>
      <c r="D109" s="3" t="s">
        <v>963</v>
      </c>
      <c r="E109" s="3" t="s">
        <v>964</v>
      </c>
      <c r="F109" s="3" t="s">
        <v>965</v>
      </c>
      <c r="G109" s="3" t="s">
        <v>966</v>
      </c>
      <c r="H109" s="11" t="s">
        <v>8112</v>
      </c>
      <c r="I109" s="3" t="s">
        <v>967</v>
      </c>
      <c r="J109" s="7">
        <v>1.29</v>
      </c>
      <c r="K109" s="2" t="s">
        <v>968</v>
      </c>
      <c r="L109" s="2">
        <v>0.14099999999999999</v>
      </c>
      <c r="M109" s="2">
        <f>15307/100000</f>
        <v>0.15307000000000001</v>
      </c>
      <c r="N109" s="2">
        <v>0.42978939999999999</v>
      </c>
      <c r="O109" s="4" t="s">
        <v>969</v>
      </c>
      <c r="P109" s="2">
        <v>1.1100000000000001</v>
      </c>
      <c r="Q109" s="7" t="s">
        <v>970</v>
      </c>
      <c r="R109" s="2">
        <v>0.57399999999999995</v>
      </c>
      <c r="S109" s="2">
        <f>57699/100000</f>
        <v>0.57699</v>
      </c>
      <c r="T109" s="2">
        <v>0.76719190000000004</v>
      </c>
    </row>
    <row r="110" spans="1:20">
      <c r="A110" s="3" t="s">
        <v>971</v>
      </c>
      <c r="B110" s="1" t="s">
        <v>972</v>
      </c>
      <c r="C110" s="3" t="s">
        <v>973</v>
      </c>
      <c r="D110" s="3" t="s">
        <v>974</v>
      </c>
      <c r="E110" s="3" t="s">
        <v>975</v>
      </c>
      <c r="F110" s="3" t="s">
        <v>976</v>
      </c>
      <c r="G110" s="3" t="s">
        <v>977</v>
      </c>
      <c r="H110" s="11" t="s">
        <v>8113</v>
      </c>
      <c r="I110" s="3" t="s">
        <v>978</v>
      </c>
      <c r="J110" s="7">
        <v>0.82</v>
      </c>
      <c r="K110" s="2" t="s">
        <v>979</v>
      </c>
      <c r="L110" s="2">
        <v>0.69699999999999995</v>
      </c>
      <c r="M110" s="2">
        <f>81875/100000</f>
        <v>0.81874999999999998</v>
      </c>
      <c r="N110" s="2">
        <v>0.82929589999999997</v>
      </c>
      <c r="O110" s="4" t="s">
        <v>980</v>
      </c>
      <c r="P110" s="2">
        <v>1.45</v>
      </c>
      <c r="Q110" s="7" t="s">
        <v>981</v>
      </c>
      <c r="R110" s="2">
        <v>0.43</v>
      </c>
      <c r="S110" s="2">
        <f>58307/100000</f>
        <v>0.58306999999999998</v>
      </c>
      <c r="T110" s="2">
        <v>0.77316759999999995</v>
      </c>
    </row>
    <row r="111" spans="1:20">
      <c r="A111" s="3" t="s">
        <v>982</v>
      </c>
      <c r="B111" s="1" t="s">
        <v>972</v>
      </c>
      <c r="C111" s="3" t="s">
        <v>973</v>
      </c>
      <c r="D111" s="3" t="s">
        <v>983</v>
      </c>
      <c r="E111" s="3" t="s">
        <v>984</v>
      </c>
      <c r="F111" s="3" t="s">
        <v>976</v>
      </c>
      <c r="G111" s="3" t="s">
        <v>977</v>
      </c>
      <c r="H111" s="11" t="s">
        <v>8067</v>
      </c>
      <c r="I111" s="3" t="s">
        <v>985</v>
      </c>
      <c r="J111" s="7">
        <v>2.15</v>
      </c>
      <c r="K111" s="2" t="s">
        <v>986</v>
      </c>
      <c r="L111" s="2">
        <v>0.14199999999999999</v>
      </c>
      <c r="M111" s="2">
        <f>13483/100000</f>
        <v>0.13483000000000001</v>
      </c>
      <c r="N111" s="2">
        <v>0.40163670000000001</v>
      </c>
      <c r="O111" s="4" t="s">
        <v>987</v>
      </c>
      <c r="P111" s="2">
        <v>1.84</v>
      </c>
      <c r="Q111" s="7" t="s">
        <v>988</v>
      </c>
      <c r="R111" s="2">
        <v>0.245</v>
      </c>
      <c r="S111" s="2">
        <f>28927/100000</f>
        <v>0.28927000000000003</v>
      </c>
      <c r="T111" s="2">
        <v>0.57823020000000003</v>
      </c>
    </row>
    <row r="112" spans="1:20">
      <c r="A112" s="3" t="s">
        <v>989</v>
      </c>
      <c r="B112" s="1" t="s">
        <v>990</v>
      </c>
      <c r="C112" s="3" t="s">
        <v>991</v>
      </c>
      <c r="D112" s="3" t="s">
        <v>992</v>
      </c>
      <c r="E112" s="3" t="s">
        <v>993</v>
      </c>
      <c r="F112" s="3" t="s">
        <v>994</v>
      </c>
      <c r="G112" s="3" t="s">
        <v>995</v>
      </c>
      <c r="H112" s="11" t="s">
        <v>8055</v>
      </c>
      <c r="I112" s="3" t="s">
        <v>996</v>
      </c>
      <c r="J112" s="7">
        <v>0.8</v>
      </c>
      <c r="K112" s="1" t="s">
        <v>997</v>
      </c>
      <c r="L112" s="2">
        <v>0.55700000000000005</v>
      </c>
      <c r="M112" s="2">
        <f>60596/100000</f>
        <v>0.60596000000000005</v>
      </c>
      <c r="N112" s="2">
        <v>0.78779999999999994</v>
      </c>
      <c r="O112" s="4" t="s">
        <v>998</v>
      </c>
      <c r="P112" s="1">
        <v>1.43</v>
      </c>
      <c r="Q112" s="7" t="s">
        <v>999</v>
      </c>
      <c r="R112" s="2">
        <v>0.22600000000000001</v>
      </c>
      <c r="S112" s="2">
        <f>23215/100000</f>
        <v>0.23215</v>
      </c>
      <c r="T112" s="2">
        <v>0.53041850000000001</v>
      </c>
    </row>
    <row r="113" spans="1:20">
      <c r="A113" s="3" t="s">
        <v>1000</v>
      </c>
      <c r="B113" s="1" t="s">
        <v>990</v>
      </c>
      <c r="C113" s="3" t="s">
        <v>991</v>
      </c>
      <c r="D113" s="3" t="s">
        <v>1001</v>
      </c>
      <c r="E113" s="3" t="s">
        <v>1002</v>
      </c>
      <c r="F113" s="3" t="s">
        <v>1003</v>
      </c>
      <c r="G113" s="3" t="s">
        <v>1004</v>
      </c>
      <c r="H113" s="11" t="s">
        <v>8056</v>
      </c>
      <c r="I113" s="3" t="s">
        <v>1005</v>
      </c>
      <c r="J113" s="7">
        <v>1.08</v>
      </c>
      <c r="K113" s="2" t="s">
        <v>1006</v>
      </c>
      <c r="L113" s="2">
        <v>0.68700000000000006</v>
      </c>
      <c r="M113" s="2">
        <f>70180/100000</f>
        <v>0.70179999999999998</v>
      </c>
      <c r="N113" s="2">
        <v>0.82001139999999995</v>
      </c>
      <c r="O113" s="4" t="s">
        <v>1007</v>
      </c>
      <c r="P113" s="2">
        <v>1.1000000000000001</v>
      </c>
      <c r="Q113" s="7" t="s">
        <v>1008</v>
      </c>
      <c r="R113" s="2">
        <v>0.61799999999999999</v>
      </c>
      <c r="S113" s="2">
        <f>68828/100000</f>
        <v>0.68828</v>
      </c>
      <c r="T113" s="2">
        <v>0.81339530000000004</v>
      </c>
    </row>
    <row r="114" spans="1:20">
      <c r="A114" s="3" t="s">
        <v>1009</v>
      </c>
      <c r="B114" s="1" t="s">
        <v>1010</v>
      </c>
      <c r="C114" s="3" t="s">
        <v>1011</v>
      </c>
      <c r="D114" s="3" t="s">
        <v>1012</v>
      </c>
      <c r="E114" s="3" t="s">
        <v>1013</v>
      </c>
      <c r="F114" s="3" t="s">
        <v>1014</v>
      </c>
      <c r="G114" s="3" t="s">
        <v>1015</v>
      </c>
      <c r="H114" s="11" t="s">
        <v>8114</v>
      </c>
      <c r="I114" s="3" t="s">
        <v>1016</v>
      </c>
      <c r="J114" s="7">
        <v>1.05</v>
      </c>
      <c r="K114" s="2" t="s">
        <v>1017</v>
      </c>
      <c r="L114" s="2">
        <v>0.85899999999999999</v>
      </c>
      <c r="M114" s="2">
        <f>89698/100000</f>
        <v>0.89698</v>
      </c>
      <c r="N114" s="2">
        <v>0.82929589999999997</v>
      </c>
      <c r="O114" s="4" t="s">
        <v>1018</v>
      </c>
      <c r="P114" s="2">
        <v>1.46</v>
      </c>
      <c r="Q114" s="7" t="s">
        <v>1019</v>
      </c>
      <c r="R114" s="2">
        <v>7.8899999999999998E-2</v>
      </c>
      <c r="S114" s="2">
        <f>9933/100000</f>
        <v>9.9330000000000002E-2</v>
      </c>
      <c r="T114" s="2">
        <v>0.3565972</v>
      </c>
    </row>
    <row r="115" spans="1:20">
      <c r="A115" s="3" t="s">
        <v>1020</v>
      </c>
      <c r="B115" s="1" t="s">
        <v>1021</v>
      </c>
      <c r="C115" s="3" t="s">
        <v>1022</v>
      </c>
      <c r="D115" s="3" t="s">
        <v>1023</v>
      </c>
      <c r="E115" s="3" t="s">
        <v>1024</v>
      </c>
      <c r="F115" s="3" t="s">
        <v>1025</v>
      </c>
      <c r="G115" s="3" t="s">
        <v>1026</v>
      </c>
      <c r="H115" s="11" t="s">
        <v>8051</v>
      </c>
      <c r="I115" s="3" t="s">
        <v>1027</v>
      </c>
      <c r="J115" s="7">
        <v>0.75</v>
      </c>
      <c r="K115" s="2" t="s">
        <v>1028</v>
      </c>
      <c r="L115" s="2">
        <v>0.34300000000000003</v>
      </c>
      <c r="M115" s="2">
        <f>41359/100000</f>
        <v>0.41359000000000001</v>
      </c>
      <c r="N115" s="2">
        <v>0.67274999999999996</v>
      </c>
      <c r="O115" s="4" t="s">
        <v>1029</v>
      </c>
      <c r="P115" s="2">
        <v>1.47</v>
      </c>
      <c r="Q115" s="7" t="s">
        <v>1030</v>
      </c>
      <c r="R115" s="2">
        <v>0.2</v>
      </c>
      <c r="S115" s="2">
        <f>20523/100000</f>
        <v>0.20523</v>
      </c>
      <c r="T115" s="2">
        <v>0.49375000000000002</v>
      </c>
    </row>
    <row r="116" spans="1:20">
      <c r="A116" s="3" t="s">
        <v>1031</v>
      </c>
      <c r="B116" s="1" t="s">
        <v>1032</v>
      </c>
      <c r="C116" s="3" t="s">
        <v>1033</v>
      </c>
      <c r="D116" s="3" t="s">
        <v>1034</v>
      </c>
      <c r="E116" s="3" t="s">
        <v>1035</v>
      </c>
      <c r="F116" s="3" t="s">
        <v>1036</v>
      </c>
      <c r="G116" s="3" t="s">
        <v>1037</v>
      </c>
      <c r="H116" s="12" t="s">
        <v>8115</v>
      </c>
      <c r="I116" s="3" t="s">
        <v>1038</v>
      </c>
      <c r="J116" s="7">
        <v>1.8</v>
      </c>
      <c r="K116" s="2" t="s">
        <v>1039</v>
      </c>
      <c r="L116" s="2">
        <v>1.35E-4</v>
      </c>
      <c r="M116" s="2">
        <f>26/100000</f>
        <v>2.5999999999999998E-4</v>
      </c>
      <c r="N116" s="2">
        <v>5.7547409999999998E-3</v>
      </c>
      <c r="O116" s="4" t="s">
        <v>1040</v>
      </c>
      <c r="P116" s="2">
        <v>1.66</v>
      </c>
      <c r="Q116" s="7" t="s">
        <v>1041</v>
      </c>
      <c r="R116" s="2">
        <v>9.8200000000000002E-4</v>
      </c>
      <c r="S116" s="2">
        <f>144/100000</f>
        <v>1.4400000000000001E-3</v>
      </c>
      <c r="T116" s="2">
        <v>2.1543389999999999E-2</v>
      </c>
    </row>
    <row r="117" spans="1:20">
      <c r="A117" s="3" t="s">
        <v>1042</v>
      </c>
      <c r="B117" s="1" t="s">
        <v>1043</v>
      </c>
      <c r="C117" s="3" t="s">
        <v>1044</v>
      </c>
      <c r="D117" s="3" t="s">
        <v>1045</v>
      </c>
      <c r="E117" s="3" t="s">
        <v>1046</v>
      </c>
      <c r="F117" s="3" t="s">
        <v>1047</v>
      </c>
      <c r="G117" s="3" t="s">
        <v>1048</v>
      </c>
      <c r="H117" s="11" t="s">
        <v>8116</v>
      </c>
      <c r="I117" s="3" t="s">
        <v>1049</v>
      </c>
      <c r="J117" s="7">
        <v>1.3</v>
      </c>
      <c r="K117" s="2" t="s">
        <v>1050</v>
      </c>
      <c r="L117" s="2">
        <v>0.35899999999999999</v>
      </c>
      <c r="M117" s="2">
        <f>41608/100000</f>
        <v>0.41608000000000001</v>
      </c>
      <c r="N117" s="2">
        <v>0.67386749999999995</v>
      </c>
      <c r="O117" s="4" t="s">
        <v>1051</v>
      </c>
      <c r="P117" s="2">
        <v>1.17</v>
      </c>
      <c r="Q117" s="7" t="s">
        <v>1052</v>
      </c>
      <c r="R117" s="2">
        <v>0.58199999999999996</v>
      </c>
      <c r="S117" s="2">
        <f>64304/100000</f>
        <v>0.64303999999999994</v>
      </c>
      <c r="T117" s="2">
        <v>0.79869500000000004</v>
      </c>
    </row>
    <row r="118" spans="1:20">
      <c r="A118" s="3" t="s">
        <v>1053</v>
      </c>
      <c r="B118" s="1" t="s">
        <v>1054</v>
      </c>
      <c r="C118" s="3" t="s">
        <v>1055</v>
      </c>
      <c r="D118" s="3" t="s">
        <v>1056</v>
      </c>
      <c r="E118" s="3" t="s">
        <v>1057</v>
      </c>
      <c r="F118" s="3" t="s">
        <v>1058</v>
      </c>
      <c r="G118" s="3" t="s">
        <v>1059</v>
      </c>
      <c r="H118" s="11" t="s">
        <v>8117</v>
      </c>
      <c r="I118" s="3" t="s">
        <v>1060</v>
      </c>
      <c r="J118" s="7">
        <v>0.68</v>
      </c>
      <c r="K118" s="2" t="s">
        <v>1061</v>
      </c>
      <c r="L118" s="2">
        <v>5.67E-2</v>
      </c>
      <c r="M118" s="2">
        <f>5781/100000</f>
        <v>5.781E-2</v>
      </c>
      <c r="N118" s="2">
        <v>0.2640208</v>
      </c>
      <c r="O118" s="4" t="s">
        <v>1062</v>
      </c>
      <c r="P118" s="2">
        <v>1.08</v>
      </c>
      <c r="Q118" s="7" t="s">
        <v>1063</v>
      </c>
      <c r="R118" s="2">
        <v>0.65900000000000003</v>
      </c>
      <c r="S118" s="2">
        <f>66060/100000</f>
        <v>0.66059999999999997</v>
      </c>
      <c r="T118" s="2">
        <v>0.80511429999999995</v>
      </c>
    </row>
    <row r="119" spans="1:20">
      <c r="A119" s="3" t="s">
        <v>1064</v>
      </c>
      <c r="B119" s="1" t="s">
        <v>1065</v>
      </c>
      <c r="C119" s="3" t="s">
        <v>1066</v>
      </c>
      <c r="D119" s="3" t="s">
        <v>1067</v>
      </c>
      <c r="E119" s="3" t="s">
        <v>1068</v>
      </c>
      <c r="F119" s="3" t="s">
        <v>1069</v>
      </c>
      <c r="G119" s="3" t="s">
        <v>1070</v>
      </c>
      <c r="H119" s="11" t="s">
        <v>8060</v>
      </c>
      <c r="I119" s="3" t="s">
        <v>1071</v>
      </c>
      <c r="J119" s="7">
        <v>0.13</v>
      </c>
      <c r="K119" s="2" t="s">
        <v>1072</v>
      </c>
      <c r="L119" s="2">
        <v>1.61E-2</v>
      </c>
      <c r="M119" s="2">
        <f>1765/100000</f>
        <v>1.7649999999999999E-2</v>
      </c>
      <c r="N119" s="2">
        <v>0.12765380000000001</v>
      </c>
      <c r="O119" s="4" t="s">
        <v>1073</v>
      </c>
      <c r="P119" s="2">
        <v>1.94</v>
      </c>
      <c r="Q119" s="7" t="s">
        <v>1074</v>
      </c>
      <c r="R119" s="2">
        <v>9.7599999999999996E-3</v>
      </c>
      <c r="S119" s="2">
        <f>1320/100000</f>
        <v>1.32E-2</v>
      </c>
      <c r="T119" s="2">
        <v>0.1039601</v>
      </c>
    </row>
    <row r="120" spans="1:20">
      <c r="A120" s="3" t="s">
        <v>1075</v>
      </c>
      <c r="B120" s="1" t="s">
        <v>1076</v>
      </c>
      <c r="C120" s="3" t="s">
        <v>1077</v>
      </c>
      <c r="D120" s="3" t="s">
        <v>1078</v>
      </c>
      <c r="E120" s="3" t="s">
        <v>1079</v>
      </c>
      <c r="F120" s="3" t="s">
        <v>1080</v>
      </c>
      <c r="G120" s="3" t="s">
        <v>1081</v>
      </c>
      <c r="H120" s="11" t="s">
        <v>8070</v>
      </c>
      <c r="I120" s="3" t="s">
        <v>1082</v>
      </c>
      <c r="J120" s="7">
        <v>0.74</v>
      </c>
      <c r="K120" s="2" t="s">
        <v>1083</v>
      </c>
      <c r="L120" s="2">
        <v>0.51100000000000001</v>
      </c>
      <c r="M120" s="2">
        <f>55815/100000</f>
        <v>0.55815000000000003</v>
      </c>
      <c r="N120" s="2">
        <v>0.75882680000000002</v>
      </c>
      <c r="O120" s="4" t="s">
        <v>1084</v>
      </c>
      <c r="P120" s="2">
        <v>0.26</v>
      </c>
      <c r="Q120" s="7" t="s">
        <v>1085</v>
      </c>
      <c r="R120" s="2">
        <v>1.3899999999999999E-2</v>
      </c>
      <c r="S120" s="2">
        <f>1537/100000</f>
        <v>1.537E-2</v>
      </c>
      <c r="T120" s="2">
        <v>0.1162926</v>
      </c>
    </row>
    <row r="121" spans="1:20">
      <c r="A121" s="3" t="s">
        <v>1086</v>
      </c>
      <c r="B121" s="1" t="s">
        <v>1076</v>
      </c>
      <c r="C121" s="3" t="s">
        <v>1077</v>
      </c>
      <c r="D121" s="3" t="s">
        <v>1087</v>
      </c>
      <c r="E121" s="3" t="s">
        <v>1088</v>
      </c>
      <c r="F121" s="3" t="s">
        <v>1080</v>
      </c>
      <c r="G121" s="3" t="s">
        <v>1081</v>
      </c>
      <c r="H121" s="11" t="s">
        <v>8071</v>
      </c>
      <c r="I121" s="3" t="s">
        <v>1089</v>
      </c>
      <c r="J121" s="7">
        <v>0.4</v>
      </c>
      <c r="K121" s="2" t="s">
        <v>1090</v>
      </c>
      <c r="L121" s="2">
        <v>0.186</v>
      </c>
      <c r="M121" s="2">
        <f>23679/100000</f>
        <v>0.23679</v>
      </c>
      <c r="N121" s="2">
        <v>0.53743620000000003</v>
      </c>
      <c r="O121" s="4" t="s">
        <v>1091</v>
      </c>
      <c r="P121" s="2">
        <v>0.15</v>
      </c>
      <c r="Q121" s="7" t="s">
        <v>1092</v>
      </c>
      <c r="R121" s="2">
        <v>3.0800000000000001E-2</v>
      </c>
      <c r="S121" s="2">
        <f>3086/100000</f>
        <v>3.0859999999999999E-2</v>
      </c>
      <c r="T121" s="2">
        <v>0.1841517</v>
      </c>
    </row>
    <row r="122" spans="1:20">
      <c r="A122" s="3" t="s">
        <v>1093</v>
      </c>
      <c r="B122" s="1" t="s">
        <v>1076</v>
      </c>
      <c r="C122" s="3" t="s">
        <v>1077</v>
      </c>
      <c r="D122" s="3" t="s">
        <v>1094</v>
      </c>
      <c r="E122" s="3" t="s">
        <v>1095</v>
      </c>
      <c r="F122" s="3" t="s">
        <v>1080</v>
      </c>
      <c r="G122" s="3" t="s">
        <v>1081</v>
      </c>
      <c r="H122" s="11" t="s">
        <v>8072</v>
      </c>
      <c r="I122" s="3" t="s">
        <v>1096</v>
      </c>
      <c r="J122" s="7">
        <v>1.1200000000000001</v>
      </c>
      <c r="K122" s="2" t="s">
        <v>1097</v>
      </c>
      <c r="L122" s="2">
        <v>0.79200000000000004</v>
      </c>
      <c r="M122" s="2">
        <f>82125/100000</f>
        <v>0.82125000000000004</v>
      </c>
      <c r="N122" s="2">
        <v>0.82929589999999997</v>
      </c>
      <c r="O122" s="4" t="s">
        <v>1098</v>
      </c>
      <c r="P122" s="2">
        <v>0.13</v>
      </c>
      <c r="Q122" s="7" t="s">
        <v>1099</v>
      </c>
      <c r="R122" s="2">
        <v>1.4E-2</v>
      </c>
      <c r="S122" s="2">
        <f>1895/100000</f>
        <v>1.8950000000000002E-2</v>
      </c>
      <c r="T122" s="2">
        <v>0.1340179</v>
      </c>
    </row>
    <row r="123" spans="1:20">
      <c r="A123" s="3" t="s">
        <v>1100</v>
      </c>
      <c r="B123" s="1" t="s">
        <v>1076</v>
      </c>
      <c r="C123" s="3" t="s">
        <v>1077</v>
      </c>
      <c r="D123" s="3" t="s">
        <v>1101</v>
      </c>
      <c r="E123" s="3" t="s">
        <v>1102</v>
      </c>
      <c r="F123" s="3" t="s">
        <v>1103</v>
      </c>
      <c r="G123" s="3" t="s">
        <v>1104</v>
      </c>
      <c r="H123" s="11" t="s">
        <v>8070</v>
      </c>
      <c r="I123" s="3" t="s">
        <v>1105</v>
      </c>
      <c r="J123" s="7">
        <v>0.89</v>
      </c>
      <c r="K123" s="2" t="s">
        <v>1106</v>
      </c>
      <c r="L123" s="2">
        <v>0.70899999999999996</v>
      </c>
      <c r="M123" s="2">
        <f>76624/100000</f>
        <v>0.76624000000000003</v>
      </c>
      <c r="N123" s="2">
        <v>0.82929589999999997</v>
      </c>
      <c r="O123" s="4" t="s">
        <v>1107</v>
      </c>
      <c r="P123" s="2">
        <v>0.62</v>
      </c>
      <c r="Q123" s="7" t="s">
        <v>1108</v>
      </c>
      <c r="R123" s="2">
        <v>0.159</v>
      </c>
      <c r="S123" s="2">
        <f>16563/100000</f>
        <v>0.16563</v>
      </c>
      <c r="T123" s="2">
        <v>0.45196710000000001</v>
      </c>
    </row>
    <row r="124" spans="1:20">
      <c r="A124" s="3" t="s">
        <v>1109</v>
      </c>
      <c r="B124" s="1" t="s">
        <v>1076</v>
      </c>
      <c r="C124" s="3" t="s">
        <v>1077</v>
      </c>
      <c r="D124" s="3" t="s">
        <v>1110</v>
      </c>
      <c r="E124" s="3" t="s">
        <v>1111</v>
      </c>
      <c r="F124" s="3" t="s">
        <v>1103</v>
      </c>
      <c r="G124" s="3" t="s">
        <v>1104</v>
      </c>
      <c r="H124" s="11" t="s">
        <v>8071</v>
      </c>
      <c r="I124" s="3" t="s">
        <v>1112</v>
      </c>
      <c r="J124" s="7">
        <v>0.95</v>
      </c>
      <c r="K124" s="2" t="s">
        <v>1113</v>
      </c>
      <c r="L124" s="2">
        <v>0.85</v>
      </c>
      <c r="M124" s="2">
        <f>89742/100000</f>
        <v>0.89742</v>
      </c>
      <c r="N124" s="2">
        <v>0.82929589999999997</v>
      </c>
      <c r="O124" s="4" t="s">
        <v>1114</v>
      </c>
      <c r="P124" s="2">
        <v>0.53</v>
      </c>
      <c r="Q124" s="7" t="s">
        <v>1115</v>
      </c>
      <c r="R124" s="2">
        <v>9.4500000000000001E-2</v>
      </c>
      <c r="S124" s="2">
        <f>10440/100000</f>
        <v>0.10440000000000001</v>
      </c>
      <c r="T124" s="2">
        <v>0.36230659999999998</v>
      </c>
    </row>
    <row r="125" spans="1:20">
      <c r="A125" s="3" t="s">
        <v>1116</v>
      </c>
      <c r="B125" s="1" t="s">
        <v>1076</v>
      </c>
      <c r="C125" s="3" t="s">
        <v>1077</v>
      </c>
      <c r="D125" s="3" t="s">
        <v>1117</v>
      </c>
      <c r="E125" s="3" t="s">
        <v>1118</v>
      </c>
      <c r="F125" s="3" t="s">
        <v>1119</v>
      </c>
      <c r="G125" s="3" t="s">
        <v>1120</v>
      </c>
      <c r="H125" s="11" t="s">
        <v>8072</v>
      </c>
      <c r="I125" s="3" t="s">
        <v>1121</v>
      </c>
      <c r="J125" s="7">
        <v>1.5</v>
      </c>
      <c r="K125" s="2" t="s">
        <v>1122</v>
      </c>
      <c r="L125" s="2">
        <v>0.16900000000000001</v>
      </c>
      <c r="M125" s="2">
        <f>22001/100000</f>
        <v>0.22001000000000001</v>
      </c>
      <c r="N125" s="2">
        <v>0.51303359999999998</v>
      </c>
      <c r="O125" s="4" t="s">
        <v>1123</v>
      </c>
      <c r="P125" s="2">
        <v>1.05</v>
      </c>
      <c r="Q125" s="7" t="s">
        <v>1124</v>
      </c>
      <c r="R125" s="2">
        <v>0.90200000000000002</v>
      </c>
      <c r="S125" s="2">
        <f>100000/100000</f>
        <v>1</v>
      </c>
      <c r="T125" s="2">
        <v>0.82929589999999997</v>
      </c>
    </row>
    <row r="126" spans="1:20">
      <c r="A126" s="3" t="s">
        <v>1125</v>
      </c>
      <c r="B126" s="1" t="s">
        <v>1076</v>
      </c>
      <c r="C126" s="3" t="s">
        <v>1077</v>
      </c>
      <c r="D126" s="3" t="s">
        <v>1080</v>
      </c>
      <c r="E126" s="3" t="s">
        <v>1081</v>
      </c>
      <c r="F126" s="3" t="s">
        <v>1119</v>
      </c>
      <c r="G126" s="3" t="s">
        <v>1120</v>
      </c>
      <c r="H126" s="11" t="s">
        <v>8073</v>
      </c>
      <c r="I126" s="3" t="s">
        <v>1126</v>
      </c>
      <c r="J126" s="7">
        <v>0.43</v>
      </c>
      <c r="K126" s="2" t="s">
        <v>1127</v>
      </c>
      <c r="L126" s="2">
        <v>8.5900000000000004E-2</v>
      </c>
      <c r="M126" s="2">
        <f>11001/100000</f>
        <v>0.11001</v>
      </c>
      <c r="N126" s="2">
        <v>0.37259229999999999</v>
      </c>
      <c r="O126" s="4" t="s">
        <v>1128</v>
      </c>
      <c r="P126" s="2">
        <v>0.47</v>
      </c>
      <c r="Q126" s="7" t="s">
        <v>1129</v>
      </c>
      <c r="R126" s="2">
        <v>0.28699999999999998</v>
      </c>
      <c r="S126" s="2">
        <f>32648/100000</f>
        <v>0.32647999999999999</v>
      </c>
      <c r="T126" s="2">
        <v>0.61139880000000002</v>
      </c>
    </row>
    <row r="127" spans="1:20">
      <c r="A127" s="3" t="s">
        <v>1130</v>
      </c>
      <c r="B127" s="1" t="s">
        <v>1076</v>
      </c>
      <c r="C127" s="3" t="s">
        <v>1077</v>
      </c>
      <c r="D127" s="3" t="s">
        <v>1103</v>
      </c>
      <c r="E127" s="3" t="s">
        <v>1104</v>
      </c>
      <c r="F127" s="3" t="s">
        <v>1131</v>
      </c>
      <c r="G127" s="3" t="s">
        <v>1132</v>
      </c>
      <c r="H127" s="11" t="s">
        <v>8073</v>
      </c>
      <c r="I127" s="3" t="s">
        <v>1133</v>
      </c>
      <c r="J127" s="7">
        <v>1.9</v>
      </c>
      <c r="K127" s="2" t="s">
        <v>1134</v>
      </c>
      <c r="L127" s="2">
        <v>4.3999999999999997E-2</v>
      </c>
      <c r="M127" s="2">
        <f>5547/100000</f>
        <v>5.5469999999999998E-2</v>
      </c>
      <c r="N127" s="2">
        <v>0.25767859999999998</v>
      </c>
      <c r="O127" s="4" t="s">
        <v>1135</v>
      </c>
      <c r="P127" s="2">
        <v>0.47</v>
      </c>
      <c r="Q127" s="7" t="s">
        <v>1136</v>
      </c>
      <c r="R127" s="2">
        <v>0.188</v>
      </c>
      <c r="S127" s="2">
        <f>21446/100000</f>
        <v>0.21446000000000001</v>
      </c>
      <c r="T127" s="2">
        <v>0.50686810000000004</v>
      </c>
    </row>
    <row r="128" spans="1:20">
      <c r="A128" s="3" t="s">
        <v>1137</v>
      </c>
      <c r="B128" s="1" t="s">
        <v>1138</v>
      </c>
      <c r="C128" s="3" t="s">
        <v>1139</v>
      </c>
      <c r="D128" s="3" t="s">
        <v>1140</v>
      </c>
      <c r="E128" s="3" t="s">
        <v>1141</v>
      </c>
      <c r="F128" s="3" t="s">
        <v>1142</v>
      </c>
      <c r="G128" s="3" t="s">
        <v>1143</v>
      </c>
      <c r="H128" s="11" t="s">
        <v>8118</v>
      </c>
      <c r="I128" s="3" t="s">
        <v>1144</v>
      </c>
      <c r="J128" s="7">
        <v>0.93</v>
      </c>
      <c r="K128" s="2" t="s">
        <v>1145</v>
      </c>
      <c r="L128" s="2">
        <v>0.70699999999999996</v>
      </c>
      <c r="M128" s="2">
        <f>76783/100000</f>
        <v>0.76783000000000001</v>
      </c>
      <c r="N128" s="2">
        <v>0.82929589999999997</v>
      </c>
      <c r="O128" s="4" t="s">
        <v>1146</v>
      </c>
      <c r="P128" s="2">
        <v>1.1599999999999999</v>
      </c>
      <c r="Q128" s="7" t="s">
        <v>1147</v>
      </c>
      <c r="R128" s="2">
        <v>0.435</v>
      </c>
      <c r="S128" s="2">
        <f>48245/100000</f>
        <v>0.48244999999999999</v>
      </c>
      <c r="T128" s="2">
        <v>0.72967870000000001</v>
      </c>
    </row>
    <row r="129" spans="1:20">
      <c r="A129" s="3" t="s">
        <v>1148</v>
      </c>
      <c r="B129" s="1" t="s">
        <v>1149</v>
      </c>
      <c r="C129" s="3" t="s">
        <v>1150</v>
      </c>
      <c r="D129" s="3" t="s">
        <v>1151</v>
      </c>
      <c r="E129" s="3" t="s">
        <v>1152</v>
      </c>
      <c r="F129" s="3" t="s">
        <v>1153</v>
      </c>
      <c r="G129" s="3" t="s">
        <v>1154</v>
      </c>
      <c r="H129" s="11" t="s">
        <v>8119</v>
      </c>
      <c r="I129" s="3" t="s">
        <v>1155</v>
      </c>
      <c r="J129" s="7">
        <v>2.2000000000000002</v>
      </c>
      <c r="K129" s="2" t="s">
        <v>1156</v>
      </c>
      <c r="L129" s="2">
        <v>1.6799999999999999E-18</v>
      </c>
      <c r="M129" s="2" t="s">
        <v>500</v>
      </c>
      <c r="N129" s="2">
        <v>3.517123E-4</v>
      </c>
      <c r="O129" s="4" t="s">
        <v>1157</v>
      </c>
      <c r="P129" s="2">
        <v>0.74</v>
      </c>
      <c r="Q129" s="7" t="s">
        <v>1158</v>
      </c>
      <c r="R129" s="2">
        <v>7.7899999999999997E-2</v>
      </c>
      <c r="S129" s="2">
        <f>8283/100000</f>
        <v>8.2830000000000001E-2</v>
      </c>
      <c r="T129" s="2">
        <v>0.3250596</v>
      </c>
    </row>
    <row r="130" spans="1:20">
      <c r="A130" s="3" t="s">
        <v>1159</v>
      </c>
      <c r="B130" s="1" t="s">
        <v>1160</v>
      </c>
      <c r="C130" s="3" t="s">
        <v>1161</v>
      </c>
      <c r="D130" s="3" t="s">
        <v>1162</v>
      </c>
      <c r="E130" s="3" t="s">
        <v>1163</v>
      </c>
      <c r="F130" s="3" t="s">
        <v>1164</v>
      </c>
      <c r="G130" s="3" t="s">
        <v>1165</v>
      </c>
      <c r="H130" s="11" t="s">
        <v>8120</v>
      </c>
      <c r="I130" s="3" t="s">
        <v>1166</v>
      </c>
      <c r="J130" s="7">
        <v>1.18</v>
      </c>
      <c r="K130" s="2" t="s">
        <v>1167</v>
      </c>
      <c r="L130" s="2">
        <v>0.52</v>
      </c>
      <c r="M130" s="2">
        <f>57162/100000</f>
        <v>0.57162000000000002</v>
      </c>
      <c r="N130" s="2">
        <v>0.76450289999999999</v>
      </c>
      <c r="O130" s="4" t="s">
        <v>1168</v>
      </c>
      <c r="P130" s="2">
        <v>0.65</v>
      </c>
      <c r="Q130" s="7" t="s">
        <v>222</v>
      </c>
      <c r="R130" s="2">
        <v>0.20100000000000001</v>
      </c>
      <c r="S130" s="2">
        <f>20893/100000</f>
        <v>0.20893</v>
      </c>
      <c r="T130" s="2">
        <v>0.49963449999999998</v>
      </c>
    </row>
    <row r="131" spans="1:20">
      <c r="A131" s="3" t="s">
        <v>1169</v>
      </c>
      <c r="B131" s="1" t="s">
        <v>1170</v>
      </c>
      <c r="C131" s="3" t="s">
        <v>1171</v>
      </c>
      <c r="D131" s="3" t="s">
        <v>1172</v>
      </c>
      <c r="E131" s="3" t="s">
        <v>1173</v>
      </c>
      <c r="F131" s="3" t="s">
        <v>1174</v>
      </c>
      <c r="G131" s="3" t="s">
        <v>1175</v>
      </c>
      <c r="H131" s="11" t="s">
        <v>8121</v>
      </c>
      <c r="I131" s="3" t="s">
        <v>1176</v>
      </c>
      <c r="J131" s="7">
        <v>1.07</v>
      </c>
      <c r="K131" s="2" t="s">
        <v>1177</v>
      </c>
      <c r="L131" s="2">
        <v>0.85599999999999998</v>
      </c>
      <c r="M131" s="2">
        <f>100000/100000</f>
        <v>1</v>
      </c>
      <c r="N131" s="2">
        <v>0.82929589999999997</v>
      </c>
      <c r="O131" s="4" t="s">
        <v>1178</v>
      </c>
      <c r="P131" s="2">
        <v>0.4</v>
      </c>
      <c r="Q131" s="7" t="s">
        <v>1179</v>
      </c>
      <c r="R131" s="2">
        <v>0.19</v>
      </c>
      <c r="S131" s="2">
        <f>23777/100000</f>
        <v>0.23777000000000001</v>
      </c>
      <c r="T131" s="2">
        <v>0.53743620000000003</v>
      </c>
    </row>
    <row r="132" spans="1:20">
      <c r="A132" s="3" t="s">
        <v>1180</v>
      </c>
      <c r="B132" s="1" t="s">
        <v>1181</v>
      </c>
      <c r="C132" s="3" t="s">
        <v>1182</v>
      </c>
      <c r="D132" s="3" t="s">
        <v>1183</v>
      </c>
      <c r="E132" s="3" t="s">
        <v>1184</v>
      </c>
      <c r="F132" s="3" t="s">
        <v>1185</v>
      </c>
      <c r="G132" s="3" t="s">
        <v>1186</v>
      </c>
      <c r="H132" s="11" t="s">
        <v>8122</v>
      </c>
      <c r="I132" s="3" t="s">
        <v>1187</v>
      </c>
      <c r="J132" s="7">
        <v>0.52</v>
      </c>
      <c r="K132" s="2" t="s">
        <v>1188</v>
      </c>
      <c r="L132" s="2">
        <v>8.1699999999999994E-5</v>
      </c>
      <c r="M132" s="2">
        <f>15/100000</f>
        <v>1.4999999999999999E-4</v>
      </c>
      <c r="N132" s="2">
        <v>3.5659720000000002E-3</v>
      </c>
      <c r="O132" s="4" t="s">
        <v>1189</v>
      </c>
      <c r="P132" s="2">
        <v>1.02</v>
      </c>
      <c r="Q132" s="7" t="s">
        <v>1190</v>
      </c>
      <c r="R132" s="2">
        <v>0.84199999999999997</v>
      </c>
      <c r="S132" s="2">
        <f>85418/100000</f>
        <v>0.85418000000000005</v>
      </c>
      <c r="T132" s="2">
        <v>0.82929589999999997</v>
      </c>
    </row>
    <row r="133" spans="1:20">
      <c r="A133" s="3" t="s">
        <v>1191</v>
      </c>
      <c r="B133" s="1" t="s">
        <v>1192</v>
      </c>
      <c r="C133" s="3" t="s">
        <v>1193</v>
      </c>
      <c r="D133" s="3" t="s">
        <v>1194</v>
      </c>
      <c r="E133" s="3" t="s">
        <v>1195</v>
      </c>
      <c r="F133" s="3" t="s">
        <v>1196</v>
      </c>
      <c r="G133" s="3" t="s">
        <v>1197</v>
      </c>
      <c r="H133" s="11" t="s">
        <v>8123</v>
      </c>
      <c r="I133" s="3" t="s">
        <v>1198</v>
      </c>
      <c r="J133" s="7">
        <v>0.85</v>
      </c>
      <c r="K133" s="2" t="s">
        <v>1199</v>
      </c>
      <c r="L133" s="2">
        <v>0.52500000000000002</v>
      </c>
      <c r="M133" s="2">
        <f>56095/100000</f>
        <v>0.56094999999999995</v>
      </c>
      <c r="N133" s="2">
        <v>0.7600884</v>
      </c>
      <c r="O133" s="4" t="s">
        <v>1200</v>
      </c>
      <c r="P133" s="2">
        <v>1.59</v>
      </c>
      <c r="Q133" s="7" t="s">
        <v>1201</v>
      </c>
      <c r="R133" s="2">
        <v>5.9199999999999997E-4</v>
      </c>
      <c r="S133" s="2">
        <f>92/100000</f>
        <v>9.2000000000000003E-4</v>
      </c>
      <c r="T133" s="2">
        <v>1.5540129999999999E-2</v>
      </c>
    </row>
    <row r="134" spans="1:20">
      <c r="A134" s="3" t="s">
        <v>1202</v>
      </c>
      <c r="B134" s="1" t="s">
        <v>1203</v>
      </c>
      <c r="C134" s="3" t="s">
        <v>1204</v>
      </c>
      <c r="D134" s="3" t="s">
        <v>1205</v>
      </c>
      <c r="E134" s="3" t="s">
        <v>1206</v>
      </c>
      <c r="F134" s="3" t="s">
        <v>1207</v>
      </c>
      <c r="G134" s="3" t="s">
        <v>1208</v>
      </c>
      <c r="H134" s="11" t="s">
        <v>8078</v>
      </c>
      <c r="I134" s="3" t="s">
        <v>1209</v>
      </c>
      <c r="J134" s="7">
        <v>1.1100000000000001</v>
      </c>
      <c r="K134" s="2" t="s">
        <v>1210</v>
      </c>
      <c r="L134" s="2">
        <v>0.44400000000000001</v>
      </c>
      <c r="M134" s="2">
        <f>45579/100000</f>
        <v>0.45578999999999997</v>
      </c>
      <c r="N134" s="2">
        <v>0.70106590000000002</v>
      </c>
      <c r="O134" s="4" t="s">
        <v>1211</v>
      </c>
      <c r="P134" s="2">
        <v>1.08</v>
      </c>
      <c r="Q134" s="7" t="s">
        <v>1212</v>
      </c>
      <c r="R134" s="2">
        <v>0.57199999999999995</v>
      </c>
      <c r="S134" s="2">
        <f>61237/100000</f>
        <v>0.61236999999999997</v>
      </c>
      <c r="T134" s="2">
        <v>0.78920639999999997</v>
      </c>
    </row>
    <row r="135" spans="1:20">
      <c r="A135" s="3" t="s">
        <v>1213</v>
      </c>
      <c r="B135" s="1" t="s">
        <v>1203</v>
      </c>
      <c r="C135" s="3" t="s">
        <v>1204</v>
      </c>
      <c r="D135" s="3" t="s">
        <v>1214</v>
      </c>
      <c r="E135" s="3" t="s">
        <v>1215</v>
      </c>
      <c r="F135" s="3" t="s">
        <v>1207</v>
      </c>
      <c r="G135" s="3" t="s">
        <v>1208</v>
      </c>
      <c r="H135" s="11" t="s">
        <v>8074</v>
      </c>
      <c r="I135" s="3" t="s">
        <v>1216</v>
      </c>
      <c r="J135" s="7">
        <v>1.39</v>
      </c>
      <c r="K135" s="2" t="s">
        <v>1217</v>
      </c>
      <c r="L135" s="2">
        <v>1.67E-3</v>
      </c>
      <c r="M135" s="2">
        <f>205/100000</f>
        <v>2.0500000000000002E-3</v>
      </c>
      <c r="N135" s="2">
        <v>2.7556939999999999E-2</v>
      </c>
      <c r="O135" s="4" t="s">
        <v>1218</v>
      </c>
      <c r="P135" s="2">
        <v>0.87</v>
      </c>
      <c r="Q135" s="7" t="s">
        <v>1219</v>
      </c>
      <c r="R135" s="2">
        <v>0.33300000000000002</v>
      </c>
      <c r="S135" s="2">
        <f>35118/100000</f>
        <v>0.35117999999999999</v>
      </c>
      <c r="T135" s="2">
        <v>0.62669850000000005</v>
      </c>
    </row>
    <row r="136" spans="1:20">
      <c r="A136" s="3" t="s">
        <v>1220</v>
      </c>
      <c r="B136" s="1" t="s">
        <v>1203</v>
      </c>
      <c r="C136" s="3" t="s">
        <v>1204</v>
      </c>
      <c r="D136" s="3" t="s">
        <v>1221</v>
      </c>
      <c r="E136" s="3" t="s">
        <v>1222</v>
      </c>
      <c r="F136" s="3" t="s">
        <v>1223</v>
      </c>
      <c r="G136" s="3" t="s">
        <v>1224</v>
      </c>
      <c r="H136" s="11" t="s">
        <v>8078</v>
      </c>
      <c r="I136" s="3" t="s">
        <v>1225</v>
      </c>
      <c r="J136" s="7">
        <v>1.45</v>
      </c>
      <c r="K136" s="2" t="s">
        <v>1226</v>
      </c>
      <c r="L136" s="2">
        <v>4.79E-3</v>
      </c>
      <c r="M136" s="2">
        <f>595/100000</f>
        <v>5.9500000000000004E-3</v>
      </c>
      <c r="N136" s="2">
        <v>6.014419E-2</v>
      </c>
      <c r="O136" s="4" t="s">
        <v>1227</v>
      </c>
      <c r="P136" s="2">
        <v>0.85</v>
      </c>
      <c r="Q136" s="7" t="s">
        <v>1228</v>
      </c>
      <c r="R136" s="2">
        <v>0.255</v>
      </c>
      <c r="S136" s="2">
        <f>26954/100000</f>
        <v>0.26954</v>
      </c>
      <c r="T136" s="2">
        <v>0.56620890000000001</v>
      </c>
    </row>
    <row r="137" spans="1:20">
      <c r="A137" s="3" t="s">
        <v>1229</v>
      </c>
      <c r="B137" s="1" t="s">
        <v>1203</v>
      </c>
      <c r="C137" s="3" t="s">
        <v>1204</v>
      </c>
      <c r="D137" s="3" t="s">
        <v>1230</v>
      </c>
      <c r="E137" s="3" t="s">
        <v>1231</v>
      </c>
      <c r="F137" s="3" t="s">
        <v>1223</v>
      </c>
      <c r="G137" s="3" t="s">
        <v>1224</v>
      </c>
      <c r="H137" s="11" t="s">
        <v>8074</v>
      </c>
      <c r="I137" s="3" t="s">
        <v>1232</v>
      </c>
      <c r="J137" s="7">
        <v>1.3</v>
      </c>
      <c r="K137" s="2" t="s">
        <v>1233</v>
      </c>
      <c r="L137" s="2">
        <v>2.58E-2</v>
      </c>
      <c r="M137" s="2">
        <f>2949/100000</f>
        <v>2.9489999999999999E-2</v>
      </c>
      <c r="N137" s="2">
        <v>0.1782147</v>
      </c>
      <c r="O137" s="4" t="s">
        <v>1234</v>
      </c>
      <c r="P137" s="2">
        <v>0.82</v>
      </c>
      <c r="Q137" s="7" t="s">
        <v>1235</v>
      </c>
      <c r="R137" s="2">
        <v>0.152</v>
      </c>
      <c r="S137" s="2">
        <f>16747/100000</f>
        <v>0.16747000000000001</v>
      </c>
      <c r="T137" s="2">
        <v>0.45324789999999998</v>
      </c>
    </row>
    <row r="138" spans="1:20">
      <c r="A138" s="3" t="s">
        <v>1236</v>
      </c>
      <c r="B138" s="1" t="s">
        <v>1237</v>
      </c>
      <c r="C138" s="3" t="s">
        <v>1238</v>
      </c>
      <c r="D138" s="3" t="s">
        <v>1214</v>
      </c>
      <c r="E138" s="3" t="s">
        <v>1215</v>
      </c>
      <c r="F138" s="3" t="s">
        <v>1207</v>
      </c>
      <c r="G138" s="3" t="s">
        <v>1208</v>
      </c>
      <c r="H138" s="11" t="s">
        <v>8074</v>
      </c>
      <c r="I138" s="3" t="s">
        <v>1216</v>
      </c>
      <c r="J138" s="7">
        <v>1.39</v>
      </c>
      <c r="K138" s="2" t="s">
        <v>1217</v>
      </c>
      <c r="L138" s="2">
        <v>1.67E-3</v>
      </c>
      <c r="M138" s="2">
        <f>205/100000</f>
        <v>2.0500000000000002E-3</v>
      </c>
      <c r="N138" s="2">
        <v>2.7556939999999999E-2</v>
      </c>
      <c r="O138" s="4" t="s">
        <v>1218</v>
      </c>
      <c r="P138" s="2">
        <v>0.87</v>
      </c>
      <c r="Q138" s="7" t="s">
        <v>1219</v>
      </c>
      <c r="R138" s="2">
        <v>0.33300000000000002</v>
      </c>
      <c r="S138" s="2">
        <f>35118/100000</f>
        <v>0.35117999999999999</v>
      </c>
      <c r="T138" s="2">
        <v>0.62669850000000005</v>
      </c>
    </row>
    <row r="139" spans="1:20">
      <c r="A139" s="3" t="s">
        <v>1239</v>
      </c>
      <c r="B139" s="1" t="s">
        <v>1240</v>
      </c>
      <c r="C139" s="3" t="s">
        <v>1241</v>
      </c>
      <c r="D139" s="3" t="s">
        <v>1242</v>
      </c>
      <c r="E139" s="3" t="s">
        <v>1243</v>
      </c>
      <c r="F139" s="3" t="s">
        <v>1244</v>
      </c>
      <c r="G139" s="3" t="s">
        <v>1245</v>
      </c>
      <c r="H139" s="11" t="s">
        <v>8118</v>
      </c>
      <c r="I139" s="3" t="s">
        <v>1246</v>
      </c>
      <c r="J139" s="7">
        <v>1.33</v>
      </c>
      <c r="K139" s="2" t="s">
        <v>1247</v>
      </c>
      <c r="L139" s="2">
        <v>0.113</v>
      </c>
      <c r="M139" s="2">
        <f>12978/100000</f>
        <v>0.12978000000000001</v>
      </c>
      <c r="N139" s="2">
        <v>0.39640740000000002</v>
      </c>
      <c r="O139" s="4" t="s">
        <v>1248</v>
      </c>
      <c r="P139" s="2">
        <v>1.1299999999999999</v>
      </c>
      <c r="Q139" s="7" t="s">
        <v>1249</v>
      </c>
      <c r="R139" s="2">
        <v>0.53300000000000003</v>
      </c>
      <c r="S139" s="2">
        <f>54401/100000</f>
        <v>0.54400999999999999</v>
      </c>
      <c r="T139" s="2">
        <v>0.74606439999999996</v>
      </c>
    </row>
    <row r="140" spans="1:20">
      <c r="A140" s="3" t="s">
        <v>1250</v>
      </c>
      <c r="B140" s="1" t="s">
        <v>1251</v>
      </c>
      <c r="C140" s="3" t="s">
        <v>1252</v>
      </c>
      <c r="D140" s="3" t="s">
        <v>1253</v>
      </c>
      <c r="E140" s="3" t="s">
        <v>1254</v>
      </c>
      <c r="F140" s="3" t="s">
        <v>1255</v>
      </c>
      <c r="G140" s="3" t="s">
        <v>1256</v>
      </c>
      <c r="H140" s="11" t="s">
        <v>8124</v>
      </c>
      <c r="I140" s="3" t="s">
        <v>1257</v>
      </c>
      <c r="J140" s="7">
        <v>0.47</v>
      </c>
      <c r="K140" s="2" t="s">
        <v>1258</v>
      </c>
      <c r="L140" s="2">
        <v>0.44900000000000001</v>
      </c>
      <c r="M140" s="2">
        <f>52646/100000</f>
        <v>0.52646000000000004</v>
      </c>
      <c r="N140" s="2">
        <v>0.74478149999999999</v>
      </c>
      <c r="O140" s="4" t="s">
        <v>1259</v>
      </c>
      <c r="P140" s="2">
        <v>0.39</v>
      </c>
      <c r="Q140" s="7" t="s">
        <v>1260</v>
      </c>
      <c r="R140" s="2">
        <v>5.1900000000000002E-2</v>
      </c>
      <c r="S140" s="2">
        <f>6544/100000</f>
        <v>6.5439999999999998E-2</v>
      </c>
      <c r="T140" s="2">
        <v>0.28455370000000002</v>
      </c>
    </row>
    <row r="141" spans="1:20">
      <c r="A141" s="3" t="s">
        <v>1261</v>
      </c>
      <c r="B141" s="1" t="s">
        <v>1262</v>
      </c>
      <c r="C141" s="3" t="s">
        <v>1263</v>
      </c>
      <c r="D141" s="3" t="s">
        <v>1264</v>
      </c>
      <c r="E141" s="3" t="s">
        <v>1265</v>
      </c>
      <c r="F141" s="3" t="s">
        <v>1266</v>
      </c>
      <c r="G141" s="3" t="s">
        <v>1267</v>
      </c>
      <c r="H141" s="11" t="s">
        <v>8125</v>
      </c>
      <c r="I141" s="3" t="s">
        <v>1268</v>
      </c>
      <c r="J141" s="7">
        <v>0.48</v>
      </c>
      <c r="K141" s="2" t="s">
        <v>1269</v>
      </c>
      <c r="L141" s="2">
        <v>0.19700000000000001</v>
      </c>
      <c r="M141" s="2">
        <f>21464/100000</f>
        <v>0.21464</v>
      </c>
      <c r="N141" s="2">
        <v>0.50736440000000005</v>
      </c>
      <c r="O141" s="4" t="s">
        <v>1270</v>
      </c>
      <c r="P141" s="2">
        <v>1.61</v>
      </c>
      <c r="Q141" s="7" t="s">
        <v>1271</v>
      </c>
      <c r="R141" s="2">
        <v>0.17299999999999999</v>
      </c>
      <c r="S141" s="2">
        <f>18954/100000</f>
        <v>0.18953999999999999</v>
      </c>
      <c r="T141" s="2">
        <v>0.4791994</v>
      </c>
    </row>
    <row r="142" spans="1:20">
      <c r="A142" s="3" t="s">
        <v>1272</v>
      </c>
      <c r="B142" s="1" t="s">
        <v>1262</v>
      </c>
      <c r="C142" s="3" t="s">
        <v>1263</v>
      </c>
      <c r="D142" s="3" t="s">
        <v>1273</v>
      </c>
      <c r="E142" s="3" t="s">
        <v>1274</v>
      </c>
      <c r="F142" s="3" t="s">
        <v>1266</v>
      </c>
      <c r="G142" s="3" t="s">
        <v>1267</v>
      </c>
      <c r="H142" s="11" t="s">
        <v>8126</v>
      </c>
      <c r="I142" s="3" t="s">
        <v>1275</v>
      </c>
      <c r="J142" s="7">
        <v>1.05</v>
      </c>
      <c r="K142" s="2" t="s">
        <v>1276</v>
      </c>
      <c r="L142" s="2">
        <v>0.91800000000000004</v>
      </c>
      <c r="M142" s="2">
        <f>100000/100000</f>
        <v>1</v>
      </c>
      <c r="N142" s="2">
        <v>0.82929589999999997</v>
      </c>
      <c r="O142" s="4" t="s">
        <v>1277</v>
      </c>
      <c r="P142" s="2">
        <v>0.99</v>
      </c>
      <c r="Q142" s="7" t="s">
        <v>1278</v>
      </c>
      <c r="R142" s="2">
        <v>0.97599999999999998</v>
      </c>
      <c r="S142" s="2">
        <f>100000/100000</f>
        <v>1</v>
      </c>
      <c r="T142" s="2">
        <v>0.82929589999999997</v>
      </c>
    </row>
    <row r="143" spans="1:20">
      <c r="A143" s="3" t="s">
        <v>1279</v>
      </c>
      <c r="B143" s="1" t="s">
        <v>1280</v>
      </c>
      <c r="C143" s="3" t="s">
        <v>1281</v>
      </c>
      <c r="D143" s="3" t="s">
        <v>1282</v>
      </c>
      <c r="E143" s="3" t="s">
        <v>1283</v>
      </c>
      <c r="F143" s="3" t="s">
        <v>1284</v>
      </c>
      <c r="G143" s="3" t="s">
        <v>1285</v>
      </c>
      <c r="H143" s="11" t="s">
        <v>8127</v>
      </c>
      <c r="I143" s="3" t="s">
        <v>1286</v>
      </c>
      <c r="J143" s="7">
        <v>1.29</v>
      </c>
      <c r="K143" s="2" t="s">
        <v>1287</v>
      </c>
      <c r="L143" s="2">
        <v>0.42</v>
      </c>
      <c r="M143" s="2">
        <f>48503/100000</f>
        <v>0.48503000000000002</v>
      </c>
      <c r="N143" s="2">
        <v>0.73078460000000001</v>
      </c>
      <c r="O143" s="4" t="s">
        <v>1288</v>
      </c>
      <c r="P143" s="2">
        <v>1.1499999999999999</v>
      </c>
      <c r="Q143" s="7" t="s">
        <v>1289</v>
      </c>
      <c r="R143" s="2">
        <v>0.67400000000000004</v>
      </c>
      <c r="S143" s="2">
        <f>72786/100000</f>
        <v>0.72785999999999995</v>
      </c>
      <c r="T143" s="2">
        <v>0.82137769999999999</v>
      </c>
    </row>
    <row r="144" spans="1:20">
      <c r="A144" s="3" t="s">
        <v>1290</v>
      </c>
      <c r="B144" s="1" t="s">
        <v>1291</v>
      </c>
      <c r="C144" s="3" t="s">
        <v>1292</v>
      </c>
      <c r="D144" s="3" t="s">
        <v>1293</v>
      </c>
      <c r="E144" s="3" t="s">
        <v>1294</v>
      </c>
      <c r="F144" s="3" t="s">
        <v>1295</v>
      </c>
      <c r="G144" s="3" t="s">
        <v>1296</v>
      </c>
      <c r="H144" s="11" t="s">
        <v>8128</v>
      </c>
      <c r="I144" s="3" t="s">
        <v>1297</v>
      </c>
      <c r="J144" s="7">
        <v>0.32</v>
      </c>
      <c r="K144" s="2" t="s">
        <v>1298</v>
      </c>
      <c r="L144" s="2">
        <v>1.7299999999999999E-2</v>
      </c>
      <c r="M144" s="2">
        <f>2183/100000</f>
        <v>2.1829999999999999E-2</v>
      </c>
      <c r="N144" s="2">
        <v>0.14652229999999999</v>
      </c>
      <c r="O144" s="4" t="s">
        <v>1299</v>
      </c>
      <c r="P144" s="2">
        <v>0.93</v>
      </c>
      <c r="Q144" s="7" t="s">
        <v>1300</v>
      </c>
      <c r="R144" s="2">
        <v>0.82199999999999995</v>
      </c>
      <c r="S144" s="2">
        <f>87203/100000</f>
        <v>0.87202999999999997</v>
      </c>
      <c r="T144" s="2">
        <v>0.82929589999999997</v>
      </c>
    </row>
    <row r="145" spans="1:20">
      <c r="A145" s="3" t="s">
        <v>1301</v>
      </c>
      <c r="B145" s="1" t="s">
        <v>1291</v>
      </c>
      <c r="C145" s="3" t="s">
        <v>1292</v>
      </c>
      <c r="D145" s="3" t="s">
        <v>1302</v>
      </c>
      <c r="E145" s="3" t="s">
        <v>1303</v>
      </c>
      <c r="F145" s="3" t="s">
        <v>1304</v>
      </c>
      <c r="G145" s="3" t="s">
        <v>1305</v>
      </c>
      <c r="H145" s="11" t="s">
        <v>8128</v>
      </c>
      <c r="I145" s="3" t="s">
        <v>1306</v>
      </c>
      <c r="J145" s="7">
        <v>1.51</v>
      </c>
      <c r="K145" s="2" t="s">
        <v>1307</v>
      </c>
      <c r="L145" s="2">
        <v>7.2800000000000004E-2</v>
      </c>
      <c r="M145" s="2">
        <f>7391/100000</f>
        <v>7.3910000000000003E-2</v>
      </c>
      <c r="N145" s="2">
        <v>0.30530210000000002</v>
      </c>
      <c r="O145" s="4" t="s">
        <v>1308</v>
      </c>
      <c r="P145" s="2">
        <v>0.7</v>
      </c>
      <c r="Q145" s="7" t="s">
        <v>1309</v>
      </c>
      <c r="R145" s="2">
        <v>0.193</v>
      </c>
      <c r="S145" s="2">
        <f>23377/100000</f>
        <v>0.23377000000000001</v>
      </c>
      <c r="T145" s="2">
        <v>0.53403999999999996</v>
      </c>
    </row>
    <row r="146" spans="1:20">
      <c r="A146" s="3" t="s">
        <v>1310</v>
      </c>
      <c r="B146" s="1" t="s">
        <v>1311</v>
      </c>
      <c r="C146" s="3" t="s">
        <v>1312</v>
      </c>
      <c r="D146" s="3" t="s">
        <v>1313</v>
      </c>
      <c r="E146" s="3" t="s">
        <v>1314</v>
      </c>
      <c r="F146" s="3" t="s">
        <v>1315</v>
      </c>
      <c r="G146" s="3" t="s">
        <v>1316</v>
      </c>
      <c r="H146" s="11" t="s">
        <v>8129</v>
      </c>
      <c r="I146" s="3" t="s">
        <v>1317</v>
      </c>
      <c r="J146" s="7">
        <v>0.73</v>
      </c>
      <c r="K146" s="2" t="s">
        <v>1318</v>
      </c>
      <c r="L146" s="2">
        <v>0.66800000000000004</v>
      </c>
      <c r="M146" s="2">
        <f>77146/100000</f>
        <v>0.77146000000000003</v>
      </c>
      <c r="N146" s="2">
        <v>0.82929589999999997</v>
      </c>
      <c r="O146" s="4" t="s">
        <v>1319</v>
      </c>
      <c r="P146" s="2">
        <v>1.65</v>
      </c>
      <c r="Q146" s="7" t="s">
        <v>1320</v>
      </c>
      <c r="R146" s="2">
        <v>0.40500000000000003</v>
      </c>
      <c r="S146" s="2">
        <f>43362/100000</f>
        <v>0.43362000000000001</v>
      </c>
      <c r="T146" s="2">
        <v>0.68614220000000004</v>
      </c>
    </row>
    <row r="147" spans="1:20">
      <c r="A147" s="3" t="s">
        <v>1321</v>
      </c>
      <c r="B147" s="1" t="s">
        <v>1311</v>
      </c>
      <c r="C147" s="3" t="s">
        <v>1312</v>
      </c>
      <c r="D147" s="3" t="s">
        <v>1322</v>
      </c>
      <c r="E147" s="3" t="s">
        <v>1323</v>
      </c>
      <c r="F147" s="3" t="s">
        <v>1324</v>
      </c>
      <c r="G147" s="3" t="s">
        <v>1325</v>
      </c>
      <c r="H147" s="11" t="s">
        <v>8129</v>
      </c>
      <c r="I147" s="3" t="s">
        <v>1326</v>
      </c>
      <c r="J147" s="7">
        <v>1.43</v>
      </c>
      <c r="K147" s="2" t="s">
        <v>1327</v>
      </c>
      <c r="L147" s="2">
        <v>0.628</v>
      </c>
      <c r="M147" s="2">
        <f>65276/100000</f>
        <v>0.65276000000000001</v>
      </c>
      <c r="N147" s="2">
        <v>0.80372840000000001</v>
      </c>
      <c r="O147" s="4" t="s">
        <v>1328</v>
      </c>
      <c r="P147" s="2">
        <v>0</v>
      </c>
      <c r="Q147" s="7" t="s">
        <v>774</v>
      </c>
      <c r="R147" s="2">
        <v>0.214</v>
      </c>
      <c r="S147" s="2">
        <f>39675/100000</f>
        <v>0.39674999999999999</v>
      </c>
      <c r="T147" s="2">
        <v>0.6623116</v>
      </c>
    </row>
    <row r="148" spans="1:20">
      <c r="A148" s="3" t="s">
        <v>1329</v>
      </c>
      <c r="B148" s="1" t="s">
        <v>1330</v>
      </c>
      <c r="C148" s="3" t="s">
        <v>1331</v>
      </c>
      <c r="D148" s="3" t="s">
        <v>1332</v>
      </c>
      <c r="E148" s="3" t="s">
        <v>1333</v>
      </c>
      <c r="F148" s="3" t="s">
        <v>1334</v>
      </c>
      <c r="G148" s="3" t="s">
        <v>1335</v>
      </c>
      <c r="H148" s="11" t="s">
        <v>8130</v>
      </c>
      <c r="I148" s="3" t="s">
        <v>1336</v>
      </c>
      <c r="J148" s="7">
        <v>0.62</v>
      </c>
      <c r="K148" s="2" t="s">
        <v>1337</v>
      </c>
      <c r="L148" s="2">
        <v>0.182</v>
      </c>
      <c r="M148" s="2">
        <f>19140/100000</f>
        <v>0.19139999999999999</v>
      </c>
      <c r="N148" s="2">
        <v>0.48077700000000001</v>
      </c>
      <c r="O148" s="4" t="s">
        <v>1338</v>
      </c>
      <c r="P148" s="2">
        <v>0.86</v>
      </c>
      <c r="Q148" s="7" t="s">
        <v>1339</v>
      </c>
      <c r="R148" s="2">
        <v>0.54900000000000004</v>
      </c>
      <c r="S148" s="2">
        <f>56080/100000</f>
        <v>0.56079999999999997</v>
      </c>
      <c r="T148" s="2">
        <v>0.7600884</v>
      </c>
    </row>
    <row r="149" spans="1:20">
      <c r="A149" s="3" t="s">
        <v>1340</v>
      </c>
      <c r="B149" s="1" t="s">
        <v>1330</v>
      </c>
      <c r="C149" s="3" t="s">
        <v>1331</v>
      </c>
      <c r="D149" s="3" t="s">
        <v>1341</v>
      </c>
      <c r="E149" s="3" t="s">
        <v>1342</v>
      </c>
      <c r="F149" s="3" t="s">
        <v>1334</v>
      </c>
      <c r="G149" s="3" t="s">
        <v>1335</v>
      </c>
      <c r="H149" s="11" t="s">
        <v>8131</v>
      </c>
      <c r="I149" s="3" t="s">
        <v>1343</v>
      </c>
      <c r="J149" s="7">
        <v>0.66</v>
      </c>
      <c r="K149" s="2" t="s">
        <v>1344</v>
      </c>
      <c r="L149" s="2">
        <v>0.27500000000000002</v>
      </c>
      <c r="M149" s="2">
        <f>33558/100000</f>
        <v>0.33557999999999999</v>
      </c>
      <c r="N149" s="2">
        <v>0.61526179999999997</v>
      </c>
      <c r="O149" s="4" t="s">
        <v>1345</v>
      </c>
      <c r="P149" s="2">
        <v>0.72</v>
      </c>
      <c r="Q149" s="7" t="s">
        <v>1346</v>
      </c>
      <c r="R149" s="2">
        <v>0.33</v>
      </c>
      <c r="S149" s="2">
        <f>37760/100000</f>
        <v>0.37759999999999999</v>
      </c>
      <c r="T149" s="2">
        <v>0.65084330000000001</v>
      </c>
    </row>
    <row r="150" spans="1:20">
      <c r="A150" s="3" t="s">
        <v>1347</v>
      </c>
      <c r="B150" s="1" t="s">
        <v>1348</v>
      </c>
      <c r="C150" s="3" t="s">
        <v>1349</v>
      </c>
      <c r="D150" s="3" t="s">
        <v>1350</v>
      </c>
      <c r="E150" s="3" t="s">
        <v>1351</v>
      </c>
      <c r="F150" s="3" t="s">
        <v>1352</v>
      </c>
      <c r="G150" s="3" t="s">
        <v>1353</v>
      </c>
      <c r="H150" s="11" t="s">
        <v>8132</v>
      </c>
      <c r="I150" s="3" t="s">
        <v>1354</v>
      </c>
      <c r="J150" s="7">
        <v>0.69</v>
      </c>
      <c r="K150" s="2" t="s">
        <v>1355</v>
      </c>
      <c r="L150" s="2">
        <v>0.123</v>
      </c>
      <c r="M150" s="2">
        <f>14561/100000</f>
        <v>0.14560999999999999</v>
      </c>
      <c r="N150" s="2">
        <v>0.41650559999999998</v>
      </c>
      <c r="O150" s="4" t="s">
        <v>1356</v>
      </c>
      <c r="P150" s="2">
        <v>1.24</v>
      </c>
      <c r="Q150" s="7" t="s">
        <v>1357</v>
      </c>
      <c r="R150" s="2">
        <v>0.28599999999999998</v>
      </c>
      <c r="S150" s="2">
        <f>32654/100000</f>
        <v>0.32654</v>
      </c>
      <c r="T150" s="2">
        <v>0.61237960000000002</v>
      </c>
    </row>
    <row r="151" spans="1:20">
      <c r="A151" s="3" t="s">
        <v>1358</v>
      </c>
      <c r="B151" s="1" t="s">
        <v>1359</v>
      </c>
      <c r="C151" s="3" t="s">
        <v>1360</v>
      </c>
      <c r="D151" s="3" t="s">
        <v>1361</v>
      </c>
      <c r="E151" s="3" t="s">
        <v>1362</v>
      </c>
      <c r="F151" s="3" t="s">
        <v>1363</v>
      </c>
      <c r="G151" s="3" t="s">
        <v>1364</v>
      </c>
      <c r="H151" s="11" t="s">
        <v>8133</v>
      </c>
      <c r="I151" s="3" t="s">
        <v>1365</v>
      </c>
      <c r="J151" s="7">
        <v>2.19</v>
      </c>
      <c r="K151" s="2" t="s">
        <v>1366</v>
      </c>
      <c r="L151" s="2">
        <v>7.1100000000000004E-4</v>
      </c>
      <c r="M151" s="2">
        <f>180/100000</f>
        <v>1.8E-3</v>
      </c>
      <c r="N151" s="2">
        <v>2.511685E-2</v>
      </c>
      <c r="O151" s="4" t="s">
        <v>1367</v>
      </c>
      <c r="P151" s="2">
        <v>1.05</v>
      </c>
      <c r="Q151" s="7" t="s">
        <v>1368</v>
      </c>
      <c r="R151" s="2">
        <v>0.872</v>
      </c>
      <c r="S151" s="2">
        <f>87938/100000</f>
        <v>0.87938000000000005</v>
      </c>
      <c r="T151" s="2">
        <v>0.82929589999999997</v>
      </c>
    </row>
    <row r="152" spans="1:20">
      <c r="A152" s="3" t="s">
        <v>1369</v>
      </c>
      <c r="B152" s="1" t="s">
        <v>1359</v>
      </c>
      <c r="C152" s="3" t="s">
        <v>1360</v>
      </c>
      <c r="D152" s="3" t="s">
        <v>1370</v>
      </c>
      <c r="E152" s="3" t="s">
        <v>1371</v>
      </c>
      <c r="F152" s="3" t="s">
        <v>1372</v>
      </c>
      <c r="G152" s="3" t="s">
        <v>1373</v>
      </c>
      <c r="H152" s="11" t="s">
        <v>8133</v>
      </c>
      <c r="I152" s="3" t="s">
        <v>1374</v>
      </c>
      <c r="J152" s="7">
        <v>1.28</v>
      </c>
      <c r="K152" s="2" t="s">
        <v>1375</v>
      </c>
      <c r="L152" s="2">
        <v>0.372</v>
      </c>
      <c r="M152" s="2">
        <f>43580/100000</f>
        <v>0.43580000000000002</v>
      </c>
      <c r="N152" s="2">
        <v>0.68761059999999996</v>
      </c>
      <c r="O152" s="4" t="s">
        <v>1376</v>
      </c>
      <c r="P152" s="2">
        <v>0.94</v>
      </c>
      <c r="Q152" s="7" t="s">
        <v>1377</v>
      </c>
      <c r="R152" s="2">
        <v>0.84799999999999998</v>
      </c>
      <c r="S152" s="2">
        <f>87861/100000</f>
        <v>0.87861</v>
      </c>
      <c r="T152" s="2">
        <v>0.82929589999999997</v>
      </c>
    </row>
    <row r="153" spans="1:20">
      <c r="A153" s="3" t="s">
        <v>1378</v>
      </c>
      <c r="B153" s="1" t="s">
        <v>1379</v>
      </c>
      <c r="C153" s="3" t="s">
        <v>1380</v>
      </c>
      <c r="D153" s="3" t="s">
        <v>1381</v>
      </c>
      <c r="E153" s="3" t="s">
        <v>1382</v>
      </c>
      <c r="F153" s="3" t="s">
        <v>1383</v>
      </c>
      <c r="G153" s="3" t="s">
        <v>1384</v>
      </c>
      <c r="H153" s="11" t="s">
        <v>8134</v>
      </c>
      <c r="I153" s="3" t="s">
        <v>1385</v>
      </c>
      <c r="J153" s="7">
        <v>1.62</v>
      </c>
      <c r="K153" s="2" t="s">
        <v>1386</v>
      </c>
      <c r="L153" s="2">
        <v>4.1300000000000003E-6</v>
      </c>
      <c r="M153" s="2">
        <f>1/100000</f>
        <v>1.0000000000000001E-5</v>
      </c>
      <c r="N153" s="2">
        <v>3.517123E-4</v>
      </c>
      <c r="O153" s="4" t="s">
        <v>1387</v>
      </c>
      <c r="P153" s="2">
        <v>0.95</v>
      </c>
      <c r="Q153" s="7" t="s">
        <v>1388</v>
      </c>
      <c r="R153" s="2">
        <v>0.68</v>
      </c>
      <c r="S153" s="2">
        <f>69021/100000</f>
        <v>0.69020999999999999</v>
      </c>
      <c r="T153" s="2">
        <v>0.81339530000000004</v>
      </c>
    </row>
    <row r="154" spans="1:20">
      <c r="A154" s="3" t="s">
        <v>1389</v>
      </c>
      <c r="B154" s="1" t="s">
        <v>1390</v>
      </c>
      <c r="C154" s="3" t="s">
        <v>1391</v>
      </c>
      <c r="D154" s="3" t="s">
        <v>1392</v>
      </c>
      <c r="E154" s="3" t="s">
        <v>1393</v>
      </c>
      <c r="F154" s="3" t="s">
        <v>1394</v>
      </c>
      <c r="G154" s="3" t="s">
        <v>1395</v>
      </c>
      <c r="H154" s="11" t="s">
        <v>8075</v>
      </c>
      <c r="I154" s="3" t="s">
        <v>1396</v>
      </c>
      <c r="J154" s="7">
        <v>0.86</v>
      </c>
      <c r="K154" s="2" t="s">
        <v>1339</v>
      </c>
      <c r="L154" s="2">
        <v>0.55600000000000005</v>
      </c>
      <c r="M154" s="2">
        <f>63689/100000</f>
        <v>0.63688999999999996</v>
      </c>
      <c r="N154" s="2">
        <v>0.79869500000000004</v>
      </c>
      <c r="O154" s="4" t="s">
        <v>1397</v>
      </c>
      <c r="P154" s="2">
        <v>1.53</v>
      </c>
      <c r="Q154" s="7" t="s">
        <v>1398</v>
      </c>
      <c r="R154" s="2">
        <v>8.1499999999999993E-3</v>
      </c>
      <c r="S154" s="2">
        <f>984/100000</f>
        <v>9.8399999999999998E-3</v>
      </c>
      <c r="T154" s="2">
        <v>8.5932649999999999E-2</v>
      </c>
    </row>
    <row r="155" spans="1:20">
      <c r="A155" s="3" t="s">
        <v>1399</v>
      </c>
      <c r="B155" s="1" t="s">
        <v>1390</v>
      </c>
      <c r="C155" s="3" t="s">
        <v>1391</v>
      </c>
      <c r="D155" s="3" t="s">
        <v>1400</v>
      </c>
      <c r="E155" s="3" t="s">
        <v>1401</v>
      </c>
      <c r="F155" s="3" t="s">
        <v>1402</v>
      </c>
      <c r="G155" s="3" t="s">
        <v>1403</v>
      </c>
      <c r="H155" s="11" t="s">
        <v>8135</v>
      </c>
      <c r="I155" s="3" t="s">
        <v>1404</v>
      </c>
      <c r="J155" s="7">
        <v>0.76</v>
      </c>
      <c r="K155" s="2" t="s">
        <v>1405</v>
      </c>
      <c r="L155" s="2">
        <v>0.35699999999999998</v>
      </c>
      <c r="M155" s="2">
        <f>42940/100000</f>
        <v>0.4294</v>
      </c>
      <c r="N155" s="2">
        <v>0.68403040000000004</v>
      </c>
      <c r="O155" s="4" t="s">
        <v>1406</v>
      </c>
      <c r="P155" s="2">
        <v>1.1000000000000001</v>
      </c>
      <c r="Q155" s="7" t="s">
        <v>1407</v>
      </c>
      <c r="R155" s="2">
        <v>0.66200000000000003</v>
      </c>
      <c r="S155" s="2">
        <f>66197/100000</f>
        <v>0.66196999999999995</v>
      </c>
      <c r="T155" s="2">
        <v>0.80511429999999995</v>
      </c>
    </row>
    <row r="156" spans="1:20">
      <c r="A156" s="3" t="s">
        <v>1408</v>
      </c>
      <c r="B156" s="1" t="s">
        <v>1409</v>
      </c>
      <c r="C156" s="3" t="s">
        <v>1410</v>
      </c>
      <c r="D156" s="3" t="s">
        <v>1411</v>
      </c>
      <c r="E156" s="3" t="s">
        <v>1412</v>
      </c>
      <c r="F156" s="3" t="s">
        <v>1413</v>
      </c>
      <c r="G156" s="3" t="s">
        <v>1414</v>
      </c>
      <c r="H156" s="11" t="s">
        <v>8136</v>
      </c>
      <c r="I156" s="3" t="s">
        <v>1415</v>
      </c>
      <c r="J156" s="7">
        <v>1.08</v>
      </c>
      <c r="K156" s="2" t="s">
        <v>1416</v>
      </c>
      <c r="L156" s="2">
        <v>0.75800000000000001</v>
      </c>
      <c r="M156" s="2">
        <f>78867/100000</f>
        <v>0.78866999999999998</v>
      </c>
      <c r="N156" s="2">
        <v>0.82929589999999997</v>
      </c>
      <c r="O156" s="4" t="s">
        <v>1417</v>
      </c>
      <c r="P156" s="2">
        <v>0.57999999999999996</v>
      </c>
      <c r="Q156" s="7" t="s">
        <v>1418</v>
      </c>
      <c r="R156" s="2">
        <v>0.126</v>
      </c>
      <c r="S156" s="2">
        <f>15491/100000</f>
        <v>0.15490999999999999</v>
      </c>
      <c r="T156" s="2">
        <v>0.4316296</v>
      </c>
    </row>
    <row r="157" spans="1:20">
      <c r="A157" s="3" t="s">
        <v>1419</v>
      </c>
      <c r="B157" s="1" t="s">
        <v>1409</v>
      </c>
      <c r="C157" s="3" t="s">
        <v>1410</v>
      </c>
      <c r="D157" s="3" t="s">
        <v>1420</v>
      </c>
      <c r="E157" s="3" t="s">
        <v>1421</v>
      </c>
      <c r="F157" s="3" t="s">
        <v>1422</v>
      </c>
      <c r="G157" s="3" t="s">
        <v>1423</v>
      </c>
      <c r="H157" s="11" t="s">
        <v>8136</v>
      </c>
      <c r="I157" s="3" t="s">
        <v>1424</v>
      </c>
      <c r="J157" s="7">
        <v>1.28</v>
      </c>
      <c r="K157" s="2" t="s">
        <v>1425</v>
      </c>
      <c r="L157" s="2">
        <v>0.31</v>
      </c>
      <c r="M157" s="2">
        <f>33740/100000</f>
        <v>0.33739999999999998</v>
      </c>
      <c r="N157" s="2">
        <v>0.61526179999999997</v>
      </c>
      <c r="O157" s="4" t="s">
        <v>1426</v>
      </c>
      <c r="P157" s="2">
        <v>0.74</v>
      </c>
      <c r="Q157" s="7" t="s">
        <v>1427</v>
      </c>
      <c r="R157" s="2">
        <v>0.35699999999999998</v>
      </c>
      <c r="S157" s="2">
        <f>39837/100000</f>
        <v>0.39837</v>
      </c>
      <c r="T157" s="2">
        <v>0.66311810000000004</v>
      </c>
    </row>
    <row r="158" spans="1:20">
      <c r="A158" s="3" t="s">
        <v>1428</v>
      </c>
      <c r="B158" s="1" t="s">
        <v>1429</v>
      </c>
      <c r="C158" s="3" t="s">
        <v>1430</v>
      </c>
      <c r="D158" s="3" t="s">
        <v>1431</v>
      </c>
      <c r="E158" s="3" t="s">
        <v>1432</v>
      </c>
      <c r="F158" s="3" t="s">
        <v>1433</v>
      </c>
      <c r="G158" s="3" t="s">
        <v>1434</v>
      </c>
      <c r="H158" s="11" t="s">
        <v>8076</v>
      </c>
      <c r="I158" s="3" t="s">
        <v>1435</v>
      </c>
      <c r="J158" s="7">
        <v>1.27</v>
      </c>
      <c r="K158" s="2" t="s">
        <v>1436</v>
      </c>
      <c r="L158" s="2">
        <v>0.30499999999999999</v>
      </c>
      <c r="M158" s="2">
        <f>36292/100000</f>
        <v>0.36292000000000002</v>
      </c>
      <c r="N158" s="2">
        <v>0.64099209999999995</v>
      </c>
      <c r="O158" s="4" t="s">
        <v>1437</v>
      </c>
      <c r="P158" s="2">
        <v>1.43</v>
      </c>
      <c r="Q158" s="7" t="s">
        <v>1438</v>
      </c>
      <c r="R158" s="2">
        <v>0.14499999999999999</v>
      </c>
      <c r="S158" s="2">
        <f>14639/100000</f>
        <v>0.14638999999999999</v>
      </c>
      <c r="T158" s="2">
        <v>0.41650559999999998</v>
      </c>
    </row>
    <row r="159" spans="1:20">
      <c r="A159" s="3" t="s">
        <v>1439</v>
      </c>
      <c r="B159" s="1" t="s">
        <v>1429</v>
      </c>
      <c r="C159" s="3" t="s">
        <v>1430</v>
      </c>
      <c r="D159" s="3" t="s">
        <v>1440</v>
      </c>
      <c r="E159" s="3" t="s">
        <v>1441</v>
      </c>
      <c r="F159" s="3" t="s">
        <v>1442</v>
      </c>
      <c r="G159" s="3" t="s">
        <v>1443</v>
      </c>
      <c r="H159" s="11" t="s">
        <v>8076</v>
      </c>
      <c r="I159" s="3" t="s">
        <v>1444</v>
      </c>
      <c r="J159" s="7">
        <v>1.56</v>
      </c>
      <c r="K159" s="2" t="s">
        <v>1445</v>
      </c>
      <c r="L159" s="2">
        <v>7.9000000000000001E-2</v>
      </c>
      <c r="M159" s="2">
        <f>8678/100000</f>
        <v>8.6779999999999996E-2</v>
      </c>
      <c r="N159" s="2">
        <v>0.33527620000000002</v>
      </c>
      <c r="O159" s="4" t="s">
        <v>1446</v>
      </c>
      <c r="P159" s="2">
        <v>1.87</v>
      </c>
      <c r="Q159" s="7" t="s">
        <v>1447</v>
      </c>
      <c r="R159" s="2">
        <v>9.3799999999999994E-3</v>
      </c>
      <c r="S159" s="2">
        <f>1319/100000</f>
        <v>1.319E-2</v>
      </c>
      <c r="T159" s="2">
        <v>0.1039601</v>
      </c>
    </row>
    <row r="160" spans="1:20">
      <c r="A160" s="3" t="s">
        <v>1448</v>
      </c>
      <c r="B160" s="1" t="s">
        <v>1429</v>
      </c>
      <c r="C160" s="3" t="s">
        <v>1430</v>
      </c>
      <c r="D160" s="3" t="s">
        <v>1431</v>
      </c>
      <c r="E160" s="3" t="s">
        <v>1432</v>
      </c>
      <c r="F160" s="3" t="s">
        <v>1433</v>
      </c>
      <c r="G160" s="3" t="s">
        <v>1434</v>
      </c>
      <c r="H160" s="11" t="s">
        <v>8076</v>
      </c>
      <c r="I160" s="3" t="s">
        <v>1435</v>
      </c>
      <c r="J160" s="7">
        <v>1.27</v>
      </c>
      <c r="K160" s="2" t="s">
        <v>1436</v>
      </c>
      <c r="L160" s="2">
        <v>0.30499999999999999</v>
      </c>
      <c r="M160" s="2">
        <f>36292/100000</f>
        <v>0.36292000000000002</v>
      </c>
      <c r="N160" s="2">
        <v>0.64099209999999995</v>
      </c>
      <c r="O160" s="4" t="s">
        <v>1437</v>
      </c>
      <c r="P160" s="2">
        <v>1.43</v>
      </c>
      <c r="Q160" s="7" t="s">
        <v>1438</v>
      </c>
      <c r="R160" s="2">
        <v>0.14499999999999999</v>
      </c>
      <c r="S160" s="2">
        <f>14639/100000</f>
        <v>0.14638999999999999</v>
      </c>
      <c r="T160" s="2">
        <v>0.41650559999999998</v>
      </c>
    </row>
    <row r="161" spans="1:20">
      <c r="A161" s="3" t="s">
        <v>1449</v>
      </c>
      <c r="B161" s="1" t="s">
        <v>1429</v>
      </c>
      <c r="C161" s="3" t="s">
        <v>1430</v>
      </c>
      <c r="D161" s="3" t="s">
        <v>1450</v>
      </c>
      <c r="E161" s="3" t="s">
        <v>1451</v>
      </c>
      <c r="F161" s="3" t="s">
        <v>1433</v>
      </c>
      <c r="G161" s="3" t="s">
        <v>1434</v>
      </c>
      <c r="H161" s="11" t="s">
        <v>8076</v>
      </c>
      <c r="I161" s="3" t="s">
        <v>1452</v>
      </c>
      <c r="J161" s="7">
        <v>1.48</v>
      </c>
      <c r="K161" s="2" t="s">
        <v>1453</v>
      </c>
      <c r="L161" s="2">
        <v>0.11600000000000001</v>
      </c>
      <c r="M161" s="2">
        <f>13917/100000</f>
        <v>0.13916999999999999</v>
      </c>
      <c r="N161" s="2">
        <v>0.40740009999999999</v>
      </c>
      <c r="O161" s="4" t="s">
        <v>1454</v>
      </c>
      <c r="P161" s="2">
        <v>1.28</v>
      </c>
      <c r="Q161" s="7" t="s">
        <v>1455</v>
      </c>
      <c r="R161" s="2">
        <v>0.36299999999999999</v>
      </c>
      <c r="S161" s="2">
        <f>36667/100000</f>
        <v>0.36667</v>
      </c>
      <c r="T161" s="2">
        <v>0.64231249999999995</v>
      </c>
    </row>
    <row r="162" spans="1:20">
      <c r="A162" s="3" t="s">
        <v>1456</v>
      </c>
      <c r="B162" s="1" t="s">
        <v>1429</v>
      </c>
      <c r="C162" s="3" t="s">
        <v>1430</v>
      </c>
      <c r="D162" s="3" t="s">
        <v>1457</v>
      </c>
      <c r="E162" s="3" t="s">
        <v>1458</v>
      </c>
      <c r="F162" s="3" t="s">
        <v>1459</v>
      </c>
      <c r="G162" s="3" t="s">
        <v>1460</v>
      </c>
      <c r="H162" s="11" t="s">
        <v>8076</v>
      </c>
      <c r="I162" s="3" t="s">
        <v>1461</v>
      </c>
      <c r="J162" s="7">
        <v>1.25</v>
      </c>
      <c r="K162" s="2" t="s">
        <v>1462</v>
      </c>
      <c r="L162" s="2">
        <v>0.311</v>
      </c>
      <c r="M162" s="2">
        <f>32209/100000</f>
        <v>0.32208999999999999</v>
      </c>
      <c r="N162" s="2">
        <v>0.60834069999999996</v>
      </c>
      <c r="O162" s="4" t="s">
        <v>1463</v>
      </c>
      <c r="P162" s="2">
        <v>1.89</v>
      </c>
      <c r="Q162" s="7" t="s">
        <v>1464</v>
      </c>
      <c r="R162" s="2">
        <v>1.3799999999999999E-3</v>
      </c>
      <c r="S162" s="2">
        <f>238/100000</f>
        <v>2.3800000000000002E-3</v>
      </c>
      <c r="T162" s="2">
        <v>3.0250740000000002E-2</v>
      </c>
    </row>
    <row r="163" spans="1:20">
      <c r="A163" s="3" t="s">
        <v>1465</v>
      </c>
      <c r="B163" s="1" t="s">
        <v>1429</v>
      </c>
      <c r="C163" s="3" t="s">
        <v>1430</v>
      </c>
      <c r="D163" s="3" t="s">
        <v>1466</v>
      </c>
      <c r="E163" s="3" t="s">
        <v>1467</v>
      </c>
      <c r="F163" s="3" t="s">
        <v>1459</v>
      </c>
      <c r="G163" s="3" t="s">
        <v>1460</v>
      </c>
      <c r="H163" s="11" t="s">
        <v>8137</v>
      </c>
      <c r="I163" s="3" t="s">
        <v>1468</v>
      </c>
      <c r="J163" s="7">
        <v>0.93</v>
      </c>
      <c r="K163" s="2" t="s">
        <v>1469</v>
      </c>
      <c r="L163" s="2">
        <v>0.79300000000000004</v>
      </c>
      <c r="M163" s="2">
        <f>89033/100000</f>
        <v>0.89032999999999995</v>
      </c>
      <c r="N163" s="2">
        <v>0.82929589999999997</v>
      </c>
      <c r="O163" s="4" t="s">
        <v>1470</v>
      </c>
      <c r="P163" s="2">
        <v>1.72</v>
      </c>
      <c r="Q163" s="7" t="s">
        <v>1471</v>
      </c>
      <c r="R163" s="2">
        <v>2.5000000000000001E-2</v>
      </c>
      <c r="S163" s="2">
        <f>3259/100000</f>
        <v>3.2590000000000001E-2</v>
      </c>
      <c r="T163" s="2">
        <v>0.18839819999999999</v>
      </c>
    </row>
    <row r="164" spans="1:20">
      <c r="A164" s="3" t="s">
        <v>1472</v>
      </c>
      <c r="B164" s="1" t="s">
        <v>1473</v>
      </c>
      <c r="C164" s="3" t="s">
        <v>1474</v>
      </c>
      <c r="D164" s="3" t="s">
        <v>1475</v>
      </c>
      <c r="E164" s="3" t="s">
        <v>1476</v>
      </c>
      <c r="F164" s="3" t="s">
        <v>1477</v>
      </c>
      <c r="G164" s="3" t="s">
        <v>1478</v>
      </c>
      <c r="H164" s="11" t="s">
        <v>8122</v>
      </c>
      <c r="I164" s="3" t="s">
        <v>1479</v>
      </c>
      <c r="J164" s="7">
        <v>1.28</v>
      </c>
      <c r="K164" s="2" t="s">
        <v>1480</v>
      </c>
      <c r="L164" s="2">
        <v>0.114</v>
      </c>
      <c r="M164" s="2">
        <f>12067/100000</f>
        <v>0.12067</v>
      </c>
      <c r="N164" s="2">
        <v>0.38544349999999999</v>
      </c>
      <c r="O164" s="4" t="s">
        <v>1481</v>
      </c>
      <c r="P164" s="2">
        <v>1.05</v>
      </c>
      <c r="Q164" s="7" t="s">
        <v>1482</v>
      </c>
      <c r="R164" s="2">
        <v>0.78900000000000003</v>
      </c>
      <c r="S164" s="2">
        <f>85281/100000</f>
        <v>0.85280999999999996</v>
      </c>
      <c r="T164" s="2">
        <v>0.82929589999999997</v>
      </c>
    </row>
    <row r="165" spans="1:20">
      <c r="A165" s="3" t="s">
        <v>1483</v>
      </c>
      <c r="B165" s="1" t="s">
        <v>1473</v>
      </c>
      <c r="C165" s="3" t="s">
        <v>1474</v>
      </c>
      <c r="D165" s="3" t="s">
        <v>1484</v>
      </c>
      <c r="E165" s="3" t="s">
        <v>1485</v>
      </c>
      <c r="F165" s="3" t="s">
        <v>1477</v>
      </c>
      <c r="G165" s="3" t="s">
        <v>1478</v>
      </c>
      <c r="H165" s="11" t="s">
        <v>8138</v>
      </c>
      <c r="I165" s="3" t="s">
        <v>1486</v>
      </c>
      <c r="J165" s="7">
        <v>0.9</v>
      </c>
      <c r="K165" s="2" t="s">
        <v>1487</v>
      </c>
      <c r="L165" s="2">
        <v>0.66300000000000003</v>
      </c>
      <c r="M165" s="2">
        <f>72088/100000</f>
        <v>0.72087999999999997</v>
      </c>
      <c r="N165" s="2">
        <v>0.82137769999999999</v>
      </c>
      <c r="O165" s="4" t="s">
        <v>1488</v>
      </c>
      <c r="P165" s="2">
        <v>1.77</v>
      </c>
      <c r="Q165" s="7" t="s">
        <v>1489</v>
      </c>
      <c r="R165" s="2">
        <v>2.8300000000000001E-3</v>
      </c>
      <c r="S165" s="2">
        <f>414/100000</f>
        <v>4.1399999999999996E-3</v>
      </c>
      <c r="T165" s="2">
        <v>4.7452899999999999E-2</v>
      </c>
    </row>
    <row r="166" spans="1:20">
      <c r="A166" s="3" t="s">
        <v>1490</v>
      </c>
      <c r="B166" s="1" t="s">
        <v>1491</v>
      </c>
      <c r="C166" s="3" t="s">
        <v>1492</v>
      </c>
      <c r="D166" s="3" t="s">
        <v>1493</v>
      </c>
      <c r="E166" s="3" t="s">
        <v>1494</v>
      </c>
      <c r="F166" s="3" t="s">
        <v>1495</v>
      </c>
      <c r="G166" s="3" t="s">
        <v>1496</v>
      </c>
      <c r="H166" s="11" t="s">
        <v>8139</v>
      </c>
      <c r="I166" s="3" t="s">
        <v>1497</v>
      </c>
      <c r="J166" s="7">
        <v>0.95</v>
      </c>
      <c r="K166" s="2" t="s">
        <v>1498</v>
      </c>
      <c r="L166" s="2">
        <v>0.64400000000000002</v>
      </c>
      <c r="M166" s="2">
        <f>67626/100000</f>
        <v>0.67625999999999997</v>
      </c>
      <c r="N166" s="2">
        <v>0.80839780000000006</v>
      </c>
      <c r="O166" s="4" t="s">
        <v>1499</v>
      </c>
      <c r="P166" s="2">
        <v>1.29</v>
      </c>
      <c r="Q166" s="7" t="s">
        <v>1500</v>
      </c>
      <c r="R166" s="2">
        <v>1.66E-2</v>
      </c>
      <c r="S166" s="2">
        <f>1900/100000</f>
        <v>1.9E-2</v>
      </c>
      <c r="T166" s="2">
        <v>0.1340179</v>
      </c>
    </row>
    <row r="167" spans="1:20">
      <c r="A167" s="3" t="s">
        <v>1501</v>
      </c>
      <c r="B167" s="1" t="s">
        <v>1491</v>
      </c>
      <c r="C167" s="3" t="s">
        <v>1492</v>
      </c>
      <c r="D167" s="3" t="s">
        <v>1502</v>
      </c>
      <c r="E167" s="3" t="s">
        <v>1503</v>
      </c>
      <c r="F167" s="3" t="s">
        <v>1495</v>
      </c>
      <c r="G167" s="3" t="s">
        <v>1496</v>
      </c>
      <c r="H167" s="11" t="s">
        <v>8139</v>
      </c>
      <c r="I167" s="3" t="s">
        <v>1504</v>
      </c>
      <c r="J167" s="7">
        <v>0.78</v>
      </c>
      <c r="K167" s="2" t="s">
        <v>1505</v>
      </c>
      <c r="L167" s="2">
        <v>6.4600000000000005E-2</v>
      </c>
      <c r="M167" s="2">
        <f>6925/100000</f>
        <v>6.9250000000000006E-2</v>
      </c>
      <c r="N167" s="2">
        <v>0.29556100000000002</v>
      </c>
      <c r="O167" s="4" t="s">
        <v>1506</v>
      </c>
      <c r="P167" s="2">
        <v>1.35</v>
      </c>
      <c r="Q167" s="7" t="s">
        <v>1507</v>
      </c>
      <c r="R167" s="2">
        <v>7.45E-3</v>
      </c>
      <c r="S167" s="2">
        <f>872/100000</f>
        <v>8.7200000000000003E-3</v>
      </c>
      <c r="T167" s="2">
        <v>7.9674729999999999E-2</v>
      </c>
    </row>
    <row r="168" spans="1:20">
      <c r="A168" s="3" t="s">
        <v>1508</v>
      </c>
      <c r="B168" s="1" t="s">
        <v>1509</v>
      </c>
      <c r="C168" s="3" t="s">
        <v>1510</v>
      </c>
      <c r="D168" s="3" t="s">
        <v>1511</v>
      </c>
      <c r="E168" s="3" t="s">
        <v>1512</v>
      </c>
      <c r="F168" s="3" t="s">
        <v>1513</v>
      </c>
      <c r="G168" s="3" t="s">
        <v>1514</v>
      </c>
      <c r="H168" s="11" t="s">
        <v>8140</v>
      </c>
      <c r="I168" s="3" t="s">
        <v>1515</v>
      </c>
      <c r="J168" s="7">
        <v>0.92</v>
      </c>
      <c r="K168" s="2" t="s">
        <v>76</v>
      </c>
      <c r="L168" s="2">
        <v>0.43</v>
      </c>
      <c r="M168" s="2">
        <f>44775/100000</f>
        <v>0.44774999999999998</v>
      </c>
      <c r="N168" s="2">
        <v>0.69838500000000003</v>
      </c>
      <c r="O168" s="4" t="s">
        <v>1516</v>
      </c>
      <c r="P168" s="2">
        <v>1.17</v>
      </c>
      <c r="Q168" s="7" t="s">
        <v>1517</v>
      </c>
      <c r="R168" s="2">
        <v>0.127</v>
      </c>
      <c r="S168" s="2">
        <f>13585/100000</f>
        <v>0.13585</v>
      </c>
      <c r="T168" s="2">
        <v>0.40274510000000002</v>
      </c>
    </row>
    <row r="169" spans="1:20">
      <c r="A169" s="3" t="s">
        <v>1518</v>
      </c>
      <c r="B169" s="1" t="s">
        <v>1509</v>
      </c>
      <c r="C169" s="3" t="s">
        <v>1510</v>
      </c>
      <c r="D169" s="3" t="s">
        <v>1519</v>
      </c>
      <c r="E169" s="3" t="s">
        <v>1520</v>
      </c>
      <c r="F169" s="3" t="s">
        <v>1521</v>
      </c>
      <c r="G169" s="3" t="s">
        <v>1522</v>
      </c>
      <c r="H169" s="11" t="s">
        <v>8078</v>
      </c>
      <c r="I169" s="3" t="s">
        <v>1523</v>
      </c>
      <c r="J169" s="7">
        <v>0.64</v>
      </c>
      <c r="K169" s="2" t="s">
        <v>1524</v>
      </c>
      <c r="L169" s="2">
        <v>0.125</v>
      </c>
      <c r="M169" s="2">
        <f>14489/100000</f>
        <v>0.14488999999999999</v>
      </c>
      <c r="N169" s="2">
        <v>0.41642899999999999</v>
      </c>
      <c r="O169" s="4" t="s">
        <v>1525</v>
      </c>
      <c r="P169" s="2">
        <v>1.1399999999999999</v>
      </c>
      <c r="Q169" s="7" t="s">
        <v>1526</v>
      </c>
      <c r="R169" s="2">
        <v>0.54</v>
      </c>
      <c r="S169" s="2">
        <f>57517/100000</f>
        <v>0.57516999999999996</v>
      </c>
      <c r="T169" s="2">
        <v>0.76719190000000004</v>
      </c>
    </row>
    <row r="170" spans="1:20">
      <c r="A170" s="3" t="s">
        <v>1527</v>
      </c>
      <c r="B170" s="1" t="s">
        <v>1509</v>
      </c>
      <c r="C170" s="3" t="s">
        <v>1510</v>
      </c>
      <c r="D170" s="3" t="s">
        <v>1528</v>
      </c>
      <c r="E170" s="3" t="s">
        <v>1529</v>
      </c>
      <c r="F170" s="3" t="s">
        <v>1521</v>
      </c>
      <c r="G170" s="3" t="s">
        <v>1522</v>
      </c>
      <c r="H170" s="11" t="s">
        <v>8079</v>
      </c>
      <c r="I170" s="3" t="s">
        <v>1530</v>
      </c>
      <c r="J170" s="7">
        <v>1.1100000000000001</v>
      </c>
      <c r="K170" s="2" t="s">
        <v>1531</v>
      </c>
      <c r="L170" s="2">
        <v>0.65800000000000003</v>
      </c>
      <c r="M170" s="2">
        <f>71542/100000</f>
        <v>0.71541999999999994</v>
      </c>
      <c r="N170" s="2">
        <v>0.82137769999999999</v>
      </c>
      <c r="O170" s="4" t="s">
        <v>1532</v>
      </c>
      <c r="P170" s="2">
        <v>1.1499999999999999</v>
      </c>
      <c r="Q170" s="7" t="s">
        <v>1533</v>
      </c>
      <c r="R170" s="2">
        <v>0.52200000000000002</v>
      </c>
      <c r="S170" s="2">
        <f>57101/100000</f>
        <v>0.57101000000000002</v>
      </c>
      <c r="T170" s="2">
        <v>0.76356380000000001</v>
      </c>
    </row>
    <row r="171" spans="1:20">
      <c r="A171" s="3" t="s">
        <v>1534</v>
      </c>
      <c r="B171" s="1" t="s">
        <v>1509</v>
      </c>
      <c r="C171" s="3" t="s">
        <v>1510</v>
      </c>
      <c r="D171" s="3" t="s">
        <v>1535</v>
      </c>
      <c r="E171" s="3" t="s">
        <v>1536</v>
      </c>
      <c r="F171" s="3" t="s">
        <v>1521</v>
      </c>
      <c r="G171" s="3" t="s">
        <v>1522</v>
      </c>
      <c r="H171" s="11" t="s">
        <v>8079</v>
      </c>
      <c r="I171" s="3" t="s">
        <v>1537</v>
      </c>
      <c r="J171" s="7">
        <v>0.85</v>
      </c>
      <c r="K171" s="2" t="s">
        <v>1538</v>
      </c>
      <c r="L171" s="2">
        <v>0.49099999999999999</v>
      </c>
      <c r="M171" s="2">
        <f>50513/100000</f>
        <v>0.50512999999999997</v>
      </c>
      <c r="N171" s="2">
        <v>0.73837560000000002</v>
      </c>
      <c r="O171" s="4" t="s">
        <v>1539</v>
      </c>
      <c r="P171" s="2">
        <v>1.35</v>
      </c>
      <c r="Q171" s="7" t="s">
        <v>1540</v>
      </c>
      <c r="R171" s="2">
        <v>0.11899999999999999</v>
      </c>
      <c r="S171" s="2">
        <f>12717/100000</f>
        <v>0.12717000000000001</v>
      </c>
      <c r="T171" s="2">
        <v>0.39428360000000001</v>
      </c>
    </row>
    <row r="172" spans="1:20">
      <c r="A172" s="3" t="s">
        <v>1541</v>
      </c>
      <c r="B172" s="1" t="s">
        <v>1509</v>
      </c>
      <c r="C172" s="3" t="s">
        <v>1510</v>
      </c>
      <c r="D172" s="3" t="s">
        <v>1542</v>
      </c>
      <c r="E172" s="3" t="s">
        <v>1543</v>
      </c>
      <c r="F172" s="3" t="s">
        <v>1544</v>
      </c>
      <c r="G172" s="3" t="s">
        <v>1545</v>
      </c>
      <c r="H172" s="11" t="s">
        <v>8078</v>
      </c>
      <c r="I172" s="3" t="s">
        <v>1546</v>
      </c>
      <c r="J172" s="7">
        <v>0.94</v>
      </c>
      <c r="K172" s="2" t="s">
        <v>1547</v>
      </c>
      <c r="L172" s="2">
        <v>0.83799999999999997</v>
      </c>
      <c r="M172" s="2">
        <f>88856/100000</f>
        <v>0.88856000000000002</v>
      </c>
      <c r="N172" s="2">
        <v>0.82929589999999997</v>
      </c>
      <c r="O172" s="4" t="s">
        <v>1548</v>
      </c>
      <c r="P172" s="2">
        <v>1.82</v>
      </c>
      <c r="Q172" s="7" t="s">
        <v>1549</v>
      </c>
      <c r="R172" s="2">
        <v>4.2199999999999998E-3</v>
      </c>
      <c r="S172" s="2">
        <f>562/100000</f>
        <v>5.62E-3</v>
      </c>
      <c r="T172" s="2">
        <v>5.8182860000000003E-2</v>
      </c>
    </row>
    <row r="173" spans="1:20">
      <c r="A173" s="3" t="s">
        <v>1550</v>
      </c>
      <c r="B173" s="1" t="s">
        <v>1509</v>
      </c>
      <c r="C173" s="3" t="s">
        <v>1510</v>
      </c>
      <c r="D173" s="3" t="s">
        <v>1551</v>
      </c>
      <c r="E173" s="3" t="s">
        <v>1552</v>
      </c>
      <c r="F173" s="3" t="s">
        <v>1544</v>
      </c>
      <c r="G173" s="3" t="s">
        <v>1545</v>
      </c>
      <c r="H173" s="11" t="s">
        <v>8079</v>
      </c>
      <c r="I173" s="3" t="s">
        <v>1553</v>
      </c>
      <c r="J173" s="7">
        <v>1.34</v>
      </c>
      <c r="K173" s="2" t="s">
        <v>1554</v>
      </c>
      <c r="L173" s="2">
        <v>0.29099999999999998</v>
      </c>
      <c r="M173" s="2">
        <f>34153/100000</f>
        <v>0.34153</v>
      </c>
      <c r="N173" s="2">
        <v>0.61619999999999997</v>
      </c>
      <c r="O173" s="4" t="s">
        <v>1555</v>
      </c>
      <c r="P173" s="2">
        <v>1.22</v>
      </c>
      <c r="Q173" s="7" t="s">
        <v>1556</v>
      </c>
      <c r="R173" s="2">
        <v>0.501</v>
      </c>
      <c r="S173" s="2">
        <f>51221/100000</f>
        <v>0.51221000000000005</v>
      </c>
      <c r="T173" s="2">
        <v>0.74226990000000004</v>
      </c>
    </row>
    <row r="174" spans="1:20">
      <c r="A174" s="3" t="s">
        <v>1557</v>
      </c>
      <c r="B174" s="1" t="s">
        <v>1509</v>
      </c>
      <c r="C174" s="3" t="s">
        <v>1510</v>
      </c>
      <c r="D174" s="3" t="s">
        <v>1558</v>
      </c>
      <c r="E174" s="3" t="s">
        <v>1559</v>
      </c>
      <c r="F174" s="3" t="s">
        <v>1544</v>
      </c>
      <c r="G174" s="3" t="s">
        <v>1545</v>
      </c>
      <c r="H174" s="11" t="s">
        <v>8079</v>
      </c>
      <c r="I174" s="3" t="s">
        <v>1560</v>
      </c>
      <c r="J174" s="7">
        <v>0.74</v>
      </c>
      <c r="K174" s="1" t="s">
        <v>1561</v>
      </c>
      <c r="L174" s="2">
        <v>0.33200000000000002</v>
      </c>
      <c r="M174" s="2">
        <f>34959/100000</f>
        <v>0.34959000000000001</v>
      </c>
      <c r="N174" s="2">
        <v>0.6266562</v>
      </c>
      <c r="O174" s="4" t="s">
        <v>1562</v>
      </c>
      <c r="P174" s="1">
        <v>1.49</v>
      </c>
      <c r="Q174" s="7" t="s">
        <v>1563</v>
      </c>
      <c r="R174" s="2">
        <v>6.8599999999999994E-2</v>
      </c>
      <c r="S174" s="2">
        <f>7021/100000</f>
        <v>7.0209999999999995E-2</v>
      </c>
      <c r="T174" s="2">
        <v>0.29644490000000001</v>
      </c>
    </row>
    <row r="175" spans="1:20">
      <c r="A175" s="3" t="s">
        <v>1564</v>
      </c>
      <c r="B175" s="1" t="s">
        <v>1509</v>
      </c>
      <c r="C175" s="3" t="s">
        <v>1510</v>
      </c>
      <c r="D175" s="3" t="s">
        <v>1565</v>
      </c>
      <c r="E175" s="3" t="s">
        <v>1566</v>
      </c>
      <c r="F175" s="3" t="s">
        <v>1567</v>
      </c>
      <c r="G175" s="3" t="s">
        <v>1568</v>
      </c>
      <c r="H175" s="11" t="s">
        <v>8078</v>
      </c>
      <c r="I175" s="3" t="s">
        <v>1569</v>
      </c>
      <c r="J175" s="7">
        <v>1.42</v>
      </c>
      <c r="K175" s="1" t="s">
        <v>1570</v>
      </c>
      <c r="L175" s="2">
        <v>6.5100000000000005E-2</v>
      </c>
      <c r="M175" s="2">
        <f>7417/100000</f>
        <v>7.417E-2</v>
      </c>
      <c r="N175" s="2">
        <v>0.30530210000000002</v>
      </c>
      <c r="O175" s="4" t="s">
        <v>1571</v>
      </c>
      <c r="P175" s="1">
        <v>1.1499999999999999</v>
      </c>
      <c r="Q175" s="7" t="s">
        <v>1572</v>
      </c>
      <c r="R175" s="2">
        <v>0.53</v>
      </c>
      <c r="S175" s="2">
        <f>54457/100000</f>
        <v>0.54457</v>
      </c>
      <c r="T175" s="2">
        <v>0.74606439999999996</v>
      </c>
    </row>
    <row r="176" spans="1:20">
      <c r="A176" s="3" t="s">
        <v>1573</v>
      </c>
      <c r="B176" s="1" t="s">
        <v>1509</v>
      </c>
      <c r="C176" s="3" t="s">
        <v>1510</v>
      </c>
      <c r="D176" s="3" t="s">
        <v>1574</v>
      </c>
      <c r="E176" s="3" t="s">
        <v>1575</v>
      </c>
      <c r="F176" s="3" t="s">
        <v>1567</v>
      </c>
      <c r="G176" s="3" t="s">
        <v>1568</v>
      </c>
      <c r="H176" s="11" t="s">
        <v>8079</v>
      </c>
      <c r="I176" s="3" t="s">
        <v>1576</v>
      </c>
      <c r="J176" s="7">
        <v>1.4</v>
      </c>
      <c r="K176" s="1" t="s">
        <v>1577</v>
      </c>
      <c r="L176" s="2">
        <v>8.9300000000000004E-3</v>
      </c>
      <c r="M176" s="2">
        <f>1067/100000</f>
        <v>1.0670000000000001E-2</v>
      </c>
      <c r="N176" s="2">
        <v>9.0072949999999999E-2</v>
      </c>
      <c r="O176" s="4" t="s">
        <v>1578</v>
      </c>
      <c r="P176" s="1">
        <v>1.27</v>
      </c>
      <c r="Q176" s="7" t="s">
        <v>1579</v>
      </c>
      <c r="R176" s="2">
        <v>6.8000000000000005E-2</v>
      </c>
      <c r="S176" s="2">
        <f>7404/100000</f>
        <v>7.4039999999999995E-2</v>
      </c>
      <c r="T176" s="2">
        <v>0.30530210000000002</v>
      </c>
    </row>
    <row r="177" spans="1:20">
      <c r="A177" s="3" t="s">
        <v>1580</v>
      </c>
      <c r="B177" s="1" t="s">
        <v>1509</v>
      </c>
      <c r="C177" s="3" t="s">
        <v>1510</v>
      </c>
      <c r="D177" s="3" t="s">
        <v>1581</v>
      </c>
      <c r="E177" s="3" t="s">
        <v>1582</v>
      </c>
      <c r="F177" s="3" t="s">
        <v>1567</v>
      </c>
      <c r="G177" s="3" t="s">
        <v>1568</v>
      </c>
      <c r="H177" s="11" t="s">
        <v>8141</v>
      </c>
      <c r="I177" s="3" t="s">
        <v>1583</v>
      </c>
      <c r="J177" s="7">
        <v>1.32</v>
      </c>
      <c r="K177" s="1" t="s">
        <v>1584</v>
      </c>
      <c r="L177" s="2">
        <v>4.0500000000000001E-2</v>
      </c>
      <c r="M177" s="2">
        <f>4641/100000</f>
        <v>4.641E-2</v>
      </c>
      <c r="N177" s="2">
        <v>0.2335922</v>
      </c>
      <c r="O177" s="4" t="s">
        <v>1585</v>
      </c>
      <c r="P177" s="1">
        <v>1.37</v>
      </c>
      <c r="Q177" s="7" t="s">
        <v>1586</v>
      </c>
      <c r="R177" s="2">
        <v>2.12E-2</v>
      </c>
      <c r="S177" s="2">
        <f>2377/100000</f>
        <v>2.3769999999999999E-2</v>
      </c>
      <c r="T177" s="2">
        <v>0.1547</v>
      </c>
    </row>
    <row r="178" spans="1:20">
      <c r="A178" s="3" t="s">
        <v>1587</v>
      </c>
      <c r="B178" s="1" t="s">
        <v>1509</v>
      </c>
      <c r="C178" s="3" t="s">
        <v>1510</v>
      </c>
      <c r="D178" s="3" t="s">
        <v>1588</v>
      </c>
      <c r="E178" s="3" t="s">
        <v>1589</v>
      </c>
      <c r="F178" s="3" t="s">
        <v>1513</v>
      </c>
      <c r="G178" s="3" t="s">
        <v>1514</v>
      </c>
      <c r="H178" s="11" t="s">
        <v>8142</v>
      </c>
      <c r="I178" s="3" t="s">
        <v>1590</v>
      </c>
      <c r="J178" s="7">
        <v>0.87</v>
      </c>
      <c r="K178" s="1" t="s">
        <v>1591</v>
      </c>
      <c r="L178" s="2">
        <v>0.17499999999999999</v>
      </c>
      <c r="M178" s="2">
        <f>17746/100000</f>
        <v>0.17746000000000001</v>
      </c>
      <c r="N178" s="2">
        <v>0.46586650000000002</v>
      </c>
      <c r="O178" s="4" t="s">
        <v>1592</v>
      </c>
      <c r="P178" s="1">
        <v>1.71</v>
      </c>
      <c r="Q178" s="7" t="s">
        <v>1593</v>
      </c>
      <c r="R178" s="2">
        <v>3.1400000000000003E-11</v>
      </c>
      <c r="S178" s="2" t="s">
        <v>500</v>
      </c>
      <c r="T178" s="2">
        <v>3.517123E-4</v>
      </c>
    </row>
    <row r="179" spans="1:20">
      <c r="A179" s="3" t="s">
        <v>1594</v>
      </c>
      <c r="B179" s="1" t="s">
        <v>1509</v>
      </c>
      <c r="C179" s="3" t="s">
        <v>1510</v>
      </c>
      <c r="D179" s="3" t="s">
        <v>1595</v>
      </c>
      <c r="E179" s="3" t="s">
        <v>1596</v>
      </c>
      <c r="F179" s="3" t="s">
        <v>1597</v>
      </c>
      <c r="G179" s="3" t="s">
        <v>1598</v>
      </c>
      <c r="H179" s="11" t="s">
        <v>8080</v>
      </c>
      <c r="I179" s="3" t="s">
        <v>1599</v>
      </c>
      <c r="J179" s="7">
        <v>1.26</v>
      </c>
      <c r="K179" s="1" t="s">
        <v>1600</v>
      </c>
      <c r="L179" s="2">
        <v>2.7400000000000001E-2</v>
      </c>
      <c r="M179" s="2">
        <f>2859/100000</f>
        <v>2.8590000000000001E-2</v>
      </c>
      <c r="N179" s="2">
        <v>0.17525180000000001</v>
      </c>
      <c r="O179" s="4" t="s">
        <v>1601</v>
      </c>
      <c r="P179" s="1">
        <v>1.1499999999999999</v>
      </c>
      <c r="Q179" s="7" t="s">
        <v>1602</v>
      </c>
      <c r="R179" s="2">
        <v>0.20799999999999999</v>
      </c>
      <c r="S179" s="2">
        <f>20930/100000</f>
        <v>0.20930000000000001</v>
      </c>
      <c r="T179" s="2">
        <v>0.49963449999999998</v>
      </c>
    </row>
    <row r="180" spans="1:20">
      <c r="A180" s="3" t="s">
        <v>1603</v>
      </c>
      <c r="B180" s="1" t="s">
        <v>1509</v>
      </c>
      <c r="C180" s="3" t="s">
        <v>1510</v>
      </c>
      <c r="D180" s="3" t="s">
        <v>1604</v>
      </c>
      <c r="E180" s="3" t="s">
        <v>1605</v>
      </c>
      <c r="F180" s="3" t="s">
        <v>1606</v>
      </c>
      <c r="G180" s="3" t="s">
        <v>1607</v>
      </c>
      <c r="H180" s="11" t="s">
        <v>8078</v>
      </c>
      <c r="I180" s="3" t="s">
        <v>1608</v>
      </c>
      <c r="J180" s="7">
        <v>0.89</v>
      </c>
      <c r="K180" s="1" t="s">
        <v>1609</v>
      </c>
      <c r="L180" s="2">
        <v>0.72</v>
      </c>
      <c r="M180" s="2">
        <f>77031/100000</f>
        <v>0.77031000000000005</v>
      </c>
      <c r="N180" s="2">
        <v>0.82929589999999997</v>
      </c>
      <c r="O180" s="4" t="s">
        <v>1610</v>
      </c>
      <c r="P180" s="1">
        <v>1.05</v>
      </c>
      <c r="Q180" s="7" t="s">
        <v>1611</v>
      </c>
      <c r="R180" s="2">
        <v>0.871</v>
      </c>
      <c r="S180" s="2">
        <f>88628/100000</f>
        <v>0.88627999999999996</v>
      </c>
      <c r="T180" s="2">
        <v>0.82929589999999997</v>
      </c>
    </row>
    <row r="181" spans="1:20">
      <c r="A181" s="3" t="s">
        <v>1612</v>
      </c>
      <c r="B181" s="1" t="s">
        <v>1509</v>
      </c>
      <c r="C181" s="3" t="s">
        <v>1510</v>
      </c>
      <c r="D181" s="3" t="s">
        <v>1613</v>
      </c>
      <c r="E181" s="3" t="s">
        <v>1614</v>
      </c>
      <c r="F181" s="3" t="s">
        <v>1606</v>
      </c>
      <c r="G181" s="3" t="s">
        <v>1607</v>
      </c>
      <c r="H181" s="11" t="s">
        <v>8079</v>
      </c>
      <c r="I181" s="3" t="s">
        <v>1615</v>
      </c>
      <c r="J181" s="7">
        <v>0.87</v>
      </c>
      <c r="K181" s="1" t="s">
        <v>1616</v>
      </c>
      <c r="L181" s="2">
        <v>0.71199999999999997</v>
      </c>
      <c r="M181" s="2">
        <f>72691/100000</f>
        <v>0.72690999999999995</v>
      </c>
      <c r="N181" s="2">
        <v>0.82137769999999999</v>
      </c>
      <c r="O181" s="4" t="s">
        <v>1617</v>
      </c>
      <c r="P181" s="1">
        <v>0.96</v>
      </c>
      <c r="Q181" s="7" t="s">
        <v>1618</v>
      </c>
      <c r="R181" s="2">
        <v>0.91800000000000004</v>
      </c>
      <c r="S181" s="2">
        <f>100000/100000</f>
        <v>1</v>
      </c>
      <c r="T181" s="2">
        <v>0.82929589999999997</v>
      </c>
    </row>
    <row r="182" spans="1:20">
      <c r="A182" s="3" t="s">
        <v>1619</v>
      </c>
      <c r="B182" s="1" t="s">
        <v>1509</v>
      </c>
      <c r="C182" s="3" t="s">
        <v>1510</v>
      </c>
      <c r="D182" s="3" t="s">
        <v>1620</v>
      </c>
      <c r="E182" s="3" t="s">
        <v>1621</v>
      </c>
      <c r="F182" s="3" t="s">
        <v>1606</v>
      </c>
      <c r="G182" s="3" t="s">
        <v>1607</v>
      </c>
      <c r="H182" s="11" t="s">
        <v>8078</v>
      </c>
      <c r="I182" s="3" t="s">
        <v>1622</v>
      </c>
      <c r="J182" s="7">
        <v>1.59</v>
      </c>
      <c r="K182" s="1" t="s">
        <v>1623</v>
      </c>
      <c r="L182" s="2">
        <v>8.4699999999999998E-2</v>
      </c>
      <c r="M182" s="2">
        <f>9687/100000</f>
        <v>9.6869999999999998E-2</v>
      </c>
      <c r="N182" s="2">
        <v>0.35592380000000001</v>
      </c>
      <c r="O182" s="4" t="s">
        <v>1624</v>
      </c>
      <c r="P182" s="1">
        <v>0.83</v>
      </c>
      <c r="Q182" s="7" t="s">
        <v>1625</v>
      </c>
      <c r="R182" s="2">
        <v>0.61499999999999999</v>
      </c>
      <c r="S182" s="2">
        <f>62972/100000</f>
        <v>0.62971999999999995</v>
      </c>
      <c r="T182" s="2">
        <v>0.79869500000000004</v>
      </c>
    </row>
    <row r="183" spans="1:20">
      <c r="A183" s="3" t="s">
        <v>1626</v>
      </c>
      <c r="B183" s="1" t="s">
        <v>1509</v>
      </c>
      <c r="C183" s="3" t="s">
        <v>1510</v>
      </c>
      <c r="D183" s="3" t="s">
        <v>1627</v>
      </c>
      <c r="E183" s="3" t="s">
        <v>1628</v>
      </c>
      <c r="F183" s="3" t="s">
        <v>1629</v>
      </c>
      <c r="G183" s="3" t="s">
        <v>1630</v>
      </c>
      <c r="H183" s="11" t="s">
        <v>8078</v>
      </c>
      <c r="I183" s="3" t="s">
        <v>1631</v>
      </c>
      <c r="J183" s="7">
        <v>1.01</v>
      </c>
      <c r="K183" s="1" t="s">
        <v>1632</v>
      </c>
      <c r="L183" s="2">
        <v>0.94099999999999995</v>
      </c>
      <c r="M183" s="2">
        <f>100000/100000</f>
        <v>1</v>
      </c>
      <c r="N183" s="2">
        <v>0.82929589999999997</v>
      </c>
      <c r="O183" s="4" t="s">
        <v>1633</v>
      </c>
      <c r="P183" s="1">
        <v>2.16</v>
      </c>
      <c r="Q183" s="7" t="s">
        <v>1634</v>
      </c>
      <c r="R183" s="2">
        <v>1.6400000000000001E-7</v>
      </c>
      <c r="S183" s="2" t="s">
        <v>500</v>
      </c>
      <c r="T183" s="2">
        <v>3.517123E-4</v>
      </c>
    </row>
    <row r="184" spans="1:20">
      <c r="A184" s="3" t="s">
        <v>1635</v>
      </c>
      <c r="B184" s="1" t="s">
        <v>1509</v>
      </c>
      <c r="C184" s="3" t="s">
        <v>1510</v>
      </c>
      <c r="D184" s="3" t="s">
        <v>1636</v>
      </c>
      <c r="E184" s="3" t="s">
        <v>1637</v>
      </c>
      <c r="F184" s="3" t="s">
        <v>1629</v>
      </c>
      <c r="G184" s="3" t="s">
        <v>1630</v>
      </c>
      <c r="H184" s="11" t="s">
        <v>8079</v>
      </c>
      <c r="I184" s="3" t="s">
        <v>1638</v>
      </c>
      <c r="J184" s="7">
        <v>1.33</v>
      </c>
      <c r="K184" s="1" t="s">
        <v>1639</v>
      </c>
      <c r="L184" s="2">
        <v>3.0800000000000001E-2</v>
      </c>
      <c r="M184" s="2">
        <f>3492/100000</f>
        <v>3.492E-2</v>
      </c>
      <c r="N184" s="2">
        <v>0.1960739</v>
      </c>
      <c r="O184" s="4" t="s">
        <v>1640</v>
      </c>
      <c r="P184" s="1">
        <v>1.0900000000000001</v>
      </c>
      <c r="Q184" s="7" t="s">
        <v>1641</v>
      </c>
      <c r="R184" s="2">
        <v>0.57399999999999995</v>
      </c>
      <c r="S184" s="2">
        <f>58286/100000</f>
        <v>0.58286000000000004</v>
      </c>
      <c r="T184" s="2">
        <v>0.77316759999999995</v>
      </c>
    </row>
    <row r="185" spans="1:20">
      <c r="A185" s="3" t="s">
        <v>1642</v>
      </c>
      <c r="B185" s="1" t="s">
        <v>1509</v>
      </c>
      <c r="C185" s="3" t="s">
        <v>1510</v>
      </c>
      <c r="D185" s="3" t="s">
        <v>1643</v>
      </c>
      <c r="E185" s="3" t="s">
        <v>1644</v>
      </c>
      <c r="F185" s="3" t="s">
        <v>1629</v>
      </c>
      <c r="G185" s="3" t="s">
        <v>1630</v>
      </c>
      <c r="H185" s="11" t="s">
        <v>8141</v>
      </c>
      <c r="I185" s="3" t="s">
        <v>1645</v>
      </c>
      <c r="J185" s="7">
        <v>1.03</v>
      </c>
      <c r="K185" s="1" t="s">
        <v>1646</v>
      </c>
      <c r="L185" s="2">
        <v>0.83399999999999996</v>
      </c>
      <c r="M185" s="2">
        <f>88682/100000</f>
        <v>0.88682000000000005</v>
      </c>
      <c r="N185" s="2">
        <v>0.82929589999999997</v>
      </c>
      <c r="O185" s="4" t="s">
        <v>1647</v>
      </c>
      <c r="P185" s="1">
        <v>1.43</v>
      </c>
      <c r="Q185" s="7" t="s">
        <v>1648</v>
      </c>
      <c r="R185" s="2">
        <v>3.0899999999999999E-3</v>
      </c>
      <c r="S185" s="2">
        <f>364/100000</f>
        <v>3.64E-3</v>
      </c>
      <c r="T185" s="2">
        <v>4.29089E-2</v>
      </c>
    </row>
    <row r="186" spans="1:20">
      <c r="A186" s="3" t="s">
        <v>1649</v>
      </c>
      <c r="B186" s="1" t="s">
        <v>1650</v>
      </c>
      <c r="C186" s="3" t="s">
        <v>1651</v>
      </c>
      <c r="D186" s="3" t="s">
        <v>1652</v>
      </c>
      <c r="E186" s="3" t="s">
        <v>1653</v>
      </c>
      <c r="F186" s="3" t="s">
        <v>1654</v>
      </c>
      <c r="G186" s="3" t="s">
        <v>1655</v>
      </c>
      <c r="H186" s="11" t="s">
        <v>8143</v>
      </c>
      <c r="I186" s="3" t="s">
        <v>1656</v>
      </c>
      <c r="J186" s="7">
        <v>1.05</v>
      </c>
      <c r="K186" s="1" t="s">
        <v>1657</v>
      </c>
      <c r="L186" s="2">
        <v>0.875</v>
      </c>
      <c r="M186" s="2">
        <f>100000/100000</f>
        <v>1</v>
      </c>
      <c r="N186" s="2">
        <v>0.82929589999999997</v>
      </c>
      <c r="O186" s="4" t="s">
        <v>1658</v>
      </c>
      <c r="P186" s="1">
        <v>0.88</v>
      </c>
      <c r="Q186" s="7" t="s">
        <v>1659</v>
      </c>
      <c r="R186" s="2">
        <v>0.71</v>
      </c>
      <c r="S186" s="2">
        <f>75204/100000</f>
        <v>0.75204000000000004</v>
      </c>
      <c r="T186" s="2">
        <v>0.82900819999999997</v>
      </c>
    </row>
    <row r="187" spans="1:20">
      <c r="A187" s="3" t="s">
        <v>1660</v>
      </c>
      <c r="B187" s="1" t="s">
        <v>1661</v>
      </c>
      <c r="C187" s="3" t="s">
        <v>1662</v>
      </c>
      <c r="D187" s="3" t="s">
        <v>1663</v>
      </c>
      <c r="E187" s="3" t="s">
        <v>1664</v>
      </c>
      <c r="F187" s="3" t="s">
        <v>1665</v>
      </c>
      <c r="G187" s="3" t="s">
        <v>1666</v>
      </c>
      <c r="H187" s="11" t="s">
        <v>8144</v>
      </c>
      <c r="I187" s="3" t="s">
        <v>1667</v>
      </c>
      <c r="J187" s="7">
        <v>0.67</v>
      </c>
      <c r="K187" s="1" t="s">
        <v>1668</v>
      </c>
      <c r="L187" s="2">
        <v>0.19400000000000001</v>
      </c>
      <c r="M187" s="2">
        <f>20102/100000</f>
        <v>0.20102</v>
      </c>
      <c r="N187" s="2">
        <v>0.48870029999999998</v>
      </c>
      <c r="O187" s="4" t="s">
        <v>1669</v>
      </c>
      <c r="P187" s="1">
        <v>1.46</v>
      </c>
      <c r="Q187" s="7" t="s">
        <v>1670</v>
      </c>
      <c r="R187" s="2">
        <v>7.9699999999999993E-2</v>
      </c>
      <c r="S187" s="2">
        <f>9392/100000</f>
        <v>9.3920000000000003E-2</v>
      </c>
      <c r="T187" s="2">
        <v>0.34738940000000001</v>
      </c>
    </row>
    <row r="188" spans="1:20">
      <c r="A188" s="3" t="s">
        <v>1671</v>
      </c>
      <c r="B188" s="1" t="s">
        <v>1661</v>
      </c>
      <c r="C188" s="3" t="s">
        <v>1662</v>
      </c>
      <c r="D188" s="3" t="s">
        <v>1672</v>
      </c>
      <c r="E188" s="3" t="s">
        <v>1673</v>
      </c>
      <c r="F188" s="3" t="s">
        <v>1665</v>
      </c>
      <c r="G188" s="3" t="s">
        <v>1666</v>
      </c>
      <c r="H188" s="11" t="s">
        <v>8144</v>
      </c>
      <c r="I188" s="3" t="s">
        <v>1674</v>
      </c>
      <c r="J188" s="7">
        <v>0.97</v>
      </c>
      <c r="K188" s="1" t="s">
        <v>1675</v>
      </c>
      <c r="L188" s="2">
        <v>0.92100000000000004</v>
      </c>
      <c r="M188" s="2">
        <f>100000/100000</f>
        <v>1</v>
      </c>
      <c r="N188" s="2">
        <v>0.82929589999999997</v>
      </c>
      <c r="O188" s="4" t="s">
        <v>1676</v>
      </c>
      <c r="P188" s="1">
        <v>1.41</v>
      </c>
      <c r="Q188" s="7" t="s">
        <v>1677</v>
      </c>
      <c r="R188" s="2">
        <v>0.11700000000000001</v>
      </c>
      <c r="S188" s="2">
        <f>12783/100000</f>
        <v>0.12783</v>
      </c>
      <c r="T188" s="2">
        <v>0.39500000000000002</v>
      </c>
    </row>
    <row r="189" spans="1:20">
      <c r="A189" s="3" t="s">
        <v>1678</v>
      </c>
      <c r="B189" s="1" t="s">
        <v>1661</v>
      </c>
      <c r="C189" s="3" t="s">
        <v>1662</v>
      </c>
      <c r="D189" s="3" t="s">
        <v>1679</v>
      </c>
      <c r="E189" s="3" t="s">
        <v>1680</v>
      </c>
      <c r="F189" s="3" t="s">
        <v>1681</v>
      </c>
      <c r="G189" s="3" t="s">
        <v>1682</v>
      </c>
      <c r="H189" s="11" t="s">
        <v>8144</v>
      </c>
      <c r="I189" s="3" t="s">
        <v>1683</v>
      </c>
      <c r="J189" s="7">
        <v>1.22</v>
      </c>
      <c r="K189" s="1" t="s">
        <v>1684</v>
      </c>
      <c r="L189" s="2">
        <v>0.38800000000000001</v>
      </c>
      <c r="M189" s="2">
        <f>45800/100000</f>
        <v>0.45800000000000002</v>
      </c>
      <c r="N189" s="2">
        <v>0.70161989999999996</v>
      </c>
      <c r="O189" s="4" t="s">
        <v>1685</v>
      </c>
      <c r="P189" s="1">
        <v>0.68</v>
      </c>
      <c r="Q189" s="7" t="s">
        <v>1686</v>
      </c>
      <c r="R189" s="2">
        <v>0.23400000000000001</v>
      </c>
      <c r="S189" s="2">
        <f>27507/100000</f>
        <v>0.27506999999999998</v>
      </c>
      <c r="T189" s="2">
        <v>0.56620890000000001</v>
      </c>
    </row>
    <row r="190" spans="1:20">
      <c r="A190" s="3" t="s">
        <v>1687</v>
      </c>
      <c r="B190" s="1" t="s">
        <v>1661</v>
      </c>
      <c r="C190" s="3" t="s">
        <v>1662</v>
      </c>
      <c r="D190" s="3" t="s">
        <v>1688</v>
      </c>
      <c r="E190" s="3" t="s">
        <v>1689</v>
      </c>
      <c r="F190" s="3" t="s">
        <v>1681</v>
      </c>
      <c r="G190" s="3" t="s">
        <v>1682</v>
      </c>
      <c r="H190" s="11" t="s">
        <v>8144</v>
      </c>
      <c r="I190" s="3" t="s">
        <v>1690</v>
      </c>
      <c r="J190" s="7">
        <v>1.05</v>
      </c>
      <c r="K190" s="1" t="s">
        <v>1691</v>
      </c>
      <c r="L190" s="2">
        <v>0.91300000000000003</v>
      </c>
      <c r="M190" s="2">
        <f>100000/100000</f>
        <v>1</v>
      </c>
      <c r="N190" s="2">
        <v>0.82929589999999997</v>
      </c>
      <c r="O190" s="4" t="s">
        <v>1692</v>
      </c>
      <c r="P190" s="1">
        <v>1.06</v>
      </c>
      <c r="Q190" s="7" t="s">
        <v>1693</v>
      </c>
      <c r="R190" s="2">
        <v>0.88200000000000001</v>
      </c>
      <c r="S190" s="2">
        <f>100000/100000</f>
        <v>1</v>
      </c>
      <c r="T190" s="2">
        <v>0.82929589999999997</v>
      </c>
    </row>
    <row r="191" spans="1:20">
      <c r="A191" s="3" t="s">
        <v>1694</v>
      </c>
      <c r="B191" s="1" t="s">
        <v>1695</v>
      </c>
      <c r="C191" s="3" t="s">
        <v>1696</v>
      </c>
      <c r="D191" s="3" t="s">
        <v>1697</v>
      </c>
      <c r="E191" s="3" t="s">
        <v>1698</v>
      </c>
      <c r="F191" s="3" t="s">
        <v>1699</v>
      </c>
      <c r="G191" s="3" t="s">
        <v>1700</v>
      </c>
      <c r="H191" s="12" t="s">
        <v>8145</v>
      </c>
      <c r="I191" s="3" t="s">
        <v>1701</v>
      </c>
      <c r="J191" s="7">
        <v>1.56</v>
      </c>
      <c r="K191" s="1" t="s">
        <v>1702</v>
      </c>
      <c r="L191" s="2">
        <v>2.3099999999999999E-5</v>
      </c>
      <c r="M191" s="2">
        <f>5/100000</f>
        <v>5.0000000000000002E-5</v>
      </c>
      <c r="N191" s="2">
        <v>1.442416E-3</v>
      </c>
      <c r="O191" s="4" t="s">
        <v>1703</v>
      </c>
      <c r="P191" s="1">
        <v>1.4</v>
      </c>
      <c r="Q191" s="7" t="s">
        <v>1704</v>
      </c>
      <c r="R191" s="2">
        <v>4.5100000000000001E-3</v>
      </c>
      <c r="S191" s="2">
        <f>515/100000</f>
        <v>5.1500000000000001E-3</v>
      </c>
      <c r="T191" s="2">
        <v>5.5557250000000002E-2</v>
      </c>
    </row>
    <row r="192" spans="1:20">
      <c r="A192" s="3" t="s">
        <v>1705</v>
      </c>
      <c r="B192" s="1" t="s">
        <v>1706</v>
      </c>
      <c r="C192" s="3" t="s">
        <v>1707</v>
      </c>
      <c r="D192" s="3" t="s">
        <v>1708</v>
      </c>
      <c r="E192" s="3" t="s">
        <v>1709</v>
      </c>
      <c r="F192" s="3" t="s">
        <v>1710</v>
      </c>
      <c r="G192" s="3" t="s">
        <v>1711</v>
      </c>
      <c r="H192" s="11" t="s">
        <v>8072</v>
      </c>
      <c r="I192" s="3" t="s">
        <v>1712</v>
      </c>
      <c r="J192" s="7">
        <v>1.27</v>
      </c>
      <c r="K192" s="1" t="s">
        <v>1713</v>
      </c>
      <c r="L192" s="2">
        <v>0.29099999999999998</v>
      </c>
      <c r="M192" s="2">
        <f>30477/100000</f>
        <v>0.30476999999999999</v>
      </c>
      <c r="N192" s="2">
        <v>0.59279899999999996</v>
      </c>
      <c r="O192" s="4" t="s">
        <v>1714</v>
      </c>
      <c r="P192" s="1">
        <v>0.83</v>
      </c>
      <c r="Q192" s="7" t="s">
        <v>1715</v>
      </c>
      <c r="R192" s="2">
        <v>0.57899999999999996</v>
      </c>
      <c r="S192" s="2">
        <f>65270/100000</f>
        <v>0.65269999999999995</v>
      </c>
      <c r="T192" s="2">
        <v>0.80372840000000001</v>
      </c>
    </row>
    <row r="193" spans="1:20">
      <c r="A193" s="3" t="s">
        <v>1716</v>
      </c>
      <c r="B193" s="1" t="s">
        <v>1717</v>
      </c>
      <c r="C193" s="3" t="s">
        <v>1718</v>
      </c>
      <c r="D193" s="3" t="s">
        <v>1719</v>
      </c>
      <c r="E193" s="3" t="s">
        <v>1720</v>
      </c>
      <c r="F193" s="3" t="s">
        <v>1721</v>
      </c>
      <c r="G193" s="3" t="s">
        <v>1722</v>
      </c>
      <c r="H193" s="11" t="s">
        <v>8146</v>
      </c>
      <c r="I193" s="3" t="s">
        <v>1723</v>
      </c>
      <c r="J193" s="7">
        <v>1.31</v>
      </c>
      <c r="K193" s="1" t="s">
        <v>1724</v>
      </c>
      <c r="L193" s="2">
        <v>0.49399999999999999</v>
      </c>
      <c r="M193" s="2">
        <f>49921/100000</f>
        <v>0.49920999999999999</v>
      </c>
      <c r="N193" s="2">
        <v>0.73504449999999999</v>
      </c>
      <c r="O193" s="4" t="s">
        <v>1725</v>
      </c>
      <c r="P193" s="1">
        <v>0.75</v>
      </c>
      <c r="Q193" s="7" t="s">
        <v>1726</v>
      </c>
      <c r="R193" s="2">
        <v>0.46200000000000002</v>
      </c>
      <c r="S193" s="2">
        <f>50392/100000</f>
        <v>0.50392000000000003</v>
      </c>
      <c r="T193" s="2">
        <v>0.73837560000000002</v>
      </c>
    </row>
    <row r="194" spans="1:20">
      <c r="A194" s="3" t="s">
        <v>1727</v>
      </c>
      <c r="B194" s="1" t="s">
        <v>1728</v>
      </c>
      <c r="C194" s="3" t="s">
        <v>1729</v>
      </c>
      <c r="D194" s="3" t="s">
        <v>1730</v>
      </c>
      <c r="E194" s="3" t="s">
        <v>1731</v>
      </c>
      <c r="F194" s="3" t="s">
        <v>1732</v>
      </c>
      <c r="G194" s="3" t="s">
        <v>1733</v>
      </c>
      <c r="H194" s="11" t="s">
        <v>8147</v>
      </c>
      <c r="I194" s="3" t="s">
        <v>1734</v>
      </c>
      <c r="J194" s="7">
        <v>1.39</v>
      </c>
      <c r="K194" s="1" t="s">
        <v>1735</v>
      </c>
      <c r="L194" s="2">
        <v>0.22600000000000001</v>
      </c>
      <c r="M194" s="2">
        <f>27413/100000</f>
        <v>0.27412999999999998</v>
      </c>
      <c r="N194" s="2">
        <v>0.56620890000000001</v>
      </c>
      <c r="O194" s="4" t="s">
        <v>1736</v>
      </c>
      <c r="P194" s="1">
        <v>1.01</v>
      </c>
      <c r="Q194" s="7" t="s">
        <v>1737</v>
      </c>
      <c r="R194" s="2">
        <v>0.96899999999999997</v>
      </c>
      <c r="S194" s="2">
        <f>100000/100000</f>
        <v>1</v>
      </c>
      <c r="T194" s="2">
        <v>0.82929589999999997</v>
      </c>
    </row>
    <row r="195" spans="1:20">
      <c r="A195" s="3" t="s">
        <v>1738</v>
      </c>
      <c r="B195" s="1" t="s">
        <v>1728</v>
      </c>
      <c r="C195" s="3" t="s">
        <v>1729</v>
      </c>
      <c r="D195" s="3" t="s">
        <v>1739</v>
      </c>
      <c r="E195" s="3" t="s">
        <v>1740</v>
      </c>
      <c r="F195" s="3" t="s">
        <v>1741</v>
      </c>
      <c r="G195" s="3" t="s">
        <v>1742</v>
      </c>
      <c r="H195" s="11" t="s">
        <v>8147</v>
      </c>
      <c r="I195" s="3" t="s">
        <v>1743</v>
      </c>
      <c r="J195" s="7">
        <v>1.41</v>
      </c>
      <c r="K195" s="1" t="s">
        <v>1744</v>
      </c>
      <c r="L195" s="2">
        <v>0.27900000000000003</v>
      </c>
      <c r="M195" s="2">
        <f>36216/100000</f>
        <v>0.36215999999999998</v>
      </c>
      <c r="N195" s="2">
        <v>0.6409897</v>
      </c>
      <c r="O195" s="4" t="s">
        <v>1745</v>
      </c>
      <c r="P195" s="1">
        <v>1.45</v>
      </c>
      <c r="Q195" s="7" t="s">
        <v>1746</v>
      </c>
      <c r="R195" s="2">
        <v>0.12</v>
      </c>
      <c r="S195" s="2">
        <f>15394/100000</f>
        <v>0.15393999999999999</v>
      </c>
      <c r="T195" s="2">
        <v>0.43024479999999998</v>
      </c>
    </row>
    <row r="196" spans="1:20">
      <c r="A196" s="3" t="s">
        <v>1747</v>
      </c>
      <c r="B196" s="1" t="s">
        <v>1748</v>
      </c>
      <c r="C196" s="3" t="s">
        <v>1749</v>
      </c>
      <c r="D196" s="3" t="s">
        <v>1750</v>
      </c>
      <c r="E196" s="3" t="s">
        <v>1751</v>
      </c>
      <c r="F196" s="3" t="s">
        <v>1752</v>
      </c>
      <c r="G196" s="3" t="s">
        <v>1753</v>
      </c>
      <c r="H196" s="11" t="s">
        <v>8148</v>
      </c>
      <c r="I196" s="3" t="s">
        <v>1754</v>
      </c>
      <c r="J196" s="7">
        <v>0.94</v>
      </c>
      <c r="K196" s="1" t="s">
        <v>1755</v>
      </c>
      <c r="L196" s="2">
        <v>0.83</v>
      </c>
      <c r="M196" s="2">
        <f>89618/100000</f>
        <v>0.89617999999999998</v>
      </c>
      <c r="N196" s="2">
        <v>0.82929589999999997</v>
      </c>
      <c r="O196" s="4" t="s">
        <v>1756</v>
      </c>
      <c r="P196" s="1">
        <v>0.47</v>
      </c>
      <c r="Q196" s="7" t="s">
        <v>1757</v>
      </c>
      <c r="R196" s="2">
        <v>9.4100000000000003E-2</v>
      </c>
      <c r="S196" s="2">
        <f>10224/100000</f>
        <v>0.10224</v>
      </c>
      <c r="T196" s="2">
        <v>0.36022700000000002</v>
      </c>
    </row>
    <row r="197" spans="1:20">
      <c r="A197" s="3" t="s">
        <v>1758</v>
      </c>
      <c r="B197" s="1" t="s">
        <v>1748</v>
      </c>
      <c r="C197" s="3" t="s">
        <v>1749</v>
      </c>
      <c r="D197" s="3" t="s">
        <v>1759</v>
      </c>
      <c r="E197" s="3" t="s">
        <v>1760</v>
      </c>
      <c r="F197" s="3" t="s">
        <v>1750</v>
      </c>
      <c r="G197" s="3" t="s">
        <v>1751</v>
      </c>
      <c r="H197" s="11" t="s">
        <v>8081</v>
      </c>
      <c r="I197" s="3" t="s">
        <v>1761</v>
      </c>
      <c r="J197" s="7">
        <v>0.79</v>
      </c>
      <c r="K197" s="1" t="s">
        <v>1762</v>
      </c>
      <c r="L197" s="2">
        <v>0.499</v>
      </c>
      <c r="M197" s="2">
        <f>54117/100000</f>
        <v>0.54117000000000004</v>
      </c>
      <c r="N197" s="2">
        <v>0.74478149999999999</v>
      </c>
      <c r="O197" s="4" t="s">
        <v>1763</v>
      </c>
      <c r="P197" s="1">
        <v>1.76</v>
      </c>
      <c r="Q197" s="7" t="s">
        <v>1764</v>
      </c>
      <c r="R197" s="2">
        <v>1.41E-2</v>
      </c>
      <c r="S197" s="2">
        <f>1924/100000</f>
        <v>1.924E-2</v>
      </c>
      <c r="T197" s="2">
        <v>0.1350575</v>
      </c>
    </row>
    <row r="198" spans="1:20">
      <c r="A198" s="3" t="s">
        <v>1765</v>
      </c>
      <c r="B198" s="1" t="s">
        <v>1748</v>
      </c>
      <c r="C198" s="3" t="s">
        <v>1749</v>
      </c>
      <c r="D198" s="3" t="s">
        <v>1766</v>
      </c>
      <c r="E198" s="3" t="s">
        <v>1767</v>
      </c>
      <c r="F198" s="3" t="s">
        <v>1750</v>
      </c>
      <c r="G198" s="3" t="s">
        <v>1751</v>
      </c>
      <c r="H198" s="11" t="s">
        <v>8081</v>
      </c>
      <c r="I198" s="3" t="s">
        <v>1768</v>
      </c>
      <c r="J198" s="7">
        <v>1.37</v>
      </c>
      <c r="K198" s="1" t="s">
        <v>1769</v>
      </c>
      <c r="L198" s="2">
        <v>0.16900000000000001</v>
      </c>
      <c r="M198" s="2">
        <f>18767/100000</f>
        <v>0.18767</v>
      </c>
      <c r="N198" s="2">
        <v>0.47696640000000001</v>
      </c>
      <c r="O198" s="4" t="s">
        <v>1770</v>
      </c>
      <c r="P198" s="1">
        <v>1.52</v>
      </c>
      <c r="Q198" s="7" t="s">
        <v>1307</v>
      </c>
      <c r="R198" s="2">
        <v>6.9400000000000003E-2</v>
      </c>
      <c r="S198" s="2">
        <f>7349/100000</f>
        <v>7.349E-2</v>
      </c>
      <c r="T198" s="2">
        <v>0.30486469999999999</v>
      </c>
    </row>
    <row r="199" spans="1:20">
      <c r="A199" s="3" t="s">
        <v>1771</v>
      </c>
      <c r="B199" s="1" t="s">
        <v>1772</v>
      </c>
      <c r="C199" s="3" t="s">
        <v>1773</v>
      </c>
      <c r="D199" s="3" t="s">
        <v>1774</v>
      </c>
      <c r="E199" s="3" t="s">
        <v>1775</v>
      </c>
      <c r="F199" s="3" t="s">
        <v>1776</v>
      </c>
      <c r="G199" s="3" t="s">
        <v>1777</v>
      </c>
      <c r="H199" s="11" t="s">
        <v>8149</v>
      </c>
      <c r="I199" s="3" t="s">
        <v>1778</v>
      </c>
      <c r="J199" s="7">
        <v>1.74</v>
      </c>
      <c r="K199" s="1" t="s">
        <v>1779</v>
      </c>
      <c r="L199" s="2">
        <v>4.8099999999999998E-14</v>
      </c>
      <c r="M199" s="2" t="s">
        <v>500</v>
      </c>
      <c r="N199" s="2">
        <v>3.517123E-4</v>
      </c>
      <c r="O199" s="4" t="s">
        <v>1780</v>
      </c>
      <c r="P199" s="1">
        <v>1.76</v>
      </c>
      <c r="Q199" s="7" t="s">
        <v>1781</v>
      </c>
      <c r="R199" s="2">
        <v>2.0999999999999999E-8</v>
      </c>
      <c r="S199" s="2" t="s">
        <v>500</v>
      </c>
      <c r="T199" s="2">
        <v>3.517123E-4</v>
      </c>
    </row>
    <row r="200" spans="1:20">
      <c r="A200" s="3" t="s">
        <v>1782</v>
      </c>
      <c r="B200" s="1" t="s">
        <v>1772</v>
      </c>
      <c r="C200" s="3" t="s">
        <v>1773</v>
      </c>
      <c r="D200" s="3" t="s">
        <v>1783</v>
      </c>
      <c r="E200" s="3" t="s">
        <v>1784</v>
      </c>
      <c r="F200" s="3" t="s">
        <v>1776</v>
      </c>
      <c r="G200" s="3" t="s">
        <v>1777</v>
      </c>
      <c r="H200" s="11" t="s">
        <v>8149</v>
      </c>
      <c r="I200" s="3" t="s">
        <v>1785</v>
      </c>
      <c r="J200" s="7">
        <v>1.87</v>
      </c>
      <c r="K200" s="1" t="s">
        <v>1786</v>
      </c>
      <c r="L200" s="2">
        <v>1.7000000000000001E-19</v>
      </c>
      <c r="M200" s="2" t="s">
        <v>500</v>
      </c>
      <c r="N200" s="2">
        <v>3.517123E-4</v>
      </c>
      <c r="O200" s="4" t="s">
        <v>1787</v>
      </c>
      <c r="P200" s="1">
        <v>1.99</v>
      </c>
      <c r="Q200" s="7" t="s">
        <v>1788</v>
      </c>
      <c r="R200" s="2">
        <v>6.5499999999999999E-14</v>
      </c>
      <c r="S200" s="2" t="s">
        <v>500</v>
      </c>
      <c r="T200" s="2">
        <v>3.517123E-4</v>
      </c>
    </row>
    <row r="201" spans="1:20">
      <c r="A201" s="3" t="s">
        <v>1789</v>
      </c>
      <c r="B201" s="1" t="s">
        <v>1772</v>
      </c>
      <c r="C201" s="3" t="s">
        <v>1773</v>
      </c>
      <c r="D201" s="3" t="s">
        <v>1776</v>
      </c>
      <c r="E201" s="3" t="s">
        <v>1777</v>
      </c>
      <c r="F201" s="3" t="s">
        <v>1790</v>
      </c>
      <c r="G201" s="3" t="s">
        <v>1791</v>
      </c>
      <c r="H201" s="12" t="s">
        <v>8150</v>
      </c>
      <c r="I201" s="3" t="s">
        <v>1792</v>
      </c>
      <c r="J201" s="7">
        <v>2.02</v>
      </c>
      <c r="K201" s="1" t="s">
        <v>1793</v>
      </c>
      <c r="L201" s="2">
        <v>4.7799999999999996E-9</v>
      </c>
      <c r="M201" s="2" t="s">
        <v>500</v>
      </c>
      <c r="N201" s="2">
        <v>3.517123E-4</v>
      </c>
      <c r="O201" s="4" t="s">
        <v>1794</v>
      </c>
      <c r="P201" s="1">
        <v>1.63</v>
      </c>
      <c r="Q201" s="7" t="s">
        <v>1795</v>
      </c>
      <c r="R201" s="2">
        <v>1.8199999999999999E-5</v>
      </c>
      <c r="S201" s="2">
        <f>2/100000</f>
        <v>2.0000000000000002E-5</v>
      </c>
      <c r="T201" s="2">
        <v>6.5833329999999998E-4</v>
      </c>
    </row>
    <row r="202" spans="1:20">
      <c r="A202" s="3" t="s">
        <v>1796</v>
      </c>
      <c r="B202" s="1" t="s">
        <v>1797</v>
      </c>
      <c r="C202" s="3" t="s">
        <v>1798</v>
      </c>
      <c r="D202" s="3" t="s">
        <v>1799</v>
      </c>
      <c r="E202" s="3" t="s">
        <v>1800</v>
      </c>
      <c r="F202" s="3" t="s">
        <v>1801</v>
      </c>
      <c r="G202" s="3" t="s">
        <v>1802</v>
      </c>
      <c r="H202" s="11" t="s">
        <v>8151</v>
      </c>
      <c r="I202" s="3" t="s">
        <v>1803</v>
      </c>
      <c r="J202" s="7">
        <v>1.71</v>
      </c>
      <c r="K202" s="1" t="s">
        <v>1804</v>
      </c>
      <c r="L202" s="2">
        <v>2.6499999999999999E-4</v>
      </c>
      <c r="M202" s="2">
        <f>54/100000</f>
        <v>5.4000000000000001E-4</v>
      </c>
      <c r="N202" s="2">
        <v>1.058359E-2</v>
      </c>
      <c r="O202" s="4" t="s">
        <v>1805</v>
      </c>
      <c r="P202" s="1">
        <v>1.1399999999999999</v>
      </c>
      <c r="Q202" s="7" t="s">
        <v>1806</v>
      </c>
      <c r="R202" s="2">
        <v>0.58599999999999997</v>
      </c>
      <c r="S202" s="2">
        <f>59878/100000</f>
        <v>0.59877999999999998</v>
      </c>
      <c r="T202" s="2">
        <v>0.78146979999999999</v>
      </c>
    </row>
    <row r="203" spans="1:20">
      <c r="A203" s="3" t="s">
        <v>1807</v>
      </c>
      <c r="B203" s="1" t="s">
        <v>1797</v>
      </c>
      <c r="C203" s="3" t="s">
        <v>1798</v>
      </c>
      <c r="D203" s="3" t="s">
        <v>1808</v>
      </c>
      <c r="E203" s="3" t="s">
        <v>1809</v>
      </c>
      <c r="F203" s="3" t="s">
        <v>1801</v>
      </c>
      <c r="G203" s="3" t="s">
        <v>1802</v>
      </c>
      <c r="H203" s="11" t="s">
        <v>8082</v>
      </c>
      <c r="I203" s="3" t="s">
        <v>1810</v>
      </c>
      <c r="J203" s="7">
        <v>0.28000000000000003</v>
      </c>
      <c r="K203" s="1" t="s">
        <v>1811</v>
      </c>
      <c r="L203" s="2">
        <v>0.182</v>
      </c>
      <c r="M203" s="2">
        <f>25954/100000</f>
        <v>0.25953999999999999</v>
      </c>
      <c r="N203" s="2">
        <v>0.56285830000000003</v>
      </c>
      <c r="O203" s="4" t="s">
        <v>1812</v>
      </c>
      <c r="P203" s="1">
        <v>2.13</v>
      </c>
      <c r="Q203" s="7" t="s">
        <v>1813</v>
      </c>
      <c r="R203" s="2">
        <v>7.9600000000000004E-2</v>
      </c>
      <c r="S203" s="2">
        <f>12391/100000</f>
        <v>0.12391000000000001</v>
      </c>
      <c r="T203" s="2">
        <v>0.39063799999999999</v>
      </c>
    </row>
    <row r="204" spans="1:20">
      <c r="A204" s="3" t="s">
        <v>1814</v>
      </c>
      <c r="B204" s="1" t="s">
        <v>1797</v>
      </c>
      <c r="C204" s="3" t="s">
        <v>1798</v>
      </c>
      <c r="D204" s="3" t="s">
        <v>1815</v>
      </c>
      <c r="E204" s="3" t="s">
        <v>1816</v>
      </c>
      <c r="F204" s="3" t="s">
        <v>1801</v>
      </c>
      <c r="G204" s="3" t="s">
        <v>1802</v>
      </c>
      <c r="H204" s="11" t="s">
        <v>8152</v>
      </c>
      <c r="I204" s="3" t="s">
        <v>1817</v>
      </c>
      <c r="J204" s="7">
        <v>1.1200000000000001</v>
      </c>
      <c r="K204" s="1" t="s">
        <v>1818</v>
      </c>
      <c r="L204" s="2">
        <v>0.23200000000000001</v>
      </c>
      <c r="M204" s="2">
        <f>23980/100000</f>
        <v>0.23980000000000001</v>
      </c>
      <c r="N204" s="2">
        <v>0.54005259999999999</v>
      </c>
      <c r="O204" s="4" t="s">
        <v>1819</v>
      </c>
      <c r="P204" s="1">
        <v>0.48</v>
      </c>
      <c r="Q204" s="7" t="s">
        <v>1820</v>
      </c>
      <c r="R204" s="2">
        <v>5.11E-3</v>
      </c>
      <c r="S204" s="2">
        <f>710/100000</f>
        <v>7.1000000000000004E-3</v>
      </c>
      <c r="T204" s="2">
        <v>6.8530300000000002E-2</v>
      </c>
    </row>
    <row r="205" spans="1:20">
      <c r="A205" s="3" t="s">
        <v>1821</v>
      </c>
      <c r="B205" s="1" t="s">
        <v>1797</v>
      </c>
      <c r="C205" s="3" t="s">
        <v>1798</v>
      </c>
      <c r="D205" s="3" t="s">
        <v>1822</v>
      </c>
      <c r="E205" s="3" t="s">
        <v>1823</v>
      </c>
      <c r="F205" s="3" t="s">
        <v>1801</v>
      </c>
      <c r="G205" s="3" t="s">
        <v>1802</v>
      </c>
      <c r="H205" s="12" t="s">
        <v>8082</v>
      </c>
      <c r="I205" s="3" t="s">
        <v>1824</v>
      </c>
      <c r="J205" s="7">
        <v>1.1100000000000001</v>
      </c>
      <c r="K205" s="1" t="s">
        <v>1825</v>
      </c>
      <c r="L205" s="2">
        <v>0.34399999999999997</v>
      </c>
      <c r="M205" s="2">
        <f>37292/100000</f>
        <v>0.37291999999999997</v>
      </c>
      <c r="N205" s="2">
        <v>0.64881420000000001</v>
      </c>
      <c r="O205" s="4" t="s">
        <v>1826</v>
      </c>
      <c r="P205" s="1">
        <v>1.48</v>
      </c>
      <c r="Q205" s="7" t="s">
        <v>1827</v>
      </c>
      <c r="R205" s="2">
        <v>7.4900000000000001E-3</v>
      </c>
      <c r="S205" s="2">
        <f>865/100000</f>
        <v>8.6499999999999997E-3</v>
      </c>
      <c r="T205" s="2">
        <v>7.9317410000000005E-2</v>
      </c>
    </row>
    <row r="206" spans="1:20">
      <c r="A206" s="3" t="s">
        <v>1828</v>
      </c>
      <c r="B206" s="1" t="s">
        <v>1797</v>
      </c>
      <c r="C206" s="3" t="s">
        <v>1798</v>
      </c>
      <c r="D206" s="3" t="s">
        <v>1829</v>
      </c>
      <c r="E206" s="3" t="s">
        <v>1830</v>
      </c>
      <c r="F206" s="3" t="s">
        <v>1831</v>
      </c>
      <c r="G206" s="3" t="s">
        <v>1832</v>
      </c>
      <c r="H206" s="11" t="s">
        <v>8151</v>
      </c>
      <c r="I206" s="3" t="s">
        <v>1833</v>
      </c>
      <c r="J206" s="7">
        <v>1.5</v>
      </c>
      <c r="K206" s="1" t="s">
        <v>1834</v>
      </c>
      <c r="L206" s="2">
        <v>1.07E-8</v>
      </c>
      <c r="M206" s="2" t="s">
        <v>500</v>
      </c>
      <c r="N206" s="2">
        <v>3.517123E-4</v>
      </c>
      <c r="O206" s="4" t="s">
        <v>1835</v>
      </c>
      <c r="P206" s="1">
        <v>1.43</v>
      </c>
      <c r="Q206" s="7" t="s">
        <v>1836</v>
      </c>
      <c r="R206" s="2">
        <v>6.2700000000000006E-5</v>
      </c>
      <c r="S206" s="2">
        <f>13/100000</f>
        <v>1.2999999999999999E-4</v>
      </c>
      <c r="T206" s="2">
        <v>3.2723040000000002E-3</v>
      </c>
    </row>
    <row r="207" spans="1:20">
      <c r="A207" s="3" t="s">
        <v>1837</v>
      </c>
      <c r="B207" s="1" t="s">
        <v>1797</v>
      </c>
      <c r="C207" s="3" t="s">
        <v>1798</v>
      </c>
      <c r="D207" s="3" t="s">
        <v>1838</v>
      </c>
      <c r="E207" s="3" t="s">
        <v>1839</v>
      </c>
      <c r="F207" s="3" t="s">
        <v>1831</v>
      </c>
      <c r="G207" s="3" t="s">
        <v>1832</v>
      </c>
      <c r="H207" s="11" t="s">
        <v>8153</v>
      </c>
      <c r="I207" s="3" t="s">
        <v>1840</v>
      </c>
      <c r="J207" s="7">
        <v>1.94</v>
      </c>
      <c r="K207" s="1" t="s">
        <v>1841</v>
      </c>
      <c r="L207" s="2">
        <v>1.8800000000000001E-12</v>
      </c>
      <c r="M207" s="2" t="s">
        <v>500</v>
      </c>
      <c r="N207" s="2">
        <v>3.517123E-4</v>
      </c>
      <c r="O207" s="4" t="s">
        <v>1842</v>
      </c>
      <c r="P207" s="1">
        <v>1.8</v>
      </c>
      <c r="Q207" s="7" t="s">
        <v>1843</v>
      </c>
      <c r="R207" s="2">
        <v>9.1899999999999996E-8</v>
      </c>
      <c r="S207" s="2" t="s">
        <v>500</v>
      </c>
      <c r="T207" s="2">
        <v>3.517123E-4</v>
      </c>
    </row>
    <row r="208" spans="1:20">
      <c r="A208" s="3" t="s">
        <v>1844</v>
      </c>
      <c r="B208" s="1" t="s">
        <v>1797</v>
      </c>
      <c r="C208" s="3" t="s">
        <v>1798</v>
      </c>
      <c r="D208" s="3" t="s">
        <v>1845</v>
      </c>
      <c r="E208" s="3" t="s">
        <v>1846</v>
      </c>
      <c r="F208" s="3" t="s">
        <v>1831</v>
      </c>
      <c r="G208" s="3" t="s">
        <v>1832</v>
      </c>
      <c r="H208" s="11" t="s">
        <v>8152</v>
      </c>
      <c r="I208" s="3" t="s">
        <v>1847</v>
      </c>
      <c r="J208" s="7">
        <v>1.33</v>
      </c>
      <c r="K208" s="1" t="s">
        <v>1848</v>
      </c>
      <c r="L208" s="2">
        <v>3.7400000000000002E-6</v>
      </c>
      <c r="M208" s="2" t="s">
        <v>500</v>
      </c>
      <c r="N208" s="2">
        <v>3.517123E-4</v>
      </c>
      <c r="O208" s="4" t="s">
        <v>1849</v>
      </c>
      <c r="P208" s="1">
        <v>1.28</v>
      </c>
      <c r="Q208" s="7" t="s">
        <v>1850</v>
      </c>
      <c r="R208" s="2">
        <v>2.3E-3</v>
      </c>
      <c r="S208" s="2">
        <f>251/100000</f>
        <v>2.5100000000000001E-3</v>
      </c>
      <c r="T208" s="2">
        <v>3.1716179999999997E-2</v>
      </c>
    </row>
    <row r="209" spans="1:20">
      <c r="A209" s="3" t="s">
        <v>1851</v>
      </c>
      <c r="B209" s="1" t="s">
        <v>1797</v>
      </c>
      <c r="C209" s="3" t="s">
        <v>1798</v>
      </c>
      <c r="D209" s="3" t="s">
        <v>1852</v>
      </c>
      <c r="E209" s="3" t="s">
        <v>1853</v>
      </c>
      <c r="F209" s="3" t="s">
        <v>1831</v>
      </c>
      <c r="G209" s="3" t="s">
        <v>1832</v>
      </c>
      <c r="H209" s="12" t="s">
        <v>8082</v>
      </c>
      <c r="I209" s="3" t="s">
        <v>1854</v>
      </c>
      <c r="J209" s="7">
        <v>1.2</v>
      </c>
      <c r="K209" s="1" t="s">
        <v>1855</v>
      </c>
      <c r="L209" s="2">
        <v>9.2200000000000008E-3</v>
      </c>
      <c r="M209" s="2">
        <f>972/100000</f>
        <v>9.7199999999999995E-3</v>
      </c>
      <c r="N209" s="2">
        <v>8.5466100000000003E-2</v>
      </c>
      <c r="O209" s="4" t="s">
        <v>1856</v>
      </c>
      <c r="P209" s="1">
        <v>1.48</v>
      </c>
      <c r="Q209" s="7" t="s">
        <v>1857</v>
      </c>
      <c r="R209" s="2">
        <v>2.67E-7</v>
      </c>
      <c r="S209" s="2" t="s">
        <v>500</v>
      </c>
      <c r="T209" s="2">
        <v>3.517123E-4</v>
      </c>
    </row>
    <row r="210" spans="1:20">
      <c r="A210" s="3" t="s">
        <v>1858</v>
      </c>
      <c r="B210" s="1" t="s">
        <v>1859</v>
      </c>
      <c r="C210" s="3" t="s">
        <v>1860</v>
      </c>
      <c r="D210" s="3" t="s">
        <v>1861</v>
      </c>
      <c r="E210" s="3" t="s">
        <v>1862</v>
      </c>
      <c r="F210" s="3" t="s">
        <v>1863</v>
      </c>
      <c r="G210" s="3" t="s">
        <v>1864</v>
      </c>
      <c r="H210" s="11" t="s">
        <v>8154</v>
      </c>
      <c r="I210" s="3" t="s">
        <v>1865</v>
      </c>
      <c r="J210" s="7">
        <v>0.94</v>
      </c>
      <c r="K210" s="1" t="s">
        <v>1866</v>
      </c>
      <c r="L210" s="2">
        <v>0.76600000000000001</v>
      </c>
      <c r="M210" s="2">
        <f>84211/100000</f>
        <v>0.84211000000000003</v>
      </c>
      <c r="N210" s="2">
        <v>0.82929589999999997</v>
      </c>
      <c r="O210" s="4" t="s">
        <v>1867</v>
      </c>
      <c r="P210" s="1">
        <v>1.29</v>
      </c>
      <c r="Q210" s="7" t="s">
        <v>1868</v>
      </c>
      <c r="R210" s="2">
        <v>0.157</v>
      </c>
      <c r="S210" s="2">
        <f>15873/100000</f>
        <v>0.15873000000000001</v>
      </c>
      <c r="T210" s="2">
        <v>0.44085580000000002</v>
      </c>
    </row>
    <row r="211" spans="1:20">
      <c r="A211" s="3" t="s">
        <v>1869</v>
      </c>
      <c r="B211" s="1" t="s">
        <v>1870</v>
      </c>
      <c r="C211" s="3" t="s">
        <v>1871</v>
      </c>
      <c r="D211" s="3" t="s">
        <v>1872</v>
      </c>
      <c r="E211" s="3" t="s">
        <v>1873</v>
      </c>
      <c r="F211" s="3" t="s">
        <v>1874</v>
      </c>
      <c r="G211" s="3" t="s">
        <v>1875</v>
      </c>
      <c r="H211" s="11" t="s">
        <v>8155</v>
      </c>
      <c r="I211" s="3" t="s">
        <v>1876</v>
      </c>
      <c r="J211" s="7">
        <v>1.2</v>
      </c>
      <c r="K211" s="1" t="s">
        <v>1877</v>
      </c>
      <c r="L211" s="2">
        <v>0.33200000000000002</v>
      </c>
      <c r="M211" s="2">
        <f>35881/100000</f>
        <v>0.35881000000000002</v>
      </c>
      <c r="N211" s="2">
        <v>0.63787720000000003</v>
      </c>
      <c r="O211" s="4" t="s">
        <v>1878</v>
      </c>
      <c r="P211" s="1">
        <v>1.0900000000000001</v>
      </c>
      <c r="Q211" s="7" t="s">
        <v>1879</v>
      </c>
      <c r="R211" s="2">
        <v>0.64500000000000002</v>
      </c>
      <c r="S211" s="2">
        <f>64560/100000</f>
        <v>0.64559999999999995</v>
      </c>
      <c r="T211" s="2">
        <v>0.79971309999999995</v>
      </c>
    </row>
    <row r="212" spans="1:20">
      <c r="A212" s="3" t="s">
        <v>1880</v>
      </c>
      <c r="B212" s="1" t="s">
        <v>1870</v>
      </c>
      <c r="C212" s="3" t="s">
        <v>1871</v>
      </c>
      <c r="D212" s="3" t="s">
        <v>1881</v>
      </c>
      <c r="E212" s="3" t="s">
        <v>1882</v>
      </c>
      <c r="F212" s="3" t="s">
        <v>1883</v>
      </c>
      <c r="G212" s="3" t="s">
        <v>1884</v>
      </c>
      <c r="H212" s="11" t="s">
        <v>8155</v>
      </c>
      <c r="I212" s="3" t="s">
        <v>1885</v>
      </c>
      <c r="J212" s="7">
        <v>1.44</v>
      </c>
      <c r="K212" s="1" t="s">
        <v>1886</v>
      </c>
      <c r="L212" s="2">
        <v>7.22E-2</v>
      </c>
      <c r="M212" s="2">
        <f>7584/100000</f>
        <v>7.5840000000000005E-2</v>
      </c>
      <c r="N212" s="2">
        <v>0.30842550000000002</v>
      </c>
      <c r="O212" s="4" t="s">
        <v>1887</v>
      </c>
      <c r="P212" s="1">
        <v>0.91</v>
      </c>
      <c r="Q212" s="7" t="s">
        <v>1888</v>
      </c>
      <c r="R212" s="2">
        <v>0.626</v>
      </c>
      <c r="S212" s="2">
        <f>63476/100000</f>
        <v>0.63475999999999999</v>
      </c>
      <c r="T212" s="2">
        <v>0.79869500000000004</v>
      </c>
    </row>
    <row r="213" spans="1:20">
      <c r="A213" s="3" t="s">
        <v>1889</v>
      </c>
      <c r="B213" s="1" t="s">
        <v>1870</v>
      </c>
      <c r="C213" s="3" t="s">
        <v>1871</v>
      </c>
      <c r="D213" s="3" t="s">
        <v>1890</v>
      </c>
      <c r="E213" s="3" t="s">
        <v>1891</v>
      </c>
      <c r="F213" s="3" t="s">
        <v>1892</v>
      </c>
      <c r="G213" s="3" t="s">
        <v>1893</v>
      </c>
      <c r="H213" s="11" t="s">
        <v>8155</v>
      </c>
      <c r="I213" s="3" t="s">
        <v>1894</v>
      </c>
      <c r="J213" s="7">
        <v>1.24</v>
      </c>
      <c r="K213" s="1" t="s">
        <v>1895</v>
      </c>
      <c r="L213" s="2">
        <v>8.0500000000000002E-2</v>
      </c>
      <c r="M213" s="2">
        <f>8798/100000</f>
        <v>8.7980000000000003E-2</v>
      </c>
      <c r="N213" s="2">
        <v>0.33823350000000002</v>
      </c>
      <c r="O213" s="4" t="s">
        <v>1896</v>
      </c>
      <c r="P213" s="1">
        <v>0.83</v>
      </c>
      <c r="Q213" s="7" t="s">
        <v>1897</v>
      </c>
      <c r="R213" s="2">
        <v>0.31900000000000001</v>
      </c>
      <c r="S213" s="2">
        <f>33089/100000</f>
        <v>0.33089000000000002</v>
      </c>
      <c r="T213" s="2">
        <v>0.61526179999999997</v>
      </c>
    </row>
    <row r="214" spans="1:20">
      <c r="A214" s="3" t="s">
        <v>1898</v>
      </c>
      <c r="B214" s="1" t="s">
        <v>1899</v>
      </c>
      <c r="C214" s="3" t="s">
        <v>1900</v>
      </c>
      <c r="D214" s="3" t="s">
        <v>1901</v>
      </c>
      <c r="E214" s="3" t="s">
        <v>1902</v>
      </c>
      <c r="F214" s="3" t="s">
        <v>1903</v>
      </c>
      <c r="G214" s="3" t="s">
        <v>1904</v>
      </c>
      <c r="H214" s="11" t="s">
        <v>8156</v>
      </c>
      <c r="I214" s="3" t="s">
        <v>1905</v>
      </c>
      <c r="J214" s="7">
        <v>1.36</v>
      </c>
      <c r="K214" s="1" t="s">
        <v>1906</v>
      </c>
      <c r="L214" s="2">
        <v>0.17100000000000001</v>
      </c>
      <c r="M214" s="2">
        <f>19865/100000</f>
        <v>0.19864999999999999</v>
      </c>
      <c r="N214" s="2">
        <v>0.48870029999999998</v>
      </c>
      <c r="O214" s="4" t="s">
        <v>1907</v>
      </c>
      <c r="P214" s="1">
        <v>1.32</v>
      </c>
      <c r="Q214" s="7" t="s">
        <v>1908</v>
      </c>
      <c r="R214" s="2">
        <v>0.185</v>
      </c>
      <c r="S214" s="2">
        <f>19234/100000</f>
        <v>0.19234000000000001</v>
      </c>
      <c r="T214" s="2">
        <v>0.48203059999999998</v>
      </c>
    </row>
    <row r="215" spans="1:20">
      <c r="A215" s="3" t="s">
        <v>1909</v>
      </c>
      <c r="B215" s="1" t="s">
        <v>1899</v>
      </c>
      <c r="C215" s="3" t="s">
        <v>1900</v>
      </c>
      <c r="D215" s="3" t="s">
        <v>1910</v>
      </c>
      <c r="E215" s="3" t="s">
        <v>1911</v>
      </c>
      <c r="F215" s="3" t="s">
        <v>1903</v>
      </c>
      <c r="G215" s="3" t="s">
        <v>1904</v>
      </c>
      <c r="H215" s="11" t="s">
        <v>8157</v>
      </c>
      <c r="I215" s="3" t="s">
        <v>1912</v>
      </c>
      <c r="J215" s="7">
        <v>0.81</v>
      </c>
      <c r="K215" s="1" t="s">
        <v>1913</v>
      </c>
      <c r="L215" s="2">
        <v>0.39900000000000002</v>
      </c>
      <c r="M215" s="2">
        <f>43377/100000</f>
        <v>0.43376999999999999</v>
      </c>
      <c r="N215" s="2">
        <v>0.68614220000000004</v>
      </c>
      <c r="O215" s="4" t="s">
        <v>1914</v>
      </c>
      <c r="P215" s="1">
        <v>1.01</v>
      </c>
      <c r="Q215" s="7" t="s">
        <v>1915</v>
      </c>
      <c r="R215" s="2">
        <v>0.95499999999999996</v>
      </c>
      <c r="S215" s="2">
        <f>100000/100000</f>
        <v>1</v>
      </c>
      <c r="T215" s="2">
        <v>0.82929589999999997</v>
      </c>
    </row>
    <row r="216" spans="1:20">
      <c r="A216" s="3" t="s">
        <v>1916</v>
      </c>
      <c r="B216" s="1" t="s">
        <v>1899</v>
      </c>
      <c r="C216" s="3" t="s">
        <v>1900</v>
      </c>
      <c r="D216" s="3" t="s">
        <v>1917</v>
      </c>
      <c r="E216" s="3" t="s">
        <v>1918</v>
      </c>
      <c r="F216" s="3" t="s">
        <v>1903</v>
      </c>
      <c r="G216" s="3" t="s">
        <v>1904</v>
      </c>
      <c r="H216" s="11" t="s">
        <v>8156</v>
      </c>
      <c r="I216" s="3" t="s">
        <v>1919</v>
      </c>
      <c r="J216" s="7">
        <v>0.98</v>
      </c>
      <c r="K216" s="1" t="s">
        <v>1920</v>
      </c>
      <c r="L216" s="2">
        <v>0.91300000000000003</v>
      </c>
      <c r="M216" s="2">
        <f>100000/100000</f>
        <v>1</v>
      </c>
      <c r="N216" s="2">
        <v>0.82929589999999997</v>
      </c>
      <c r="O216" s="4" t="s">
        <v>1921</v>
      </c>
      <c r="P216" s="1">
        <v>0.66</v>
      </c>
      <c r="Q216" s="7" t="s">
        <v>1922</v>
      </c>
      <c r="R216" s="2">
        <v>0.17100000000000001</v>
      </c>
      <c r="S216" s="2">
        <f>19642/100000</f>
        <v>0.19642000000000001</v>
      </c>
      <c r="T216" s="2">
        <v>0.487626</v>
      </c>
    </row>
    <row r="217" spans="1:20">
      <c r="A217" s="3" t="s">
        <v>1923</v>
      </c>
      <c r="B217" s="1" t="s">
        <v>1924</v>
      </c>
      <c r="C217" s="3" t="s">
        <v>1925</v>
      </c>
      <c r="D217" s="3" t="s">
        <v>1926</v>
      </c>
      <c r="E217" s="3" t="s">
        <v>1927</v>
      </c>
      <c r="F217" s="3" t="s">
        <v>1928</v>
      </c>
      <c r="G217" s="3" t="s">
        <v>1929</v>
      </c>
      <c r="H217" s="11" t="s">
        <v>8083</v>
      </c>
      <c r="I217" s="3" t="s">
        <v>1930</v>
      </c>
      <c r="J217" s="7">
        <v>1.39</v>
      </c>
      <c r="K217" s="1" t="s">
        <v>1931</v>
      </c>
      <c r="L217" s="2">
        <v>4.8700000000000002E-3</v>
      </c>
      <c r="M217" s="2">
        <f>587/100000</f>
        <v>5.8700000000000002E-3</v>
      </c>
      <c r="N217" s="2">
        <v>5.9570060000000001E-2</v>
      </c>
      <c r="O217" s="4" t="s">
        <v>1932</v>
      </c>
      <c r="P217" s="1">
        <v>0.78</v>
      </c>
      <c r="Q217" s="7" t="s">
        <v>1933</v>
      </c>
      <c r="R217" s="2">
        <v>0.124</v>
      </c>
      <c r="S217" s="2">
        <f>12799/100000</f>
        <v>0.12798999999999999</v>
      </c>
      <c r="T217" s="2">
        <v>0.39500000000000002</v>
      </c>
    </row>
    <row r="218" spans="1:20">
      <c r="A218" s="3" t="s">
        <v>1934</v>
      </c>
      <c r="B218" s="1" t="s">
        <v>1935</v>
      </c>
      <c r="C218" s="3" t="s">
        <v>1936</v>
      </c>
      <c r="D218" s="3" t="s">
        <v>1937</v>
      </c>
      <c r="E218" s="3" t="s">
        <v>1938</v>
      </c>
      <c r="F218" s="3" t="s">
        <v>1939</v>
      </c>
      <c r="G218" s="3" t="s">
        <v>1940</v>
      </c>
      <c r="H218" s="11" t="s">
        <v>8158</v>
      </c>
      <c r="I218" s="3" t="s">
        <v>1941</v>
      </c>
      <c r="J218" s="7">
        <v>0.86</v>
      </c>
      <c r="K218" s="1" t="s">
        <v>1942</v>
      </c>
      <c r="L218" s="2">
        <v>0.53600000000000003</v>
      </c>
      <c r="M218" s="2">
        <f>57565/100000</f>
        <v>0.57565</v>
      </c>
      <c r="N218" s="2">
        <v>0.76719190000000004</v>
      </c>
      <c r="O218" s="4" t="s">
        <v>1943</v>
      </c>
      <c r="P218" s="1">
        <v>0.92</v>
      </c>
      <c r="Q218" s="7" t="s">
        <v>1944</v>
      </c>
      <c r="R218" s="2">
        <v>0.72299999999999998</v>
      </c>
      <c r="S218" s="2">
        <f>81285/100000</f>
        <v>0.81284999999999996</v>
      </c>
      <c r="T218" s="2">
        <v>0.82929589999999997</v>
      </c>
    </row>
    <row r="219" spans="1:20">
      <c r="A219" s="3" t="s">
        <v>1945</v>
      </c>
      <c r="B219" s="1" t="s">
        <v>1935</v>
      </c>
      <c r="C219" s="3" t="s">
        <v>1936</v>
      </c>
      <c r="D219" s="3" t="s">
        <v>1946</v>
      </c>
      <c r="E219" s="3" t="s">
        <v>1947</v>
      </c>
      <c r="F219" s="3" t="s">
        <v>1939</v>
      </c>
      <c r="G219" s="3" t="s">
        <v>1940</v>
      </c>
      <c r="H219" s="11" t="s">
        <v>8158</v>
      </c>
      <c r="I219" s="3" t="s">
        <v>1948</v>
      </c>
      <c r="J219" s="7">
        <v>0.53</v>
      </c>
      <c r="K219" s="1" t="s">
        <v>1949</v>
      </c>
      <c r="L219" s="2">
        <v>0.121</v>
      </c>
      <c r="M219" s="2">
        <f>15065/100000</f>
        <v>0.15065000000000001</v>
      </c>
      <c r="N219" s="2">
        <v>0.42697410000000002</v>
      </c>
      <c r="O219" s="4" t="s">
        <v>1950</v>
      </c>
      <c r="P219" s="1">
        <v>1.57</v>
      </c>
      <c r="Q219" s="7" t="s">
        <v>1951</v>
      </c>
      <c r="R219" s="2">
        <v>7.8799999999999995E-2</v>
      </c>
      <c r="S219" s="2">
        <f>8475/100000</f>
        <v>8.4750000000000006E-2</v>
      </c>
      <c r="T219" s="2">
        <v>0.3313912</v>
      </c>
    </row>
    <row r="220" spans="1:20">
      <c r="A220" s="3" t="s">
        <v>1952</v>
      </c>
      <c r="B220" s="1" t="s">
        <v>1953</v>
      </c>
      <c r="C220" s="3" t="s">
        <v>1954</v>
      </c>
      <c r="D220" s="3" t="s">
        <v>1955</v>
      </c>
      <c r="E220" s="3" t="s">
        <v>1956</v>
      </c>
      <c r="F220" s="3" t="s">
        <v>1957</v>
      </c>
      <c r="G220" s="3" t="s">
        <v>1958</v>
      </c>
      <c r="H220" s="11" t="s">
        <v>8159</v>
      </c>
      <c r="I220" s="3" t="s">
        <v>1959</v>
      </c>
      <c r="J220" s="7">
        <v>1.22</v>
      </c>
      <c r="K220" s="1" t="s">
        <v>1960</v>
      </c>
      <c r="L220" s="2">
        <v>0.29099999999999998</v>
      </c>
      <c r="M220" s="2">
        <f>31442/100000</f>
        <v>0.31441999999999998</v>
      </c>
      <c r="N220" s="2">
        <v>0.59984749999999998</v>
      </c>
      <c r="O220" s="4" t="s">
        <v>1961</v>
      </c>
      <c r="P220" s="1">
        <v>0.69</v>
      </c>
      <c r="Q220" s="7" t="s">
        <v>1962</v>
      </c>
      <c r="R220" s="2">
        <v>0.14699999999999999</v>
      </c>
      <c r="S220" s="2">
        <f>15430/100000</f>
        <v>0.15429999999999999</v>
      </c>
      <c r="T220" s="2">
        <v>0.43024479999999998</v>
      </c>
    </row>
    <row r="221" spans="1:20">
      <c r="A221" s="3" t="s">
        <v>1963</v>
      </c>
      <c r="B221" s="1" t="s">
        <v>1964</v>
      </c>
      <c r="C221" s="3" t="s">
        <v>1965</v>
      </c>
      <c r="D221" s="3" t="s">
        <v>1966</v>
      </c>
      <c r="E221" s="3" t="s">
        <v>1967</v>
      </c>
      <c r="F221" s="3" t="s">
        <v>1968</v>
      </c>
      <c r="G221" s="3" t="s">
        <v>1969</v>
      </c>
      <c r="H221" s="11" t="s">
        <v>8160</v>
      </c>
      <c r="I221" s="3" t="s">
        <v>1970</v>
      </c>
      <c r="J221" s="7">
        <v>0.8</v>
      </c>
      <c r="K221" s="1" t="s">
        <v>1971</v>
      </c>
      <c r="L221" s="2">
        <v>0.14099999999999999</v>
      </c>
      <c r="M221" s="2">
        <f>15339/100000</f>
        <v>0.15339</v>
      </c>
      <c r="N221" s="2">
        <v>0.42978939999999999</v>
      </c>
      <c r="O221" s="4" t="s">
        <v>1972</v>
      </c>
      <c r="P221" s="1">
        <v>0.9</v>
      </c>
      <c r="Q221" s="7" t="s">
        <v>1973</v>
      </c>
      <c r="R221" s="2">
        <v>0.442</v>
      </c>
      <c r="S221" s="2">
        <f>45388/100000</f>
        <v>0.45388000000000001</v>
      </c>
      <c r="T221" s="2">
        <v>0.70008709999999996</v>
      </c>
    </row>
    <row r="222" spans="1:20">
      <c r="A222" s="3" t="s">
        <v>1974</v>
      </c>
      <c r="B222" s="1" t="s">
        <v>1964</v>
      </c>
      <c r="C222" s="3" t="s">
        <v>1965</v>
      </c>
      <c r="D222" s="3" t="s">
        <v>1975</v>
      </c>
      <c r="E222" s="3" t="s">
        <v>1976</v>
      </c>
      <c r="F222" s="3" t="s">
        <v>1977</v>
      </c>
      <c r="G222" s="3" t="s">
        <v>1978</v>
      </c>
      <c r="H222" s="11" t="s">
        <v>8160</v>
      </c>
      <c r="I222" s="3" t="s">
        <v>1979</v>
      </c>
      <c r="J222" s="7">
        <v>0.99</v>
      </c>
      <c r="K222" s="1" t="s">
        <v>1980</v>
      </c>
      <c r="L222" s="2">
        <v>0.95899999999999996</v>
      </c>
      <c r="M222" s="2">
        <f>100000/100000</f>
        <v>1</v>
      </c>
      <c r="N222" s="2">
        <v>0.82929589999999997</v>
      </c>
      <c r="O222" s="4" t="s">
        <v>1981</v>
      </c>
      <c r="P222" s="1">
        <v>1.06</v>
      </c>
      <c r="Q222" s="7" t="s">
        <v>1982</v>
      </c>
      <c r="R222" s="2">
        <v>0.82299999999999995</v>
      </c>
      <c r="S222" s="2">
        <f>89288/100000</f>
        <v>0.89288000000000001</v>
      </c>
      <c r="T222" s="2">
        <v>0.82929589999999997</v>
      </c>
    </row>
    <row r="223" spans="1:20">
      <c r="A223" s="3" t="s">
        <v>1983</v>
      </c>
      <c r="B223" s="1" t="s">
        <v>1984</v>
      </c>
      <c r="C223" s="3" t="s">
        <v>1985</v>
      </c>
      <c r="D223" s="3" t="s">
        <v>1986</v>
      </c>
      <c r="E223" s="3" t="s">
        <v>1987</v>
      </c>
      <c r="F223" s="3" t="s">
        <v>1988</v>
      </c>
      <c r="G223" s="3" t="s">
        <v>1989</v>
      </c>
      <c r="H223" s="11" t="s">
        <v>8161</v>
      </c>
      <c r="I223" s="3" t="s">
        <v>1990</v>
      </c>
      <c r="J223" s="7">
        <v>1.08</v>
      </c>
      <c r="K223" s="1" t="s">
        <v>1991</v>
      </c>
      <c r="L223" s="2">
        <v>0.48199999999999998</v>
      </c>
      <c r="M223" s="2">
        <f>49535/100000</f>
        <v>0.49535000000000001</v>
      </c>
      <c r="N223" s="2">
        <v>0.73484130000000003</v>
      </c>
      <c r="O223" s="4" t="s">
        <v>1992</v>
      </c>
      <c r="P223" s="1">
        <v>0.24</v>
      </c>
      <c r="Q223" s="7" t="s">
        <v>1993</v>
      </c>
      <c r="R223" s="2">
        <v>1.4100000000000001E-13</v>
      </c>
      <c r="S223" s="2" t="s">
        <v>500</v>
      </c>
      <c r="T223" s="2">
        <v>3.517123E-4</v>
      </c>
    </row>
    <row r="224" spans="1:20">
      <c r="A224" s="3" t="s">
        <v>1994</v>
      </c>
      <c r="B224" s="1" t="s">
        <v>1995</v>
      </c>
      <c r="C224" s="3" t="s">
        <v>1996</v>
      </c>
      <c r="D224" s="3" t="s">
        <v>1997</v>
      </c>
      <c r="E224" s="3" t="s">
        <v>1998</v>
      </c>
      <c r="F224" s="3" t="s">
        <v>1999</v>
      </c>
      <c r="G224" s="3" t="s">
        <v>2000</v>
      </c>
      <c r="H224" s="11" t="s">
        <v>8162</v>
      </c>
      <c r="I224" s="3" t="s">
        <v>2001</v>
      </c>
      <c r="J224" s="7">
        <v>0.8</v>
      </c>
      <c r="K224" s="1" t="s">
        <v>2002</v>
      </c>
      <c r="L224" s="2">
        <v>0.55000000000000004</v>
      </c>
      <c r="M224" s="2">
        <f>62338/100000</f>
        <v>0.62338000000000005</v>
      </c>
      <c r="N224" s="2">
        <v>0.79869500000000004</v>
      </c>
      <c r="O224" s="4" t="s">
        <v>2003</v>
      </c>
      <c r="P224" s="1">
        <v>0.63</v>
      </c>
      <c r="Q224" s="7" t="s">
        <v>2004</v>
      </c>
      <c r="R224" s="2">
        <v>0.27100000000000002</v>
      </c>
      <c r="S224" s="2">
        <f>31033/100000</f>
        <v>0.31032999999999999</v>
      </c>
      <c r="T224" s="2">
        <v>0.59664539999999999</v>
      </c>
    </row>
    <row r="225" spans="1:20">
      <c r="A225" s="3" t="s">
        <v>2005</v>
      </c>
      <c r="B225" s="1" t="s">
        <v>1995</v>
      </c>
      <c r="C225" s="3" t="s">
        <v>1996</v>
      </c>
      <c r="D225" s="3" t="s">
        <v>2006</v>
      </c>
      <c r="E225" s="3" t="s">
        <v>2007</v>
      </c>
      <c r="F225" s="3" t="s">
        <v>2008</v>
      </c>
      <c r="G225" s="3" t="s">
        <v>2009</v>
      </c>
      <c r="H225" s="11" t="s">
        <v>8162</v>
      </c>
      <c r="I225" s="3" t="s">
        <v>2010</v>
      </c>
      <c r="J225" s="7">
        <v>1.1299999999999999</v>
      </c>
      <c r="K225" s="1" t="s">
        <v>2011</v>
      </c>
      <c r="L225" s="2">
        <v>0.245</v>
      </c>
      <c r="M225" s="2">
        <f>24861/100000</f>
        <v>0.24861</v>
      </c>
      <c r="N225" s="2">
        <v>0.5516027</v>
      </c>
      <c r="O225" s="4" t="s">
        <v>2012</v>
      </c>
      <c r="P225" s="1">
        <v>1.05</v>
      </c>
      <c r="Q225" s="7" t="s">
        <v>2013</v>
      </c>
      <c r="R225" s="2">
        <v>0.66800000000000004</v>
      </c>
      <c r="S225" s="2">
        <f>67279/100000</f>
        <v>0.67279</v>
      </c>
      <c r="T225" s="2">
        <v>0.80518520000000005</v>
      </c>
    </row>
    <row r="226" spans="1:20">
      <c r="A226" s="3" t="s">
        <v>2014</v>
      </c>
      <c r="B226" s="1" t="s">
        <v>2015</v>
      </c>
      <c r="C226" s="3" t="s">
        <v>2016</v>
      </c>
      <c r="D226" s="3" t="s">
        <v>2017</v>
      </c>
      <c r="E226" s="3" t="s">
        <v>2018</v>
      </c>
      <c r="F226" s="3" t="s">
        <v>2019</v>
      </c>
      <c r="G226" s="3" t="s">
        <v>2020</v>
      </c>
      <c r="H226" s="11" t="s">
        <v>8163</v>
      </c>
      <c r="I226" s="3" t="s">
        <v>2021</v>
      </c>
      <c r="J226" s="7">
        <v>1.07</v>
      </c>
      <c r="K226" s="1" t="s">
        <v>2022</v>
      </c>
      <c r="L226" s="2">
        <v>0.53400000000000003</v>
      </c>
      <c r="M226" s="2">
        <f>55951/100000</f>
        <v>0.55950999999999995</v>
      </c>
      <c r="N226" s="2">
        <v>0.75993659999999996</v>
      </c>
      <c r="O226" s="4" t="s">
        <v>2023</v>
      </c>
      <c r="P226" s="1">
        <v>0.83</v>
      </c>
      <c r="Q226" s="7" t="s">
        <v>2024</v>
      </c>
      <c r="R226" s="2">
        <v>8.6400000000000005E-2</v>
      </c>
      <c r="S226" s="2">
        <f>9376/100000</f>
        <v>9.3759999999999996E-2</v>
      </c>
      <c r="T226" s="2">
        <v>0.34738940000000001</v>
      </c>
    </row>
    <row r="227" spans="1:20">
      <c r="A227" s="3" t="s">
        <v>2025</v>
      </c>
      <c r="B227" s="1" t="s">
        <v>2026</v>
      </c>
      <c r="C227" s="3" t="s">
        <v>2027</v>
      </c>
      <c r="D227" s="3" t="s">
        <v>1986</v>
      </c>
      <c r="E227" s="3" t="s">
        <v>1987</v>
      </c>
      <c r="F227" s="3" t="s">
        <v>1988</v>
      </c>
      <c r="G227" s="3" t="s">
        <v>1989</v>
      </c>
      <c r="H227" s="11" t="s">
        <v>8161</v>
      </c>
      <c r="I227" s="3" t="s">
        <v>1990</v>
      </c>
      <c r="J227" s="7">
        <v>1.08</v>
      </c>
      <c r="K227" s="1" t="s">
        <v>1991</v>
      </c>
      <c r="L227" s="2">
        <v>0.48199999999999998</v>
      </c>
      <c r="M227" s="2">
        <f>49535/100000</f>
        <v>0.49535000000000001</v>
      </c>
      <c r="N227" s="2">
        <v>0.73484130000000003</v>
      </c>
      <c r="O227" s="4" t="s">
        <v>1992</v>
      </c>
      <c r="P227" s="1">
        <v>0.24</v>
      </c>
      <c r="Q227" s="7" t="s">
        <v>1993</v>
      </c>
      <c r="R227" s="2">
        <v>1.4100000000000001E-13</v>
      </c>
      <c r="S227" s="2" t="s">
        <v>500</v>
      </c>
      <c r="T227" s="2">
        <v>3.517123E-4</v>
      </c>
    </row>
    <row r="228" spans="1:20">
      <c r="A228" s="3" t="s">
        <v>2028</v>
      </c>
      <c r="B228" s="1" t="s">
        <v>2029</v>
      </c>
      <c r="C228" s="3" t="s">
        <v>2030</v>
      </c>
      <c r="D228" s="3" t="s">
        <v>2031</v>
      </c>
      <c r="E228" s="3" t="s">
        <v>2032</v>
      </c>
      <c r="F228" s="3" t="s">
        <v>2033</v>
      </c>
      <c r="G228" s="3" t="s">
        <v>2034</v>
      </c>
      <c r="H228" s="11" t="s">
        <v>8164</v>
      </c>
      <c r="I228" s="3" t="s">
        <v>2035</v>
      </c>
      <c r="J228" s="7">
        <v>0.45</v>
      </c>
      <c r="K228" s="1" t="s">
        <v>2036</v>
      </c>
      <c r="L228" s="2">
        <v>3.79E-3</v>
      </c>
      <c r="M228" s="2">
        <f>344/100000</f>
        <v>3.4399999999999999E-3</v>
      </c>
      <c r="N228" s="2">
        <v>4.1271960000000003E-2</v>
      </c>
      <c r="O228" s="4" t="s">
        <v>2037</v>
      </c>
      <c r="P228" s="1">
        <v>1.1200000000000001</v>
      </c>
      <c r="Q228" s="7" t="s">
        <v>2038</v>
      </c>
      <c r="R228" s="2">
        <v>0.61899999999999999</v>
      </c>
      <c r="S228" s="2">
        <f>63113/100000</f>
        <v>0.63112999999999997</v>
      </c>
      <c r="T228" s="2">
        <v>0.79869500000000004</v>
      </c>
    </row>
    <row r="229" spans="1:20">
      <c r="A229" s="3" t="s">
        <v>2039</v>
      </c>
      <c r="B229" s="1" t="s">
        <v>2040</v>
      </c>
      <c r="C229" s="3" t="s">
        <v>2041</v>
      </c>
      <c r="D229" s="3" t="s">
        <v>2042</v>
      </c>
      <c r="E229" s="3" t="s">
        <v>2043</v>
      </c>
      <c r="F229" s="3" t="s">
        <v>2044</v>
      </c>
      <c r="G229" s="3" t="s">
        <v>2045</v>
      </c>
      <c r="H229" s="11" t="s">
        <v>8165</v>
      </c>
      <c r="I229" s="3" t="s">
        <v>2046</v>
      </c>
      <c r="J229" s="7">
        <v>1.1100000000000001</v>
      </c>
      <c r="K229" s="1" t="s">
        <v>2047</v>
      </c>
      <c r="L229" s="2">
        <v>0.45700000000000002</v>
      </c>
      <c r="M229" s="2">
        <f>49055/100000</f>
        <v>0.49054999999999999</v>
      </c>
      <c r="N229" s="2">
        <v>0.73208039999999996</v>
      </c>
      <c r="O229" s="4" t="s">
        <v>2048</v>
      </c>
      <c r="P229" s="1">
        <v>1.55</v>
      </c>
      <c r="Q229" s="7" t="s">
        <v>2049</v>
      </c>
      <c r="R229" s="2">
        <v>5.5899999999999997E-5</v>
      </c>
      <c r="S229" s="2">
        <f>14/100000</f>
        <v>1.3999999999999999E-4</v>
      </c>
      <c r="T229" s="2">
        <v>3.4562500000000001E-3</v>
      </c>
    </row>
    <row r="230" spans="1:20">
      <c r="A230" s="3" t="s">
        <v>2050</v>
      </c>
      <c r="B230" s="1" t="s">
        <v>2040</v>
      </c>
      <c r="C230" s="3" t="s">
        <v>2041</v>
      </c>
      <c r="D230" s="3" t="s">
        <v>2051</v>
      </c>
      <c r="E230" s="3" t="s">
        <v>2052</v>
      </c>
      <c r="F230" s="3" t="s">
        <v>2053</v>
      </c>
      <c r="G230" s="3" t="s">
        <v>2054</v>
      </c>
      <c r="H230" s="11" t="s">
        <v>8165</v>
      </c>
      <c r="I230" s="3" t="s">
        <v>2055</v>
      </c>
      <c r="J230" s="7">
        <v>0.78</v>
      </c>
      <c r="K230" s="1" t="s">
        <v>2056</v>
      </c>
      <c r="L230" s="2">
        <v>0.35299999999999998</v>
      </c>
      <c r="M230" s="2">
        <f>40500/100000</f>
        <v>0.40500000000000003</v>
      </c>
      <c r="N230" s="2">
        <v>0.66784679999999996</v>
      </c>
      <c r="O230" s="4" t="s">
        <v>2057</v>
      </c>
      <c r="P230" s="1">
        <v>1.62</v>
      </c>
      <c r="Q230" s="7" t="s">
        <v>2058</v>
      </c>
      <c r="R230" s="2">
        <v>5.28E-3</v>
      </c>
      <c r="S230" s="2">
        <f>665/100000</f>
        <v>6.6499999999999997E-3</v>
      </c>
      <c r="T230" s="2">
        <v>6.5515519999999994E-2</v>
      </c>
    </row>
    <row r="231" spans="1:20">
      <c r="A231" s="3" t="s">
        <v>2059</v>
      </c>
      <c r="B231" s="1" t="s">
        <v>2060</v>
      </c>
      <c r="C231" s="3" t="s">
        <v>2061</v>
      </c>
      <c r="D231" s="3" t="s">
        <v>2062</v>
      </c>
      <c r="E231" s="3" t="s">
        <v>2063</v>
      </c>
      <c r="F231" s="3" t="s">
        <v>2064</v>
      </c>
      <c r="G231" s="3" t="s">
        <v>2065</v>
      </c>
      <c r="H231" s="11" t="s">
        <v>8085</v>
      </c>
      <c r="I231" s="3" t="s">
        <v>2066</v>
      </c>
      <c r="J231" s="7">
        <v>0.75</v>
      </c>
      <c r="K231" s="1" t="s">
        <v>2067</v>
      </c>
      <c r="L231" s="2">
        <v>0.21299999999999999</v>
      </c>
      <c r="M231" s="2">
        <f>25003/100000</f>
        <v>0.25002999999999997</v>
      </c>
      <c r="N231" s="2">
        <v>0.55238810000000005</v>
      </c>
      <c r="O231" s="4" t="s">
        <v>2068</v>
      </c>
      <c r="P231" s="1">
        <v>2.2400000000000002</v>
      </c>
      <c r="Q231" s="7" t="s">
        <v>2069</v>
      </c>
      <c r="R231" s="2">
        <v>3.0899999999999999E-3</v>
      </c>
      <c r="S231" s="2">
        <f>553/100000</f>
        <v>5.5300000000000002E-3</v>
      </c>
      <c r="T231" s="2">
        <v>5.7716570000000002E-2</v>
      </c>
    </row>
    <row r="232" spans="1:20">
      <c r="A232" s="3" t="s">
        <v>2070</v>
      </c>
      <c r="B232" s="1" t="s">
        <v>2071</v>
      </c>
      <c r="C232" s="3" t="s">
        <v>2072</v>
      </c>
      <c r="D232" s="3" t="s">
        <v>2073</v>
      </c>
      <c r="E232" s="3" t="s">
        <v>2074</v>
      </c>
      <c r="F232" s="3" t="s">
        <v>2075</v>
      </c>
      <c r="G232" s="3" t="s">
        <v>2076</v>
      </c>
      <c r="H232" s="11" t="s">
        <v>8166</v>
      </c>
      <c r="I232" s="3" t="s">
        <v>2077</v>
      </c>
      <c r="J232" s="7">
        <v>0.75</v>
      </c>
      <c r="K232" s="1" t="s">
        <v>2078</v>
      </c>
      <c r="L232" s="2">
        <v>6.83E-2</v>
      </c>
      <c r="M232" s="2">
        <f>7815/100000</f>
        <v>7.8149999999999997E-2</v>
      </c>
      <c r="N232" s="2">
        <v>0.31469979999999997</v>
      </c>
      <c r="O232" s="4" t="s">
        <v>2079</v>
      </c>
      <c r="P232" s="1">
        <v>1.77</v>
      </c>
      <c r="Q232" s="7" t="s">
        <v>2080</v>
      </c>
      <c r="R232" s="2">
        <v>8.23E-7</v>
      </c>
      <c r="S232" s="2" t="s">
        <v>500</v>
      </c>
      <c r="T232" s="2">
        <v>3.517123E-4</v>
      </c>
    </row>
    <row r="233" spans="1:20">
      <c r="A233" s="3" t="s">
        <v>2081</v>
      </c>
      <c r="B233" s="1" t="s">
        <v>2082</v>
      </c>
      <c r="C233" s="3" t="s">
        <v>2083</v>
      </c>
      <c r="D233" s="3" t="s">
        <v>2084</v>
      </c>
      <c r="E233" s="3" t="s">
        <v>2085</v>
      </c>
      <c r="F233" s="3" t="s">
        <v>2086</v>
      </c>
      <c r="G233" s="3" t="s">
        <v>2087</v>
      </c>
      <c r="H233" s="11" t="s">
        <v>8167</v>
      </c>
      <c r="I233" s="3" t="s">
        <v>2088</v>
      </c>
      <c r="J233" s="7">
        <v>1.01</v>
      </c>
      <c r="K233" s="1" t="s">
        <v>2089</v>
      </c>
      <c r="L233" s="2">
        <v>0.95</v>
      </c>
      <c r="M233" s="2">
        <f>100000/100000</f>
        <v>1</v>
      </c>
      <c r="N233" s="2">
        <v>0.82929589999999997</v>
      </c>
      <c r="O233" s="4" t="s">
        <v>2090</v>
      </c>
      <c r="P233" s="1">
        <v>1.62</v>
      </c>
      <c r="Q233" s="7" t="s">
        <v>2091</v>
      </c>
      <c r="R233" s="2">
        <v>1.61E-2</v>
      </c>
      <c r="S233" s="2">
        <f>2060/100000</f>
        <v>2.06E-2</v>
      </c>
      <c r="T233" s="2">
        <v>0.1414184</v>
      </c>
    </row>
    <row r="234" spans="1:20">
      <c r="A234" s="3" t="s">
        <v>2092</v>
      </c>
      <c r="B234" s="1" t="s">
        <v>2093</v>
      </c>
      <c r="C234" s="3" t="s">
        <v>2094</v>
      </c>
      <c r="D234" s="3" t="s">
        <v>2095</v>
      </c>
      <c r="E234" s="3" t="s">
        <v>2096</v>
      </c>
      <c r="F234" s="3" t="s">
        <v>2097</v>
      </c>
      <c r="G234" s="3" t="s">
        <v>2098</v>
      </c>
      <c r="H234" s="11" t="s">
        <v>8161</v>
      </c>
      <c r="I234" s="3" t="s">
        <v>2099</v>
      </c>
      <c r="J234" s="7">
        <v>0.77</v>
      </c>
      <c r="K234" s="1" t="s">
        <v>2100</v>
      </c>
      <c r="L234" s="2">
        <v>0.23200000000000001</v>
      </c>
      <c r="M234" s="2">
        <f>24314/100000</f>
        <v>0.24314</v>
      </c>
      <c r="N234" s="2">
        <v>0.54252389999999995</v>
      </c>
      <c r="O234" s="4" t="s">
        <v>2101</v>
      </c>
      <c r="P234" s="1">
        <v>1.23</v>
      </c>
      <c r="Q234" s="7" t="s">
        <v>2102</v>
      </c>
      <c r="R234" s="2">
        <v>0.35</v>
      </c>
      <c r="S234" s="2">
        <f>39789/100000</f>
        <v>0.39789000000000002</v>
      </c>
      <c r="T234" s="2">
        <v>0.66311810000000004</v>
      </c>
    </row>
    <row r="235" spans="1:20">
      <c r="A235" s="3" t="s">
        <v>2103</v>
      </c>
      <c r="B235" s="1" t="s">
        <v>2104</v>
      </c>
      <c r="C235" s="3" t="s">
        <v>2105</v>
      </c>
      <c r="D235" s="3" t="s">
        <v>2106</v>
      </c>
      <c r="E235" s="3" t="s">
        <v>2107</v>
      </c>
      <c r="F235" s="3" t="s">
        <v>2108</v>
      </c>
      <c r="G235" s="3" t="s">
        <v>2109</v>
      </c>
      <c r="H235" s="11" t="s">
        <v>8168</v>
      </c>
      <c r="I235" s="3" t="s">
        <v>2110</v>
      </c>
      <c r="J235" s="7">
        <v>1.47</v>
      </c>
      <c r="K235" s="1" t="s">
        <v>2111</v>
      </c>
      <c r="L235" s="2">
        <v>0.20599999999999999</v>
      </c>
      <c r="M235" s="2">
        <f>20909/100000</f>
        <v>0.20909</v>
      </c>
      <c r="N235" s="2">
        <v>0.49963449999999998</v>
      </c>
      <c r="O235" s="4" t="s">
        <v>2112</v>
      </c>
      <c r="P235" s="1">
        <v>0.83</v>
      </c>
      <c r="Q235" s="7" t="s">
        <v>2113</v>
      </c>
      <c r="R235" s="2">
        <v>0.48799999999999999</v>
      </c>
      <c r="S235" s="2">
        <f>54023/100000</f>
        <v>0.54022999999999999</v>
      </c>
      <c r="T235" s="2">
        <v>0.74478149999999999</v>
      </c>
    </row>
    <row r="236" spans="1:20">
      <c r="A236" s="3" t="s">
        <v>2114</v>
      </c>
      <c r="B236" s="1" t="s">
        <v>2115</v>
      </c>
      <c r="C236" s="3" t="s">
        <v>2116</v>
      </c>
      <c r="D236" s="3" t="s">
        <v>2117</v>
      </c>
      <c r="E236" s="3" t="s">
        <v>2118</v>
      </c>
      <c r="F236" s="3" t="s">
        <v>2119</v>
      </c>
      <c r="G236" s="3" t="s">
        <v>2120</v>
      </c>
      <c r="H236" s="11" t="s">
        <v>8169</v>
      </c>
      <c r="I236" s="3" t="s">
        <v>2121</v>
      </c>
      <c r="J236" s="7">
        <v>1.2</v>
      </c>
      <c r="K236" s="1" t="s">
        <v>2122</v>
      </c>
      <c r="L236" s="2">
        <v>0.32400000000000001</v>
      </c>
      <c r="M236" s="2">
        <f>32980/100000</f>
        <v>0.32979999999999998</v>
      </c>
      <c r="N236" s="2">
        <v>0.61526179999999997</v>
      </c>
      <c r="O236" s="4" t="s">
        <v>2123</v>
      </c>
      <c r="P236" s="1">
        <v>0.67</v>
      </c>
      <c r="Q236" s="7" t="s">
        <v>2124</v>
      </c>
      <c r="R236" s="2">
        <v>7.6300000000000007E-2</v>
      </c>
      <c r="S236" s="2">
        <f>8570/100000</f>
        <v>8.5699999999999998E-2</v>
      </c>
      <c r="T236" s="2">
        <v>0.33377499999999999</v>
      </c>
    </row>
    <row r="237" spans="1:20">
      <c r="A237" s="3" t="s">
        <v>2125</v>
      </c>
      <c r="B237" s="1" t="s">
        <v>2115</v>
      </c>
      <c r="C237" s="3" t="s">
        <v>2116</v>
      </c>
      <c r="D237" s="3" t="s">
        <v>2126</v>
      </c>
      <c r="E237" s="3" t="s">
        <v>2127</v>
      </c>
      <c r="F237" s="3" t="s">
        <v>2119</v>
      </c>
      <c r="G237" s="3" t="s">
        <v>2120</v>
      </c>
      <c r="H237" s="11" t="s">
        <v>8169</v>
      </c>
      <c r="I237" s="3" t="s">
        <v>2128</v>
      </c>
      <c r="J237" s="7">
        <v>1.17</v>
      </c>
      <c r="K237" s="1" t="s">
        <v>2129</v>
      </c>
      <c r="L237" s="2">
        <v>0.46300000000000002</v>
      </c>
      <c r="M237" s="2">
        <f>48817/100000</f>
        <v>0.48816999999999999</v>
      </c>
      <c r="N237" s="2">
        <v>0.73185750000000005</v>
      </c>
      <c r="O237" s="4" t="s">
        <v>2130</v>
      </c>
      <c r="P237" s="1">
        <v>1.07</v>
      </c>
      <c r="Q237" s="7" t="s">
        <v>2131</v>
      </c>
      <c r="R237" s="2">
        <v>0.76</v>
      </c>
      <c r="S237" s="2">
        <f>82611/100000</f>
        <v>0.82611000000000001</v>
      </c>
      <c r="T237" s="2">
        <v>0.82929589999999997</v>
      </c>
    </row>
    <row r="238" spans="1:20">
      <c r="A238" s="3" t="s">
        <v>2132</v>
      </c>
      <c r="B238" s="1" t="s">
        <v>2133</v>
      </c>
      <c r="C238" s="3" t="s">
        <v>2134</v>
      </c>
      <c r="D238" s="3" t="s">
        <v>2135</v>
      </c>
      <c r="E238" s="3" t="s">
        <v>2136</v>
      </c>
      <c r="F238" s="3" t="s">
        <v>2137</v>
      </c>
      <c r="G238" s="3" t="s">
        <v>2138</v>
      </c>
      <c r="H238" s="11" t="s">
        <v>8087</v>
      </c>
      <c r="I238" s="3" t="s">
        <v>2139</v>
      </c>
      <c r="J238" s="7">
        <v>1.5</v>
      </c>
      <c r="K238" s="1" t="s">
        <v>2140</v>
      </c>
      <c r="L238" s="2">
        <v>1.2E-2</v>
      </c>
      <c r="M238" s="2">
        <f>1424/100000</f>
        <v>1.4239999999999999E-2</v>
      </c>
      <c r="N238" s="2">
        <v>0.1098148</v>
      </c>
      <c r="O238" s="4" t="s">
        <v>2141</v>
      </c>
      <c r="P238" s="1">
        <v>1.03</v>
      </c>
      <c r="Q238" s="7" t="s">
        <v>2142</v>
      </c>
      <c r="R238" s="2">
        <v>0.88600000000000001</v>
      </c>
      <c r="S238" s="2">
        <f>92611/100000</f>
        <v>0.92610999999999999</v>
      </c>
      <c r="T238" s="2">
        <v>0.82929589999999997</v>
      </c>
    </row>
    <row r="239" spans="1:20">
      <c r="A239" s="3" t="s">
        <v>2143</v>
      </c>
      <c r="B239" s="1" t="s">
        <v>2144</v>
      </c>
      <c r="C239" s="3" t="s">
        <v>2145</v>
      </c>
      <c r="D239" s="3" t="s">
        <v>2146</v>
      </c>
      <c r="E239" s="3" t="s">
        <v>2147</v>
      </c>
      <c r="F239" s="3" t="s">
        <v>2148</v>
      </c>
      <c r="G239" s="3" t="s">
        <v>2149</v>
      </c>
      <c r="H239" s="11" t="s">
        <v>8170</v>
      </c>
      <c r="I239" s="3" t="s">
        <v>2150</v>
      </c>
      <c r="J239" s="7">
        <v>1.06</v>
      </c>
      <c r="K239" s="1" t="s">
        <v>2151</v>
      </c>
      <c r="L239" s="2">
        <v>0.81799999999999995</v>
      </c>
      <c r="M239" s="2">
        <f>88905/100000</f>
        <v>0.88905000000000001</v>
      </c>
      <c r="N239" s="2">
        <v>0.82929589999999997</v>
      </c>
      <c r="O239" s="4" t="s">
        <v>2152</v>
      </c>
      <c r="P239" s="1">
        <v>1.51</v>
      </c>
      <c r="Q239" s="7" t="s">
        <v>2153</v>
      </c>
      <c r="R239" s="2">
        <v>5.2200000000000003E-2</v>
      </c>
      <c r="S239" s="2">
        <f>5791/100000</f>
        <v>5.7910000000000003E-2</v>
      </c>
      <c r="T239" s="2">
        <v>0.2640208</v>
      </c>
    </row>
    <row r="240" spans="1:20">
      <c r="A240" s="3" t="s">
        <v>2154</v>
      </c>
      <c r="B240" s="1" t="s">
        <v>2155</v>
      </c>
      <c r="C240" s="3" t="s">
        <v>2156</v>
      </c>
      <c r="D240" s="3" t="s">
        <v>2157</v>
      </c>
      <c r="E240" s="3" t="s">
        <v>2158</v>
      </c>
      <c r="F240" s="3" t="s">
        <v>2159</v>
      </c>
      <c r="G240" s="3" t="s">
        <v>2160</v>
      </c>
      <c r="H240" s="11" t="s">
        <v>8171</v>
      </c>
      <c r="I240" s="3" t="s">
        <v>2161</v>
      </c>
      <c r="J240" s="7">
        <v>0.9</v>
      </c>
      <c r="K240" s="1" t="s">
        <v>2162</v>
      </c>
      <c r="L240" s="2">
        <v>0.47899999999999998</v>
      </c>
      <c r="M240" s="2">
        <f>48685/100000</f>
        <v>0.48685</v>
      </c>
      <c r="N240" s="2">
        <v>0.73078460000000001</v>
      </c>
      <c r="O240" s="4" t="s">
        <v>2163</v>
      </c>
      <c r="P240" s="1">
        <v>1.19</v>
      </c>
      <c r="Q240" s="7" t="s">
        <v>2164</v>
      </c>
      <c r="R240" s="2">
        <v>0.216</v>
      </c>
      <c r="S240" s="2">
        <f>23547/100000</f>
        <v>0.23547000000000001</v>
      </c>
      <c r="T240" s="2">
        <v>0.53442210000000001</v>
      </c>
    </row>
    <row r="241" spans="1:20">
      <c r="A241" s="3" t="s">
        <v>2165</v>
      </c>
      <c r="B241" s="1" t="s">
        <v>2166</v>
      </c>
      <c r="C241" s="3" t="s">
        <v>2167</v>
      </c>
      <c r="D241" s="3" t="s">
        <v>2168</v>
      </c>
      <c r="E241" s="3" t="s">
        <v>2169</v>
      </c>
      <c r="F241" s="3" t="s">
        <v>2170</v>
      </c>
      <c r="G241" s="3" t="s">
        <v>2171</v>
      </c>
      <c r="H241" s="11" t="s">
        <v>8172</v>
      </c>
      <c r="I241" s="3" t="s">
        <v>2172</v>
      </c>
      <c r="J241" s="7">
        <v>1.51</v>
      </c>
      <c r="K241" s="1" t="s">
        <v>2173</v>
      </c>
      <c r="L241" s="2">
        <v>2.6499999999999999E-2</v>
      </c>
      <c r="M241" s="2">
        <f>2923/100000</f>
        <v>2.9229999999999999E-2</v>
      </c>
      <c r="N241" s="2">
        <v>0.17723639999999999</v>
      </c>
      <c r="O241" s="4" t="s">
        <v>2174</v>
      </c>
      <c r="P241" s="1">
        <v>1.08</v>
      </c>
      <c r="Q241" s="7" t="s">
        <v>2175</v>
      </c>
      <c r="R241" s="2">
        <v>0.68799999999999994</v>
      </c>
      <c r="S241" s="2">
        <f>75705/100000</f>
        <v>0.75705</v>
      </c>
      <c r="T241" s="2">
        <v>0.82929589999999997</v>
      </c>
    </row>
    <row r="242" spans="1:20">
      <c r="A242" s="3" t="s">
        <v>2176</v>
      </c>
      <c r="B242" s="1" t="s">
        <v>2166</v>
      </c>
      <c r="C242" s="3" t="s">
        <v>2167</v>
      </c>
      <c r="D242" s="3" t="s">
        <v>2177</v>
      </c>
      <c r="E242" s="3" t="s">
        <v>2178</v>
      </c>
      <c r="F242" s="3" t="s">
        <v>2179</v>
      </c>
      <c r="G242" s="3" t="s">
        <v>2180</v>
      </c>
      <c r="H242" s="11" t="s">
        <v>8173</v>
      </c>
      <c r="I242" s="3" t="s">
        <v>2181</v>
      </c>
      <c r="J242" s="7">
        <v>1.63</v>
      </c>
      <c r="K242" s="1" t="s">
        <v>2182</v>
      </c>
      <c r="L242" s="2">
        <v>5.7500000000000002E-5</v>
      </c>
      <c r="M242" s="2">
        <f>10/100000</f>
        <v>1E-4</v>
      </c>
      <c r="N242" s="2">
        <v>2.542079E-3</v>
      </c>
      <c r="O242" s="4" t="s">
        <v>2183</v>
      </c>
      <c r="P242" s="1">
        <v>0.85</v>
      </c>
      <c r="Q242" s="7" t="s">
        <v>2184</v>
      </c>
      <c r="R242" s="2">
        <v>0.313</v>
      </c>
      <c r="S242" s="2">
        <f>32365/100000</f>
        <v>0.32364999999999999</v>
      </c>
      <c r="T242" s="2">
        <v>0.61041509999999999</v>
      </c>
    </row>
    <row r="243" spans="1:20">
      <c r="A243" s="3" t="s">
        <v>2185</v>
      </c>
      <c r="B243" s="1" t="s">
        <v>2186</v>
      </c>
      <c r="C243" s="3" t="s">
        <v>2187</v>
      </c>
      <c r="D243" s="3" t="s">
        <v>2188</v>
      </c>
      <c r="E243" s="3" t="s">
        <v>2189</v>
      </c>
      <c r="F243" s="3" t="s">
        <v>2190</v>
      </c>
      <c r="G243" s="3" t="s">
        <v>2191</v>
      </c>
      <c r="H243" s="11" t="s">
        <v>8051</v>
      </c>
      <c r="I243" s="3" t="s">
        <v>2192</v>
      </c>
      <c r="J243" s="7">
        <v>1.35</v>
      </c>
      <c r="K243" s="1" t="s">
        <v>2193</v>
      </c>
      <c r="L243" s="2">
        <v>8.5699999999999995E-3</v>
      </c>
      <c r="M243" s="2">
        <f>953/100000</f>
        <v>9.5300000000000003E-3</v>
      </c>
      <c r="N243" s="2">
        <v>8.4373359999999994E-2</v>
      </c>
      <c r="O243" s="4" t="s">
        <v>2194</v>
      </c>
      <c r="P243" s="1">
        <v>1.1100000000000001</v>
      </c>
      <c r="Q243" s="7" t="s">
        <v>1210</v>
      </c>
      <c r="R243" s="2">
        <v>0.40600000000000003</v>
      </c>
      <c r="S243" s="2">
        <f>42073/100000</f>
        <v>0.42072999999999999</v>
      </c>
      <c r="T243" s="2">
        <v>0.67684250000000001</v>
      </c>
    </row>
    <row r="244" spans="1:20">
      <c r="A244" s="3" t="s">
        <v>2195</v>
      </c>
      <c r="B244" s="1" t="s">
        <v>2186</v>
      </c>
      <c r="C244" s="3" t="s">
        <v>2187</v>
      </c>
      <c r="D244" s="3" t="s">
        <v>2196</v>
      </c>
      <c r="E244" s="3" t="s">
        <v>2197</v>
      </c>
      <c r="F244" s="3" t="s">
        <v>2198</v>
      </c>
      <c r="G244" s="3" t="s">
        <v>2199</v>
      </c>
      <c r="H244" s="11" t="s">
        <v>8051</v>
      </c>
      <c r="I244" s="3" t="s">
        <v>2200</v>
      </c>
      <c r="J244" s="7">
        <v>1.58</v>
      </c>
      <c r="K244" s="1" t="s">
        <v>2201</v>
      </c>
      <c r="L244" s="2">
        <v>1.06E-5</v>
      </c>
      <c r="M244" s="2">
        <f>3/100000</f>
        <v>3.0000000000000001E-5</v>
      </c>
      <c r="N244" s="2">
        <v>9.1696430000000003E-4</v>
      </c>
      <c r="O244" s="4" t="s">
        <v>2202</v>
      </c>
      <c r="P244" s="1">
        <v>1.01</v>
      </c>
      <c r="Q244" s="7" t="s">
        <v>2203</v>
      </c>
      <c r="R244" s="2">
        <v>0.95799999999999996</v>
      </c>
      <c r="S244" s="2">
        <f>100000/100000</f>
        <v>1</v>
      </c>
      <c r="T244" s="2">
        <v>0.82929589999999997</v>
      </c>
    </row>
    <row r="245" spans="1:20">
      <c r="A245" s="3" t="s">
        <v>2204</v>
      </c>
      <c r="B245" s="1" t="s">
        <v>2186</v>
      </c>
      <c r="C245" s="3" t="s">
        <v>2187</v>
      </c>
      <c r="D245" s="3" t="s">
        <v>2205</v>
      </c>
      <c r="E245" s="3" t="s">
        <v>2206</v>
      </c>
      <c r="F245" s="3" t="s">
        <v>2207</v>
      </c>
      <c r="G245" s="3" t="s">
        <v>2208</v>
      </c>
      <c r="H245" s="11" t="s">
        <v>8051</v>
      </c>
      <c r="I245" s="3" t="s">
        <v>2209</v>
      </c>
      <c r="J245" s="7">
        <v>1.66</v>
      </c>
      <c r="K245" s="1" t="s">
        <v>2210</v>
      </c>
      <c r="L245" s="2">
        <v>1.17E-5</v>
      </c>
      <c r="M245" s="2">
        <f>2/100000</f>
        <v>2.0000000000000002E-5</v>
      </c>
      <c r="N245" s="2">
        <v>6.5833329999999998E-4</v>
      </c>
      <c r="O245" s="4" t="s">
        <v>2211</v>
      </c>
      <c r="P245" s="1">
        <v>1.1100000000000001</v>
      </c>
      <c r="Q245" s="7" t="s">
        <v>2212</v>
      </c>
      <c r="R245" s="2">
        <v>0.42299999999999999</v>
      </c>
      <c r="S245" s="2">
        <f>42987/100000</f>
        <v>0.42986999999999997</v>
      </c>
      <c r="T245" s="2">
        <v>0.68403040000000004</v>
      </c>
    </row>
    <row r="246" spans="1:20">
      <c r="A246" s="3" t="s">
        <v>2213</v>
      </c>
      <c r="B246" s="1" t="s">
        <v>2186</v>
      </c>
      <c r="C246" s="3" t="s">
        <v>2187</v>
      </c>
      <c r="D246" s="3" t="s">
        <v>2214</v>
      </c>
      <c r="E246" s="3" t="s">
        <v>2215</v>
      </c>
      <c r="F246" s="3" t="s">
        <v>2216</v>
      </c>
      <c r="G246" s="3" t="s">
        <v>2217</v>
      </c>
      <c r="H246" s="11" t="s">
        <v>8051</v>
      </c>
      <c r="I246" s="3" t="s">
        <v>2218</v>
      </c>
      <c r="J246" s="7">
        <v>1.78</v>
      </c>
      <c r="K246" s="1" t="s">
        <v>2219</v>
      </c>
      <c r="L246" s="2">
        <v>7.4199999999999995E-7</v>
      </c>
      <c r="M246" s="2" t="s">
        <v>500</v>
      </c>
      <c r="N246" s="2">
        <v>3.517123E-4</v>
      </c>
      <c r="O246" s="4" t="s">
        <v>2220</v>
      </c>
      <c r="P246" s="1">
        <v>1.1599999999999999</v>
      </c>
      <c r="Q246" s="7" t="s">
        <v>2221</v>
      </c>
      <c r="R246" s="2">
        <v>0.251</v>
      </c>
      <c r="S246" s="2">
        <f>27989/100000</f>
        <v>0.27989000000000003</v>
      </c>
      <c r="T246" s="2">
        <v>0.56965129999999997</v>
      </c>
    </row>
    <row r="247" spans="1:20">
      <c r="A247" s="3" t="s">
        <v>2222</v>
      </c>
      <c r="B247" s="1" t="s">
        <v>2186</v>
      </c>
      <c r="C247" s="3" t="s">
        <v>2187</v>
      </c>
      <c r="D247" s="3" t="s">
        <v>2223</v>
      </c>
      <c r="E247" s="3" t="s">
        <v>2224</v>
      </c>
      <c r="F247" s="3" t="s">
        <v>2225</v>
      </c>
      <c r="G247" s="3" t="s">
        <v>2226</v>
      </c>
      <c r="H247" s="11" t="s">
        <v>8051</v>
      </c>
      <c r="I247" s="3" t="s">
        <v>2227</v>
      </c>
      <c r="J247" s="7">
        <v>1.64</v>
      </c>
      <c r="K247" s="1" t="s">
        <v>2228</v>
      </c>
      <c r="L247" s="2">
        <v>5.2899999999999998E-5</v>
      </c>
      <c r="M247" s="2">
        <f>19/100000</f>
        <v>1.9000000000000001E-4</v>
      </c>
      <c r="N247" s="2">
        <v>4.4347730000000004E-3</v>
      </c>
      <c r="O247" s="4" t="s">
        <v>2229</v>
      </c>
      <c r="P247" s="1">
        <v>0.97</v>
      </c>
      <c r="Q247" s="7" t="s">
        <v>2230</v>
      </c>
      <c r="R247" s="2">
        <v>0.83799999999999997</v>
      </c>
      <c r="S247" s="2">
        <f>88780/100000</f>
        <v>0.88780000000000003</v>
      </c>
      <c r="T247" s="2">
        <v>0.82929589999999997</v>
      </c>
    </row>
    <row r="248" spans="1:20">
      <c r="A248" s="3" t="s">
        <v>2231</v>
      </c>
      <c r="B248" s="1" t="s">
        <v>2186</v>
      </c>
      <c r="C248" s="3" t="s">
        <v>2187</v>
      </c>
      <c r="D248" s="3" t="s">
        <v>2232</v>
      </c>
      <c r="E248" s="3" t="s">
        <v>2233</v>
      </c>
      <c r="F248" s="3" t="s">
        <v>2234</v>
      </c>
      <c r="G248" s="3" t="s">
        <v>2235</v>
      </c>
      <c r="H248" s="11" t="s">
        <v>8051</v>
      </c>
      <c r="I248" s="3" t="s">
        <v>2236</v>
      </c>
      <c r="J248" s="7">
        <v>1.94</v>
      </c>
      <c r="K248" s="1" t="s">
        <v>2237</v>
      </c>
      <c r="L248" s="2">
        <v>3.3099999999999999E-9</v>
      </c>
      <c r="M248" s="2" t="s">
        <v>500</v>
      </c>
      <c r="N248" s="2">
        <v>3.517123E-4</v>
      </c>
      <c r="O248" s="4" t="s">
        <v>2238</v>
      </c>
      <c r="P248" s="1">
        <v>1.1200000000000001</v>
      </c>
      <c r="Q248" s="7" t="s">
        <v>2239</v>
      </c>
      <c r="R248" s="2">
        <v>0.40799999999999997</v>
      </c>
      <c r="S248" s="2">
        <f>43394/100000</f>
        <v>0.43393999999999999</v>
      </c>
      <c r="T248" s="2">
        <v>0.68614220000000004</v>
      </c>
    </row>
    <row r="249" spans="1:20">
      <c r="A249" s="3" t="s">
        <v>2240</v>
      </c>
      <c r="B249" s="1" t="s">
        <v>2186</v>
      </c>
      <c r="C249" s="3" t="s">
        <v>2187</v>
      </c>
      <c r="D249" s="3" t="s">
        <v>2241</v>
      </c>
      <c r="E249" s="3" t="s">
        <v>2242</v>
      </c>
      <c r="F249" s="3" t="s">
        <v>2243</v>
      </c>
      <c r="G249" s="3" t="s">
        <v>2244</v>
      </c>
      <c r="H249" s="11" t="s">
        <v>8051</v>
      </c>
      <c r="I249" s="3" t="s">
        <v>2245</v>
      </c>
      <c r="J249" s="7">
        <v>1.75</v>
      </c>
      <c r="K249" s="1" t="s">
        <v>2246</v>
      </c>
      <c r="L249" s="2">
        <v>2.5400000000000002E-7</v>
      </c>
      <c r="M249" s="2" t="s">
        <v>500</v>
      </c>
      <c r="N249" s="2">
        <v>3.517123E-4</v>
      </c>
      <c r="O249" s="4" t="s">
        <v>2247</v>
      </c>
      <c r="P249" s="1">
        <v>1.01</v>
      </c>
      <c r="Q249" s="7" t="s">
        <v>2248</v>
      </c>
      <c r="R249" s="2">
        <v>0.92600000000000005</v>
      </c>
      <c r="S249" s="2">
        <f>94898/100000</f>
        <v>0.94898000000000005</v>
      </c>
      <c r="T249" s="2">
        <v>0.82929589999999997</v>
      </c>
    </row>
    <row r="250" spans="1:20">
      <c r="A250" s="3" t="s">
        <v>2249</v>
      </c>
      <c r="B250" s="1" t="s">
        <v>2250</v>
      </c>
      <c r="C250" s="3" t="s">
        <v>2251</v>
      </c>
      <c r="D250" s="3" t="s">
        <v>2252</v>
      </c>
      <c r="E250" s="3" t="s">
        <v>2253</v>
      </c>
      <c r="F250" s="3" t="s">
        <v>2254</v>
      </c>
      <c r="G250" s="3" t="s">
        <v>2255</v>
      </c>
      <c r="H250" s="11" t="s">
        <v>8174</v>
      </c>
      <c r="I250" s="3" t="s">
        <v>2256</v>
      </c>
      <c r="J250" s="7">
        <v>1.08</v>
      </c>
      <c r="K250" s="1" t="s">
        <v>2175</v>
      </c>
      <c r="L250" s="2">
        <v>0.70799999999999996</v>
      </c>
      <c r="M250" s="2">
        <f>75473/100000</f>
        <v>0.75473000000000001</v>
      </c>
      <c r="N250" s="2">
        <v>0.82929589999999997</v>
      </c>
      <c r="O250" s="4" t="s">
        <v>2257</v>
      </c>
      <c r="P250" s="1">
        <v>0.79</v>
      </c>
      <c r="Q250" s="7" t="s">
        <v>2258</v>
      </c>
      <c r="R250" s="2">
        <v>0.41899999999999998</v>
      </c>
      <c r="S250" s="2">
        <f>42950/100000</f>
        <v>0.42949999999999999</v>
      </c>
      <c r="T250" s="2">
        <v>0.68403040000000004</v>
      </c>
    </row>
    <row r="251" spans="1:20">
      <c r="A251" s="3" t="s">
        <v>2259</v>
      </c>
      <c r="B251" s="1" t="s">
        <v>2250</v>
      </c>
      <c r="C251" s="3" t="s">
        <v>2251</v>
      </c>
      <c r="D251" s="3" t="s">
        <v>2260</v>
      </c>
      <c r="E251" s="3" t="s">
        <v>2261</v>
      </c>
      <c r="F251" s="3" t="s">
        <v>2262</v>
      </c>
      <c r="G251" s="3" t="s">
        <v>2263</v>
      </c>
      <c r="H251" s="11" t="s">
        <v>8174</v>
      </c>
      <c r="I251" s="3" t="s">
        <v>2264</v>
      </c>
      <c r="J251" s="7">
        <v>0.53</v>
      </c>
      <c r="K251" s="1" t="s">
        <v>2265</v>
      </c>
      <c r="L251" s="2">
        <v>5.6300000000000002E-4</v>
      </c>
      <c r="M251" s="2">
        <f>77/100000</f>
        <v>7.6999999999999996E-4</v>
      </c>
      <c r="N251" s="2">
        <v>1.363431E-2</v>
      </c>
      <c r="O251" s="4" t="s">
        <v>2266</v>
      </c>
      <c r="P251" s="1">
        <v>1.27</v>
      </c>
      <c r="Q251" s="7" t="s">
        <v>2267</v>
      </c>
      <c r="R251" s="2">
        <v>6.5100000000000005E-2</v>
      </c>
      <c r="S251" s="2">
        <f>7280/100000</f>
        <v>7.2800000000000004E-2</v>
      </c>
      <c r="T251" s="2">
        <v>0.30384860000000002</v>
      </c>
    </row>
    <row r="252" spans="1:20">
      <c r="A252" s="3" t="s">
        <v>2268</v>
      </c>
      <c r="B252" s="1" t="s">
        <v>2250</v>
      </c>
      <c r="C252" s="3" t="s">
        <v>2251</v>
      </c>
      <c r="D252" s="3" t="s">
        <v>2269</v>
      </c>
      <c r="E252" s="3" t="s">
        <v>2270</v>
      </c>
      <c r="F252" s="3" t="s">
        <v>2271</v>
      </c>
      <c r="G252" s="3" t="s">
        <v>2272</v>
      </c>
      <c r="H252" s="11" t="s">
        <v>8174</v>
      </c>
      <c r="I252" s="3" t="s">
        <v>2273</v>
      </c>
      <c r="J252" s="7">
        <v>1.19</v>
      </c>
      <c r="K252" s="1" t="s">
        <v>2274</v>
      </c>
      <c r="L252" s="2">
        <v>0.184</v>
      </c>
      <c r="M252" s="2">
        <f>20389/100000</f>
        <v>0.20388999999999999</v>
      </c>
      <c r="N252" s="2">
        <v>0.49180279999999998</v>
      </c>
      <c r="O252" s="4" t="s">
        <v>2275</v>
      </c>
      <c r="P252" s="1">
        <v>0.41</v>
      </c>
      <c r="Q252" s="7" t="s">
        <v>2276</v>
      </c>
      <c r="R252" s="2">
        <v>2.8500000000000002E-5</v>
      </c>
      <c r="S252" s="2">
        <f>4/100000</f>
        <v>4.0000000000000003E-5</v>
      </c>
      <c r="T252" s="2">
        <v>1.167045E-3</v>
      </c>
    </row>
    <row r="253" spans="1:20">
      <c r="A253" s="3" t="s">
        <v>2277</v>
      </c>
      <c r="B253" s="1" t="s">
        <v>2278</v>
      </c>
      <c r="C253" s="3" t="s">
        <v>2279</v>
      </c>
      <c r="D253" s="3" t="s">
        <v>2280</v>
      </c>
      <c r="E253" s="3" t="s">
        <v>2281</v>
      </c>
      <c r="F253" s="3" t="s">
        <v>2282</v>
      </c>
      <c r="G253" s="3" t="s">
        <v>2283</v>
      </c>
      <c r="H253" s="11" t="s">
        <v>8175</v>
      </c>
      <c r="I253" s="3" t="s">
        <v>2284</v>
      </c>
      <c r="J253" s="7">
        <v>0.64</v>
      </c>
      <c r="K253" s="1" t="s">
        <v>2285</v>
      </c>
      <c r="L253" s="2">
        <v>0.188</v>
      </c>
      <c r="M253" s="2">
        <f>20792/100000</f>
        <v>0.20791999999999999</v>
      </c>
      <c r="N253" s="2">
        <v>0.49863679999999999</v>
      </c>
      <c r="O253" s="4" t="s">
        <v>2286</v>
      </c>
      <c r="P253" s="1">
        <v>0.97</v>
      </c>
      <c r="Q253" s="7" t="s">
        <v>2287</v>
      </c>
      <c r="R253" s="2">
        <v>0.91800000000000004</v>
      </c>
      <c r="S253" s="2">
        <f>100000/100000</f>
        <v>1</v>
      </c>
      <c r="T253" s="2">
        <v>0.82929589999999997</v>
      </c>
    </row>
    <row r="254" spans="1:20">
      <c r="A254" s="3" t="s">
        <v>2288</v>
      </c>
      <c r="B254" s="1" t="s">
        <v>2289</v>
      </c>
      <c r="C254" s="3" t="s">
        <v>2290</v>
      </c>
      <c r="D254" s="3" t="s">
        <v>2291</v>
      </c>
      <c r="E254" s="3" t="s">
        <v>2292</v>
      </c>
      <c r="F254" s="3" t="s">
        <v>2293</v>
      </c>
      <c r="G254" s="3" t="s">
        <v>2294</v>
      </c>
      <c r="H254" s="11" t="s">
        <v>8176</v>
      </c>
      <c r="I254" s="3" t="s">
        <v>2295</v>
      </c>
      <c r="J254" s="7">
        <v>0.88</v>
      </c>
      <c r="K254" s="1" t="s">
        <v>691</v>
      </c>
      <c r="L254" s="2">
        <v>0.66700000000000004</v>
      </c>
      <c r="M254" s="2">
        <f>67984/100000</f>
        <v>0.67984</v>
      </c>
      <c r="N254" s="2">
        <v>0.81053850000000005</v>
      </c>
      <c r="O254" s="4" t="s">
        <v>2296</v>
      </c>
      <c r="P254" s="1">
        <v>1.0900000000000001</v>
      </c>
      <c r="Q254" s="7" t="s">
        <v>2297</v>
      </c>
      <c r="R254" s="2">
        <v>0.77300000000000002</v>
      </c>
      <c r="S254" s="2">
        <f>87634/100000</f>
        <v>0.87634000000000001</v>
      </c>
      <c r="T254" s="2">
        <v>0.82929589999999997</v>
      </c>
    </row>
    <row r="255" spans="1:20">
      <c r="A255" s="3" t="s">
        <v>2298</v>
      </c>
      <c r="B255" s="1" t="s">
        <v>2299</v>
      </c>
      <c r="C255" s="3" t="s">
        <v>2300</v>
      </c>
      <c r="D255" s="3" t="s">
        <v>2301</v>
      </c>
      <c r="E255" s="3" t="s">
        <v>2302</v>
      </c>
      <c r="F255" s="3" t="s">
        <v>2303</v>
      </c>
      <c r="G255" s="3" t="s">
        <v>2304</v>
      </c>
      <c r="H255" s="11" t="s">
        <v>8114</v>
      </c>
      <c r="I255" s="3" t="s">
        <v>2305</v>
      </c>
      <c r="J255" s="7">
        <v>0.73</v>
      </c>
      <c r="K255" s="1" t="s">
        <v>2306</v>
      </c>
      <c r="L255" s="2">
        <v>1.2899999999999999E-4</v>
      </c>
      <c r="M255" s="2">
        <f>10/100000</f>
        <v>1E-4</v>
      </c>
      <c r="N255" s="2">
        <v>2.542079E-3</v>
      </c>
      <c r="O255" s="4" t="s">
        <v>2307</v>
      </c>
      <c r="P255" s="1">
        <v>1.52</v>
      </c>
      <c r="Q255" s="7" t="s">
        <v>2308</v>
      </c>
      <c r="R255" s="2">
        <v>7.0800000000000004E-10</v>
      </c>
      <c r="S255" s="2" t="s">
        <v>500</v>
      </c>
      <c r="T255" s="2">
        <v>3.517123E-4</v>
      </c>
    </row>
    <row r="256" spans="1:20">
      <c r="A256" s="3" t="s">
        <v>2309</v>
      </c>
      <c r="B256" s="1" t="s">
        <v>2310</v>
      </c>
      <c r="C256" s="3" t="s">
        <v>2311</v>
      </c>
      <c r="D256" s="3" t="s">
        <v>2312</v>
      </c>
      <c r="E256" s="3" t="s">
        <v>2313</v>
      </c>
      <c r="F256" s="3" t="s">
        <v>2314</v>
      </c>
      <c r="G256" s="3" t="s">
        <v>2315</v>
      </c>
      <c r="H256" s="11" t="s">
        <v>8177</v>
      </c>
      <c r="I256" s="3" t="s">
        <v>2316</v>
      </c>
      <c r="J256" s="7">
        <v>0.7</v>
      </c>
      <c r="K256" s="1" t="s">
        <v>2317</v>
      </c>
      <c r="L256" s="2">
        <v>0.13200000000000001</v>
      </c>
      <c r="M256" s="2">
        <f>14676/100000</f>
        <v>0.14676</v>
      </c>
      <c r="N256" s="2">
        <v>0.41889290000000001</v>
      </c>
      <c r="O256" s="4" t="s">
        <v>2318</v>
      </c>
      <c r="P256" s="1">
        <v>1.38</v>
      </c>
      <c r="Q256" s="7" t="s">
        <v>2319</v>
      </c>
      <c r="R256" s="2">
        <v>8.7900000000000006E-2</v>
      </c>
      <c r="S256" s="2">
        <f>10313/100000</f>
        <v>0.10313</v>
      </c>
      <c r="T256" s="2">
        <v>0.36176809999999998</v>
      </c>
    </row>
    <row r="257" spans="1:20">
      <c r="A257" s="3" t="s">
        <v>2320</v>
      </c>
      <c r="B257" s="1" t="s">
        <v>2310</v>
      </c>
      <c r="C257" s="3" t="s">
        <v>2311</v>
      </c>
      <c r="D257" s="3" t="s">
        <v>2321</v>
      </c>
      <c r="E257" s="3" t="s">
        <v>2322</v>
      </c>
      <c r="F257" s="3" t="s">
        <v>2323</v>
      </c>
      <c r="G257" s="3" t="s">
        <v>2324</v>
      </c>
      <c r="H257" s="11" t="s">
        <v>8177</v>
      </c>
      <c r="I257" s="3" t="s">
        <v>2325</v>
      </c>
      <c r="J257" s="7">
        <v>1.1000000000000001</v>
      </c>
      <c r="K257" s="1" t="s">
        <v>2326</v>
      </c>
      <c r="L257" s="2">
        <v>0.622</v>
      </c>
      <c r="M257" s="2">
        <f>67699/100000</f>
        <v>0.67698999999999998</v>
      </c>
      <c r="N257" s="2">
        <v>0.80846399999999996</v>
      </c>
      <c r="O257" s="4" t="s">
        <v>2327</v>
      </c>
      <c r="P257" s="1">
        <v>1.37</v>
      </c>
      <c r="Q257" s="7" t="s">
        <v>2328</v>
      </c>
      <c r="R257" s="2">
        <v>0.10299999999999999</v>
      </c>
      <c r="S257" s="2">
        <f>12695/100000</f>
        <v>0.12695000000000001</v>
      </c>
      <c r="T257" s="2">
        <v>0.39428360000000001</v>
      </c>
    </row>
    <row r="258" spans="1:20">
      <c r="A258" s="3" t="s">
        <v>2329</v>
      </c>
      <c r="B258" s="1" t="s">
        <v>2330</v>
      </c>
      <c r="C258" s="3" t="s">
        <v>2331</v>
      </c>
      <c r="D258" s="3" t="s">
        <v>2332</v>
      </c>
      <c r="E258" s="3" t="s">
        <v>2333</v>
      </c>
      <c r="F258" s="3" t="s">
        <v>2334</v>
      </c>
      <c r="G258" s="3" t="s">
        <v>2335</v>
      </c>
      <c r="H258" s="11" t="s">
        <v>8178</v>
      </c>
      <c r="I258" s="3" t="s">
        <v>2336</v>
      </c>
      <c r="J258" s="7">
        <v>0.62</v>
      </c>
      <c r="K258" s="1" t="s">
        <v>2337</v>
      </c>
      <c r="L258" s="2">
        <v>0.35199999999999998</v>
      </c>
      <c r="M258" s="2">
        <f>41589/100000</f>
        <v>0.41588999999999998</v>
      </c>
      <c r="N258" s="2">
        <v>0.67386749999999995</v>
      </c>
      <c r="O258" s="4" t="s">
        <v>2338</v>
      </c>
      <c r="P258" s="1">
        <v>1.26</v>
      </c>
      <c r="Q258" s="7" t="s">
        <v>2339</v>
      </c>
      <c r="R258" s="2">
        <v>0.56100000000000005</v>
      </c>
      <c r="S258" s="2">
        <f>66028/100000</f>
        <v>0.66027999999999998</v>
      </c>
      <c r="T258" s="2">
        <v>0.80511429999999995</v>
      </c>
    </row>
    <row r="259" spans="1:20">
      <c r="A259" s="3" t="s">
        <v>2340</v>
      </c>
      <c r="B259" s="1" t="s">
        <v>2330</v>
      </c>
      <c r="C259" s="3" t="s">
        <v>2331</v>
      </c>
      <c r="D259" s="3" t="s">
        <v>2341</v>
      </c>
      <c r="E259" s="3" t="s">
        <v>2342</v>
      </c>
      <c r="F259" s="3" t="s">
        <v>2334</v>
      </c>
      <c r="G259" s="3" t="s">
        <v>2335</v>
      </c>
      <c r="H259" s="11" t="s">
        <v>8150</v>
      </c>
      <c r="I259" s="3" t="s">
        <v>2343</v>
      </c>
      <c r="J259" s="7">
        <v>0.61</v>
      </c>
      <c r="K259" s="1" t="s">
        <v>2344</v>
      </c>
      <c r="L259" s="2">
        <v>0.49099999999999999</v>
      </c>
      <c r="M259" s="2">
        <f>58340/100000</f>
        <v>0.58340000000000003</v>
      </c>
      <c r="N259" s="2">
        <v>0.77316759999999995</v>
      </c>
      <c r="O259" s="4" t="s">
        <v>2345</v>
      </c>
      <c r="P259" s="1">
        <v>1.73</v>
      </c>
      <c r="Q259" s="7" t="s">
        <v>2346</v>
      </c>
      <c r="R259" s="2">
        <v>0.24399999999999999</v>
      </c>
      <c r="S259" s="2">
        <f>36895/100000</f>
        <v>0.36895</v>
      </c>
      <c r="T259" s="2">
        <v>0.64405679999999998</v>
      </c>
    </row>
    <row r="260" spans="1:20">
      <c r="A260" s="3" t="s">
        <v>2347</v>
      </c>
      <c r="B260" s="1" t="s">
        <v>2330</v>
      </c>
      <c r="C260" s="3" t="s">
        <v>2331</v>
      </c>
      <c r="D260" s="3" t="s">
        <v>2332</v>
      </c>
      <c r="E260" s="3" t="s">
        <v>2333</v>
      </c>
      <c r="F260" s="3" t="s">
        <v>2341</v>
      </c>
      <c r="G260" s="3" t="s">
        <v>2342</v>
      </c>
      <c r="H260" s="11" t="s">
        <v>8178</v>
      </c>
      <c r="I260" s="3" t="s">
        <v>2348</v>
      </c>
      <c r="J260" s="7">
        <v>0.82</v>
      </c>
      <c r="K260" s="1" t="s">
        <v>2349</v>
      </c>
      <c r="L260" s="2">
        <v>0.63700000000000001</v>
      </c>
      <c r="M260" s="2">
        <f>70367/100000</f>
        <v>0.70367000000000002</v>
      </c>
      <c r="N260" s="2">
        <v>0.82137769999999999</v>
      </c>
      <c r="O260" s="4" t="s">
        <v>2350</v>
      </c>
      <c r="P260" s="1">
        <v>1.05</v>
      </c>
      <c r="Q260" s="7" t="s">
        <v>2351</v>
      </c>
      <c r="R260" s="2">
        <v>0.89</v>
      </c>
      <c r="S260" s="2">
        <f>100000/100000</f>
        <v>1</v>
      </c>
      <c r="T260" s="2">
        <v>0.82929589999999997</v>
      </c>
    </row>
    <row r="261" spans="1:20">
      <c r="A261" s="3" t="s">
        <v>2352</v>
      </c>
      <c r="B261" s="1" t="s">
        <v>2353</v>
      </c>
      <c r="C261" s="3" t="s">
        <v>2354</v>
      </c>
      <c r="D261" s="3" t="s">
        <v>2355</v>
      </c>
      <c r="E261" s="3" t="s">
        <v>2356</v>
      </c>
      <c r="F261" s="3" t="s">
        <v>2357</v>
      </c>
      <c r="G261" s="3" t="s">
        <v>2358</v>
      </c>
      <c r="H261" s="11" t="s">
        <v>8179</v>
      </c>
      <c r="I261" s="3" t="s">
        <v>2359</v>
      </c>
      <c r="J261" s="7">
        <v>0.86</v>
      </c>
      <c r="K261" s="1" t="s">
        <v>2360</v>
      </c>
      <c r="L261" s="2">
        <v>0.54300000000000004</v>
      </c>
      <c r="M261" s="2">
        <f>56989/100000</f>
        <v>0.56989000000000001</v>
      </c>
      <c r="N261" s="2">
        <v>0.76341939999999997</v>
      </c>
      <c r="O261" s="4" t="s">
        <v>2361</v>
      </c>
      <c r="P261" s="1">
        <v>0.59</v>
      </c>
      <c r="Q261" s="7" t="s">
        <v>2362</v>
      </c>
      <c r="R261" s="2">
        <v>6.2100000000000002E-2</v>
      </c>
      <c r="S261" s="2">
        <f>6958/100000</f>
        <v>6.9580000000000003E-2</v>
      </c>
      <c r="T261" s="2">
        <v>0.2958576</v>
      </c>
    </row>
    <row r="262" spans="1:20">
      <c r="A262" s="3" t="s">
        <v>2363</v>
      </c>
      <c r="B262" s="1" t="s">
        <v>2364</v>
      </c>
      <c r="C262" s="3" t="s">
        <v>2365</v>
      </c>
      <c r="D262" s="3" t="s">
        <v>2366</v>
      </c>
      <c r="E262" s="3" t="s">
        <v>2367</v>
      </c>
      <c r="F262" s="3" t="s">
        <v>2368</v>
      </c>
      <c r="G262" s="3" t="s">
        <v>2369</v>
      </c>
      <c r="H262" s="11" t="s">
        <v>8180</v>
      </c>
      <c r="I262" s="3" t="s">
        <v>2370</v>
      </c>
      <c r="J262" s="7">
        <v>1.04</v>
      </c>
      <c r="K262" s="1" t="s">
        <v>2371</v>
      </c>
      <c r="L262" s="2">
        <v>0.84599999999999997</v>
      </c>
      <c r="M262" s="2">
        <f>91905/100000</f>
        <v>0.91905000000000003</v>
      </c>
      <c r="N262" s="2">
        <v>0.82929589999999997</v>
      </c>
      <c r="O262" s="4" t="s">
        <v>2372</v>
      </c>
      <c r="P262" s="1">
        <v>1.17</v>
      </c>
      <c r="Q262" s="7" t="s">
        <v>2373</v>
      </c>
      <c r="R262" s="2">
        <v>0.33500000000000002</v>
      </c>
      <c r="S262" s="2">
        <f>37634/100000</f>
        <v>0.37634000000000001</v>
      </c>
      <c r="T262" s="2">
        <v>0.65084330000000001</v>
      </c>
    </row>
    <row r="263" spans="1:20">
      <c r="A263" s="3" t="s">
        <v>2374</v>
      </c>
      <c r="B263" s="1" t="s">
        <v>2375</v>
      </c>
      <c r="C263" s="3" t="s">
        <v>2376</v>
      </c>
      <c r="D263" s="3" t="s">
        <v>2377</v>
      </c>
      <c r="E263" s="3" t="s">
        <v>2378</v>
      </c>
      <c r="F263" s="3" t="s">
        <v>2379</v>
      </c>
      <c r="G263" s="3" t="s">
        <v>2380</v>
      </c>
      <c r="H263" s="11" t="s">
        <v>8181</v>
      </c>
      <c r="I263" s="3" t="s">
        <v>2381</v>
      </c>
      <c r="J263" s="7">
        <v>0.89</v>
      </c>
      <c r="K263" s="1" t="s">
        <v>2382</v>
      </c>
      <c r="L263" s="2">
        <v>0.316</v>
      </c>
      <c r="M263" s="2">
        <f>33820/100000</f>
        <v>0.3382</v>
      </c>
      <c r="N263" s="2">
        <v>0.61526179999999997</v>
      </c>
      <c r="O263" s="4" t="s">
        <v>2383</v>
      </c>
      <c r="P263" s="1">
        <v>0.95</v>
      </c>
      <c r="Q263" s="7" t="s">
        <v>2384</v>
      </c>
      <c r="R263" s="2">
        <v>0.65100000000000002</v>
      </c>
      <c r="S263" s="2">
        <f>67226/100000</f>
        <v>0.67225999999999997</v>
      </c>
      <c r="T263" s="2">
        <v>0.80511429999999995</v>
      </c>
    </row>
    <row r="264" spans="1:20">
      <c r="A264" s="3" t="s">
        <v>2385</v>
      </c>
      <c r="B264" s="1" t="s">
        <v>2375</v>
      </c>
      <c r="C264" s="3" t="s">
        <v>2376</v>
      </c>
      <c r="D264" s="3" t="s">
        <v>2386</v>
      </c>
      <c r="E264" s="3" t="s">
        <v>2387</v>
      </c>
      <c r="F264" s="3" t="s">
        <v>2379</v>
      </c>
      <c r="G264" s="3" t="s">
        <v>2380</v>
      </c>
      <c r="H264" s="11" t="s">
        <v>8181</v>
      </c>
      <c r="I264" s="3" t="s">
        <v>2388</v>
      </c>
      <c r="J264" s="7">
        <v>0.81</v>
      </c>
      <c r="K264" s="1" t="s">
        <v>2389</v>
      </c>
      <c r="L264" s="2">
        <v>0.108</v>
      </c>
      <c r="M264" s="2">
        <f>11530/100000</f>
        <v>0.1153</v>
      </c>
      <c r="N264" s="2">
        <v>0.38000319999999999</v>
      </c>
      <c r="O264" s="4" t="s">
        <v>2390</v>
      </c>
      <c r="P264" s="1">
        <v>1.01</v>
      </c>
      <c r="Q264" s="7" t="s">
        <v>2391</v>
      </c>
      <c r="R264" s="2">
        <v>0.92800000000000005</v>
      </c>
      <c r="S264" s="2">
        <f>94323/100000</f>
        <v>0.94323000000000001</v>
      </c>
      <c r="T264" s="2">
        <v>0.82929589999999997</v>
      </c>
    </row>
    <row r="265" spans="1:20">
      <c r="A265" s="3" t="s">
        <v>2392</v>
      </c>
      <c r="B265" s="1" t="s">
        <v>2393</v>
      </c>
      <c r="C265" s="3" t="s">
        <v>2394</v>
      </c>
      <c r="D265" s="3" t="s">
        <v>2395</v>
      </c>
      <c r="E265" s="3" t="s">
        <v>2396</v>
      </c>
      <c r="F265" s="3" t="s">
        <v>2397</v>
      </c>
      <c r="G265" s="3" t="s">
        <v>2398</v>
      </c>
      <c r="H265" s="11" t="s">
        <v>8182</v>
      </c>
      <c r="I265" s="3" t="s">
        <v>2399</v>
      </c>
      <c r="J265" s="7">
        <v>0.73</v>
      </c>
      <c r="K265" s="1" t="s">
        <v>2400</v>
      </c>
      <c r="L265" s="2">
        <v>9.8299999999999998E-2</v>
      </c>
      <c r="M265" s="2">
        <f>11079/100000</f>
        <v>0.11079</v>
      </c>
      <c r="N265" s="2">
        <v>0.3740059</v>
      </c>
      <c r="O265" s="4" t="s">
        <v>2401</v>
      </c>
      <c r="P265" s="1">
        <v>1.1599999999999999</v>
      </c>
      <c r="Q265" s="7" t="s">
        <v>2402</v>
      </c>
      <c r="R265" s="2">
        <v>0.379</v>
      </c>
      <c r="S265" s="2">
        <f>41544/100000</f>
        <v>0.41543999999999998</v>
      </c>
      <c r="T265" s="2">
        <v>0.67352239999999997</v>
      </c>
    </row>
    <row r="266" spans="1:20">
      <c r="A266" s="3" t="s">
        <v>2403</v>
      </c>
      <c r="B266" s="1" t="s">
        <v>2393</v>
      </c>
      <c r="C266" s="3" t="s">
        <v>2394</v>
      </c>
      <c r="D266" s="3" t="s">
        <v>2404</v>
      </c>
      <c r="E266" s="3" t="s">
        <v>2405</v>
      </c>
      <c r="F266" s="3" t="s">
        <v>2397</v>
      </c>
      <c r="G266" s="3" t="s">
        <v>2398</v>
      </c>
      <c r="H266" s="11" t="s">
        <v>8088</v>
      </c>
      <c r="I266" s="3" t="s">
        <v>2406</v>
      </c>
      <c r="J266" s="7">
        <v>1.1499999999999999</v>
      </c>
      <c r="K266" s="1" t="s">
        <v>1533</v>
      </c>
      <c r="L266" s="2">
        <v>0.504</v>
      </c>
      <c r="M266" s="2">
        <f>57589/100000</f>
        <v>0.57589000000000001</v>
      </c>
      <c r="N266" s="2">
        <v>0.76719190000000004</v>
      </c>
      <c r="O266" s="4" t="s">
        <v>2407</v>
      </c>
      <c r="P266" s="1">
        <v>1.4</v>
      </c>
      <c r="Q266" s="7" t="s">
        <v>2408</v>
      </c>
      <c r="R266" s="2">
        <v>7.1800000000000003E-2</v>
      </c>
      <c r="S266" s="2">
        <f>8701/100000</f>
        <v>8.7010000000000004E-2</v>
      </c>
      <c r="T266" s="2">
        <v>0.33527620000000002</v>
      </c>
    </row>
    <row r="267" spans="1:20">
      <c r="A267" s="3" t="s">
        <v>2409</v>
      </c>
      <c r="B267" s="1" t="s">
        <v>2393</v>
      </c>
      <c r="C267" s="3" t="s">
        <v>2394</v>
      </c>
      <c r="D267" s="3" t="s">
        <v>2410</v>
      </c>
      <c r="E267" s="3" t="s">
        <v>2411</v>
      </c>
      <c r="F267" s="3" t="s">
        <v>2397</v>
      </c>
      <c r="G267" s="3" t="s">
        <v>2398</v>
      </c>
      <c r="H267" s="11" t="s">
        <v>8182</v>
      </c>
      <c r="I267" s="3" t="s">
        <v>2412</v>
      </c>
      <c r="J267" s="7">
        <v>1.05</v>
      </c>
      <c r="K267" s="1" t="s">
        <v>2413</v>
      </c>
      <c r="L267" s="2">
        <v>0.8</v>
      </c>
      <c r="M267" s="2">
        <f>83026/100000</f>
        <v>0.83026</v>
      </c>
      <c r="N267" s="2">
        <v>0.82929589999999997</v>
      </c>
      <c r="O267" s="4" t="s">
        <v>2414</v>
      </c>
      <c r="P267" s="1">
        <v>1</v>
      </c>
      <c r="Q267" s="7" t="s">
        <v>2415</v>
      </c>
      <c r="R267" s="2">
        <v>0.99299999999999999</v>
      </c>
      <c r="S267" s="2">
        <f>100000/100000</f>
        <v>1</v>
      </c>
      <c r="T267" s="2">
        <v>0.82929589999999997</v>
      </c>
    </row>
    <row r="268" spans="1:20">
      <c r="A268" s="3" t="s">
        <v>2416</v>
      </c>
      <c r="B268" s="1" t="s">
        <v>2393</v>
      </c>
      <c r="C268" s="3" t="s">
        <v>2394</v>
      </c>
      <c r="D268" s="3" t="s">
        <v>2417</v>
      </c>
      <c r="E268" s="3" t="s">
        <v>2418</v>
      </c>
      <c r="F268" s="3" t="s">
        <v>2397</v>
      </c>
      <c r="G268" s="3" t="s">
        <v>2398</v>
      </c>
      <c r="H268" s="11" t="s">
        <v>8088</v>
      </c>
      <c r="I268" s="3" t="s">
        <v>2419</v>
      </c>
      <c r="J268" s="7">
        <v>0.78</v>
      </c>
      <c r="K268" s="1" t="s">
        <v>2420</v>
      </c>
      <c r="L268" s="2">
        <v>0.31900000000000001</v>
      </c>
      <c r="M268" s="2">
        <f>37491/100000</f>
        <v>0.37491000000000002</v>
      </c>
      <c r="N268" s="2">
        <v>0.649671</v>
      </c>
      <c r="O268" s="4" t="s">
        <v>2421</v>
      </c>
      <c r="P268" s="1">
        <v>1.55</v>
      </c>
      <c r="Q268" s="7" t="s">
        <v>2422</v>
      </c>
      <c r="R268" s="2">
        <v>1.5900000000000001E-2</v>
      </c>
      <c r="S268" s="2">
        <f>1700/100000</f>
        <v>1.7000000000000001E-2</v>
      </c>
      <c r="T268" s="2">
        <v>0.1239986</v>
      </c>
    </row>
    <row r="269" spans="1:20">
      <c r="A269" s="3" t="s">
        <v>2423</v>
      </c>
      <c r="B269" s="1" t="s">
        <v>2424</v>
      </c>
      <c r="C269" s="3" t="s">
        <v>2425</v>
      </c>
      <c r="D269" s="3" t="s">
        <v>2417</v>
      </c>
      <c r="E269" s="3" t="s">
        <v>2418</v>
      </c>
      <c r="F269" s="3" t="s">
        <v>2397</v>
      </c>
      <c r="G269" s="3" t="s">
        <v>2398</v>
      </c>
      <c r="H269" s="11" t="s">
        <v>8088</v>
      </c>
      <c r="I269" s="3" t="s">
        <v>2419</v>
      </c>
      <c r="J269" s="7">
        <v>0.78</v>
      </c>
      <c r="K269" s="1" t="s">
        <v>2420</v>
      </c>
      <c r="L269" s="2">
        <v>0.31900000000000001</v>
      </c>
      <c r="M269" s="2">
        <f>37491/100000</f>
        <v>0.37491000000000002</v>
      </c>
      <c r="N269" s="2">
        <v>0.649671</v>
      </c>
      <c r="O269" s="4" t="s">
        <v>2421</v>
      </c>
      <c r="P269" s="1">
        <v>1.55</v>
      </c>
      <c r="Q269" s="7" t="s">
        <v>2422</v>
      </c>
      <c r="R269" s="2">
        <v>1.5900000000000001E-2</v>
      </c>
      <c r="S269" s="2">
        <f>1700/100000</f>
        <v>1.7000000000000001E-2</v>
      </c>
      <c r="T269" s="2">
        <v>0.1239986</v>
      </c>
    </row>
    <row r="270" spans="1:20">
      <c r="A270" s="3" t="s">
        <v>2426</v>
      </c>
      <c r="B270" s="1" t="s">
        <v>2424</v>
      </c>
      <c r="C270" s="3" t="s">
        <v>2425</v>
      </c>
      <c r="D270" s="3" t="s">
        <v>2410</v>
      </c>
      <c r="E270" s="3" t="s">
        <v>2411</v>
      </c>
      <c r="F270" s="3" t="s">
        <v>2397</v>
      </c>
      <c r="G270" s="3" t="s">
        <v>2398</v>
      </c>
      <c r="H270" s="11" t="s">
        <v>8182</v>
      </c>
      <c r="I270" s="3" t="s">
        <v>2412</v>
      </c>
      <c r="J270" s="7">
        <v>1.05</v>
      </c>
      <c r="K270" s="1" t="s">
        <v>2413</v>
      </c>
      <c r="L270" s="2">
        <v>0.8</v>
      </c>
      <c r="M270" s="2">
        <f>83026/100000</f>
        <v>0.83026</v>
      </c>
      <c r="N270" s="2">
        <v>0.82929589999999997</v>
      </c>
      <c r="O270" s="4" t="s">
        <v>2414</v>
      </c>
      <c r="P270" s="1">
        <v>1</v>
      </c>
      <c r="Q270" s="7" t="s">
        <v>2415</v>
      </c>
      <c r="R270" s="2">
        <v>0.99299999999999999</v>
      </c>
      <c r="S270" s="2">
        <f>100000/100000</f>
        <v>1</v>
      </c>
      <c r="T270" s="2">
        <v>0.82929589999999997</v>
      </c>
    </row>
    <row r="271" spans="1:20">
      <c r="A271" s="3" t="s">
        <v>2427</v>
      </c>
      <c r="B271" s="1" t="s">
        <v>2424</v>
      </c>
      <c r="C271" s="3" t="s">
        <v>2425</v>
      </c>
      <c r="D271" s="3" t="s">
        <v>2404</v>
      </c>
      <c r="E271" s="3" t="s">
        <v>2405</v>
      </c>
      <c r="F271" s="3" t="s">
        <v>2397</v>
      </c>
      <c r="G271" s="3" t="s">
        <v>2398</v>
      </c>
      <c r="H271" s="11" t="s">
        <v>8088</v>
      </c>
      <c r="I271" s="3" t="s">
        <v>2406</v>
      </c>
      <c r="J271" s="7">
        <v>1.1499999999999999</v>
      </c>
      <c r="K271" s="1" t="s">
        <v>1533</v>
      </c>
      <c r="L271" s="2">
        <v>0.504</v>
      </c>
      <c r="M271" s="2">
        <f>57589/100000</f>
        <v>0.57589000000000001</v>
      </c>
      <c r="N271" s="2">
        <v>0.76719190000000004</v>
      </c>
      <c r="O271" s="4" t="s">
        <v>2407</v>
      </c>
      <c r="P271" s="1">
        <v>1.4</v>
      </c>
      <c r="Q271" s="7" t="s">
        <v>2408</v>
      </c>
      <c r="R271" s="2">
        <v>7.1800000000000003E-2</v>
      </c>
      <c r="S271" s="2">
        <f>8701/100000</f>
        <v>8.7010000000000004E-2</v>
      </c>
      <c r="T271" s="2">
        <v>0.33527620000000002</v>
      </c>
    </row>
    <row r="272" spans="1:20">
      <c r="A272" s="3" t="s">
        <v>2428</v>
      </c>
      <c r="B272" s="1" t="s">
        <v>2424</v>
      </c>
      <c r="C272" s="3" t="s">
        <v>2425</v>
      </c>
      <c r="D272" s="3" t="s">
        <v>2395</v>
      </c>
      <c r="E272" s="3" t="s">
        <v>2396</v>
      </c>
      <c r="F272" s="3" t="s">
        <v>2397</v>
      </c>
      <c r="G272" s="3" t="s">
        <v>2398</v>
      </c>
      <c r="H272" s="11" t="s">
        <v>8182</v>
      </c>
      <c r="I272" s="3" t="s">
        <v>2399</v>
      </c>
      <c r="J272" s="7">
        <v>0.73</v>
      </c>
      <c r="K272" s="1" t="s">
        <v>2400</v>
      </c>
      <c r="L272" s="2">
        <v>9.8299999999999998E-2</v>
      </c>
      <c r="M272" s="2">
        <f>11079/100000</f>
        <v>0.11079</v>
      </c>
      <c r="N272" s="2">
        <v>0.3740059</v>
      </c>
      <c r="O272" s="4" t="s">
        <v>2401</v>
      </c>
      <c r="P272" s="1">
        <v>1.1599999999999999</v>
      </c>
      <c r="Q272" s="7" t="s">
        <v>2402</v>
      </c>
      <c r="R272" s="2">
        <v>0.379</v>
      </c>
      <c r="S272" s="2">
        <f>41544/100000</f>
        <v>0.41543999999999998</v>
      </c>
      <c r="T272" s="2">
        <v>0.67352239999999997</v>
      </c>
    </row>
    <row r="273" spans="1:20">
      <c r="A273" s="3" t="s">
        <v>2429</v>
      </c>
      <c r="B273" s="1" t="s">
        <v>2430</v>
      </c>
      <c r="C273" s="3" t="s">
        <v>2431</v>
      </c>
      <c r="D273" s="3" t="s">
        <v>2432</v>
      </c>
      <c r="E273" s="3" t="s">
        <v>2433</v>
      </c>
      <c r="F273" s="3" t="s">
        <v>2434</v>
      </c>
      <c r="G273" s="3" t="s">
        <v>2034</v>
      </c>
      <c r="H273" s="11" t="s">
        <v>8161</v>
      </c>
      <c r="I273" s="3" t="s">
        <v>2435</v>
      </c>
      <c r="J273" s="7">
        <v>1.21</v>
      </c>
      <c r="K273" s="1" t="s">
        <v>2436</v>
      </c>
      <c r="L273" s="2">
        <v>0.34899999999999998</v>
      </c>
      <c r="M273" s="2">
        <f>37406/100000</f>
        <v>0.37406</v>
      </c>
      <c r="N273" s="2">
        <v>0.64881420000000001</v>
      </c>
      <c r="O273" s="4" t="s">
        <v>2437</v>
      </c>
      <c r="P273" s="1">
        <v>1.1399999999999999</v>
      </c>
      <c r="Q273" s="7" t="s">
        <v>2438</v>
      </c>
      <c r="R273" s="2">
        <v>0.57699999999999996</v>
      </c>
      <c r="S273" s="2">
        <f>62159/100000</f>
        <v>0.62158999999999998</v>
      </c>
      <c r="T273" s="2">
        <v>0.79869500000000004</v>
      </c>
    </row>
    <row r="274" spans="1:20">
      <c r="A274" s="3" t="s">
        <v>2439</v>
      </c>
      <c r="B274" s="1" t="s">
        <v>2440</v>
      </c>
      <c r="C274" s="3" t="s">
        <v>2441</v>
      </c>
      <c r="D274" s="3" t="s">
        <v>2442</v>
      </c>
      <c r="E274" s="3" t="s">
        <v>2443</v>
      </c>
      <c r="F274" s="3" t="s">
        <v>2444</v>
      </c>
      <c r="G274" s="3" t="s">
        <v>2445</v>
      </c>
      <c r="H274" s="11" t="s">
        <v>8183</v>
      </c>
      <c r="I274" s="3" t="s">
        <v>2446</v>
      </c>
      <c r="J274" s="7">
        <v>0.77</v>
      </c>
      <c r="K274" s="1" t="s">
        <v>627</v>
      </c>
      <c r="L274" s="2">
        <v>0.47499999999999998</v>
      </c>
      <c r="M274" s="2">
        <f>52145/100000</f>
        <v>0.52144999999999997</v>
      </c>
      <c r="N274" s="2">
        <v>0.74478149999999999</v>
      </c>
      <c r="O274" s="4" t="s">
        <v>2447</v>
      </c>
      <c r="P274" s="1">
        <v>1.01</v>
      </c>
      <c r="Q274" s="7" t="s">
        <v>2448</v>
      </c>
      <c r="R274" s="2">
        <v>0.97299999999999998</v>
      </c>
      <c r="S274" s="2">
        <f>100000/100000</f>
        <v>1</v>
      </c>
      <c r="T274" s="2">
        <v>0.82929589999999997</v>
      </c>
    </row>
    <row r="275" spans="1:20">
      <c r="A275" s="3" t="s">
        <v>2449</v>
      </c>
      <c r="B275" s="1" t="s">
        <v>2440</v>
      </c>
      <c r="C275" s="3" t="s">
        <v>2441</v>
      </c>
      <c r="D275" s="3" t="s">
        <v>2450</v>
      </c>
      <c r="E275" s="3" t="s">
        <v>2451</v>
      </c>
      <c r="F275" s="3" t="s">
        <v>2444</v>
      </c>
      <c r="G275" s="3" t="s">
        <v>2445</v>
      </c>
      <c r="H275" s="11" t="s">
        <v>8184</v>
      </c>
      <c r="I275" s="3" t="s">
        <v>2452</v>
      </c>
      <c r="J275" s="7">
        <v>0.91</v>
      </c>
      <c r="K275" s="1" t="s">
        <v>2453</v>
      </c>
      <c r="L275" s="2">
        <v>0.68300000000000005</v>
      </c>
      <c r="M275" s="2">
        <f>72462/100000</f>
        <v>0.72462000000000004</v>
      </c>
      <c r="N275" s="2">
        <v>0.82137769999999999</v>
      </c>
      <c r="O275" s="4" t="s">
        <v>2454</v>
      </c>
      <c r="P275" s="1">
        <v>1.53</v>
      </c>
      <c r="Q275" s="7" t="s">
        <v>2455</v>
      </c>
      <c r="R275" s="2">
        <v>4.0300000000000002E-2</v>
      </c>
      <c r="S275" s="2">
        <f>4677/100000</f>
        <v>4.6769999999999999E-2</v>
      </c>
      <c r="T275" s="2">
        <v>0.233817</v>
      </c>
    </row>
    <row r="276" spans="1:20">
      <c r="A276" s="3" t="s">
        <v>2456</v>
      </c>
      <c r="B276" s="1" t="s">
        <v>2457</v>
      </c>
      <c r="C276" s="3" t="s">
        <v>2458</v>
      </c>
      <c r="D276" s="3" t="s">
        <v>2432</v>
      </c>
      <c r="E276" s="3" t="s">
        <v>2433</v>
      </c>
      <c r="F276" s="3" t="s">
        <v>2434</v>
      </c>
      <c r="G276" s="3" t="s">
        <v>2034</v>
      </c>
      <c r="H276" s="11" t="s">
        <v>8161</v>
      </c>
      <c r="I276" s="3" t="s">
        <v>2435</v>
      </c>
      <c r="J276" s="7">
        <v>1.21</v>
      </c>
      <c r="K276" s="1" t="s">
        <v>2436</v>
      </c>
      <c r="L276" s="2">
        <v>0.34899999999999998</v>
      </c>
      <c r="M276" s="2">
        <f>37406/100000</f>
        <v>0.37406</v>
      </c>
      <c r="N276" s="2">
        <v>0.64881420000000001</v>
      </c>
      <c r="O276" s="4" t="s">
        <v>2437</v>
      </c>
      <c r="P276" s="1">
        <v>1.1399999999999999</v>
      </c>
      <c r="Q276" s="7" t="s">
        <v>2438</v>
      </c>
      <c r="R276" s="2">
        <v>0.57699999999999996</v>
      </c>
      <c r="S276" s="2">
        <f>62159/100000</f>
        <v>0.62158999999999998</v>
      </c>
      <c r="T276" s="2">
        <v>0.79869500000000004</v>
      </c>
    </row>
    <row r="277" spans="1:20">
      <c r="A277" s="3" t="s">
        <v>2459</v>
      </c>
      <c r="B277" s="1" t="s">
        <v>2460</v>
      </c>
      <c r="C277" s="3" t="s">
        <v>2461</v>
      </c>
      <c r="D277" s="3" t="s">
        <v>2462</v>
      </c>
      <c r="E277" s="3" t="s">
        <v>2463</v>
      </c>
      <c r="F277" s="3" t="s">
        <v>2464</v>
      </c>
      <c r="G277" s="3" t="s">
        <v>2465</v>
      </c>
      <c r="H277" s="11" t="s">
        <v>8185</v>
      </c>
      <c r="I277" s="3" t="s">
        <v>2466</v>
      </c>
      <c r="J277" s="7">
        <v>0.45</v>
      </c>
      <c r="K277" s="1" t="s">
        <v>2467</v>
      </c>
      <c r="L277" s="2">
        <v>0.16700000000000001</v>
      </c>
      <c r="M277" s="2">
        <f>21538/100000</f>
        <v>0.21537999999999999</v>
      </c>
      <c r="N277" s="2">
        <v>0.50736440000000005</v>
      </c>
      <c r="O277" s="4" t="s">
        <v>2468</v>
      </c>
      <c r="P277" s="1">
        <v>1.62</v>
      </c>
      <c r="Q277" s="7" t="s">
        <v>2469</v>
      </c>
      <c r="R277" s="2">
        <v>0.19600000000000001</v>
      </c>
      <c r="S277" s="2">
        <f>24327/100000</f>
        <v>0.24326999999999999</v>
      </c>
      <c r="T277" s="2">
        <v>0.54252389999999995</v>
      </c>
    </row>
    <row r="278" spans="1:20">
      <c r="A278" s="3" t="s">
        <v>2470</v>
      </c>
      <c r="B278" s="1" t="s">
        <v>2460</v>
      </c>
      <c r="C278" s="3" t="s">
        <v>2461</v>
      </c>
      <c r="D278" s="3" t="s">
        <v>2471</v>
      </c>
      <c r="E278" s="3" t="s">
        <v>2472</v>
      </c>
      <c r="F278" s="3" t="s">
        <v>2473</v>
      </c>
      <c r="G278" s="3" t="s">
        <v>2474</v>
      </c>
      <c r="H278" s="11" t="s">
        <v>8185</v>
      </c>
      <c r="I278" s="3" t="s">
        <v>2475</v>
      </c>
      <c r="J278" s="7">
        <v>0.59</v>
      </c>
      <c r="K278" s="1" t="s">
        <v>2476</v>
      </c>
      <c r="L278" s="2">
        <v>0.45500000000000002</v>
      </c>
      <c r="M278" s="2">
        <f>58181/100000</f>
        <v>0.58181000000000005</v>
      </c>
      <c r="N278" s="2">
        <v>0.77303929999999998</v>
      </c>
      <c r="O278" s="4" t="s">
        <v>2477</v>
      </c>
      <c r="P278" s="1">
        <v>0.91</v>
      </c>
      <c r="Q278" s="7" t="s">
        <v>2478</v>
      </c>
      <c r="R278" s="2">
        <v>0.89700000000000002</v>
      </c>
      <c r="S278" s="2">
        <f>100000/100000</f>
        <v>1</v>
      </c>
      <c r="T278" s="2">
        <v>0.82929589999999997</v>
      </c>
    </row>
    <row r="279" spans="1:20">
      <c r="A279" s="3" t="s">
        <v>2479</v>
      </c>
      <c r="B279" s="1" t="s">
        <v>2480</v>
      </c>
      <c r="C279" s="3" t="s">
        <v>2481</v>
      </c>
      <c r="D279" s="3" t="s">
        <v>2482</v>
      </c>
      <c r="E279" s="3" t="s">
        <v>2483</v>
      </c>
      <c r="F279" s="3" t="s">
        <v>2484</v>
      </c>
      <c r="G279" s="3" t="s">
        <v>2485</v>
      </c>
      <c r="H279" s="11" t="s">
        <v>8186</v>
      </c>
      <c r="I279" s="3" t="s">
        <v>2486</v>
      </c>
      <c r="J279" s="7">
        <v>1.57</v>
      </c>
      <c r="K279" s="1" t="s">
        <v>2487</v>
      </c>
      <c r="L279" s="2">
        <v>4.5499999999999999E-2</v>
      </c>
      <c r="M279" s="2">
        <f>5695/100000</f>
        <v>5.6950000000000001E-2</v>
      </c>
      <c r="N279" s="2">
        <v>0.26225179999999998</v>
      </c>
      <c r="O279" s="4" t="s">
        <v>2488</v>
      </c>
      <c r="P279" s="1">
        <v>0.86</v>
      </c>
      <c r="Q279" s="7" t="s">
        <v>2489</v>
      </c>
      <c r="R279" s="2">
        <v>0.67200000000000004</v>
      </c>
      <c r="S279" s="2">
        <f>75086/100000</f>
        <v>0.75085999999999997</v>
      </c>
      <c r="T279" s="2">
        <v>0.8286173</v>
      </c>
    </row>
    <row r="280" spans="1:20">
      <c r="A280" s="3" t="s">
        <v>2490</v>
      </c>
      <c r="B280" s="1" t="s">
        <v>2491</v>
      </c>
      <c r="C280" s="3" t="s">
        <v>2492</v>
      </c>
      <c r="D280" s="3" t="s">
        <v>2493</v>
      </c>
      <c r="E280" s="3" t="s">
        <v>2494</v>
      </c>
      <c r="F280" s="3" t="s">
        <v>2495</v>
      </c>
      <c r="G280" s="3" t="s">
        <v>2496</v>
      </c>
      <c r="H280" s="11" t="s">
        <v>8187</v>
      </c>
      <c r="I280" s="3" t="s">
        <v>2497</v>
      </c>
      <c r="J280" s="7">
        <v>1.1100000000000001</v>
      </c>
      <c r="K280" s="1" t="s">
        <v>2498</v>
      </c>
      <c r="L280" s="2">
        <v>0.67100000000000004</v>
      </c>
      <c r="M280" s="2">
        <f>70737/100000</f>
        <v>0.70737000000000005</v>
      </c>
      <c r="N280" s="2">
        <v>0.82137769999999999</v>
      </c>
      <c r="O280" s="4" t="s">
        <v>2499</v>
      </c>
      <c r="P280" s="1">
        <v>0.96</v>
      </c>
      <c r="Q280" s="7" t="s">
        <v>2500</v>
      </c>
      <c r="R280" s="2">
        <v>0.89200000000000002</v>
      </c>
      <c r="S280" s="2">
        <f>100000/100000</f>
        <v>1</v>
      </c>
      <c r="T280" s="2">
        <v>0.82929589999999997</v>
      </c>
    </row>
    <row r="281" spans="1:20">
      <c r="A281" s="3" t="s">
        <v>2501</v>
      </c>
      <c r="B281" s="1" t="s">
        <v>2502</v>
      </c>
      <c r="C281" s="3" t="s">
        <v>2503</v>
      </c>
      <c r="D281" s="3" t="s">
        <v>2504</v>
      </c>
      <c r="E281" s="3" t="s">
        <v>2505</v>
      </c>
      <c r="F281" s="3" t="s">
        <v>2506</v>
      </c>
      <c r="G281" s="3" t="s">
        <v>2507</v>
      </c>
      <c r="H281" s="11" t="s">
        <v>8092</v>
      </c>
      <c r="I281" s="3" t="s">
        <v>2508</v>
      </c>
      <c r="J281" s="7">
        <v>1.29</v>
      </c>
      <c r="K281" s="1" t="s">
        <v>2509</v>
      </c>
      <c r="L281" s="2">
        <v>2.76E-2</v>
      </c>
      <c r="M281" s="2">
        <f>2930/100000</f>
        <v>2.93E-2</v>
      </c>
      <c r="N281" s="2">
        <v>0.1774239</v>
      </c>
      <c r="O281" s="4" t="s">
        <v>2510</v>
      </c>
      <c r="P281" s="1">
        <v>0.83</v>
      </c>
      <c r="Q281" s="7" t="s">
        <v>2511</v>
      </c>
      <c r="R281" s="2">
        <v>0.152</v>
      </c>
      <c r="S281" s="2">
        <f>16845/100000</f>
        <v>0.16844999999999999</v>
      </c>
      <c r="T281" s="2">
        <v>0.4540421</v>
      </c>
    </row>
    <row r="282" spans="1:20">
      <c r="A282" s="3" t="s">
        <v>2512</v>
      </c>
      <c r="B282" s="1" t="s">
        <v>2502</v>
      </c>
      <c r="C282" s="3" t="s">
        <v>2503</v>
      </c>
      <c r="D282" s="3" t="s">
        <v>2513</v>
      </c>
      <c r="E282" s="3" t="s">
        <v>2514</v>
      </c>
      <c r="F282" s="3" t="s">
        <v>2515</v>
      </c>
      <c r="G282" s="3" t="s">
        <v>2516</v>
      </c>
      <c r="H282" s="11" t="s">
        <v>8092</v>
      </c>
      <c r="I282" s="3" t="s">
        <v>2517</v>
      </c>
      <c r="J282" s="7">
        <v>1.41</v>
      </c>
      <c r="K282" s="1" t="s">
        <v>2518</v>
      </c>
      <c r="L282" s="2">
        <v>4.0999999999999999E-4</v>
      </c>
      <c r="M282" s="2">
        <f>50/100000</f>
        <v>5.0000000000000001E-4</v>
      </c>
      <c r="N282" s="2">
        <v>1.018849E-2</v>
      </c>
      <c r="O282" s="4" t="s">
        <v>2519</v>
      </c>
      <c r="P282" s="1">
        <v>0.68</v>
      </c>
      <c r="Q282" s="7" t="s">
        <v>2520</v>
      </c>
      <c r="R282" s="2">
        <v>1.08E-3</v>
      </c>
      <c r="S282" s="2">
        <f>100/100000</f>
        <v>1E-3</v>
      </c>
      <c r="T282" s="2">
        <v>1.63535E-2</v>
      </c>
    </row>
    <row r="283" spans="1:20">
      <c r="A283" s="3" t="s">
        <v>2521</v>
      </c>
      <c r="B283" s="1" t="s">
        <v>2522</v>
      </c>
      <c r="C283" s="3" t="s">
        <v>2523</v>
      </c>
      <c r="D283" s="3" t="s">
        <v>2524</v>
      </c>
      <c r="E283" s="3" t="s">
        <v>2525</v>
      </c>
      <c r="F283" s="3" t="s">
        <v>2526</v>
      </c>
      <c r="G283" s="3" t="s">
        <v>2527</v>
      </c>
      <c r="H283" s="11" t="s">
        <v>8188</v>
      </c>
      <c r="I283" s="3" t="s">
        <v>2528</v>
      </c>
      <c r="J283" s="7">
        <v>1.89</v>
      </c>
      <c r="K283" s="1" t="s">
        <v>2529</v>
      </c>
      <c r="L283" s="2">
        <v>1.8500000000000001E-3</v>
      </c>
      <c r="M283" s="2">
        <f>307/100000</f>
        <v>3.0699999999999998E-3</v>
      </c>
      <c r="N283" s="2">
        <v>3.7534400000000002E-2</v>
      </c>
      <c r="O283" s="4" t="s">
        <v>2530</v>
      </c>
      <c r="P283" s="1">
        <v>0.86</v>
      </c>
      <c r="Q283" s="7" t="s">
        <v>2531</v>
      </c>
      <c r="R283" s="2">
        <v>0.621</v>
      </c>
      <c r="S283" s="2">
        <f>66896/100000</f>
        <v>0.66896</v>
      </c>
      <c r="T283" s="2">
        <v>0.80511429999999995</v>
      </c>
    </row>
    <row r="284" spans="1:20">
      <c r="A284" s="3" t="s">
        <v>2532</v>
      </c>
      <c r="B284" s="1" t="s">
        <v>2522</v>
      </c>
      <c r="C284" s="3" t="s">
        <v>2523</v>
      </c>
      <c r="D284" s="3" t="s">
        <v>2533</v>
      </c>
      <c r="E284" s="3" t="s">
        <v>2534</v>
      </c>
      <c r="F284" s="3" t="s">
        <v>2535</v>
      </c>
      <c r="G284" s="3" t="s">
        <v>2536</v>
      </c>
      <c r="H284" s="11" t="s">
        <v>8188</v>
      </c>
      <c r="I284" s="3" t="s">
        <v>2537</v>
      </c>
      <c r="J284" s="7">
        <v>2.14</v>
      </c>
      <c r="K284" s="1" t="s">
        <v>2538</v>
      </c>
      <c r="L284" s="2">
        <v>2.0599999999999999E-4</v>
      </c>
      <c r="M284" s="2">
        <f>74/100000</f>
        <v>7.3999999999999999E-4</v>
      </c>
      <c r="N284" s="2">
        <v>1.337993E-2</v>
      </c>
      <c r="O284" s="4" t="s">
        <v>2539</v>
      </c>
      <c r="P284" s="1">
        <v>0.65</v>
      </c>
      <c r="Q284" s="7" t="s">
        <v>2540</v>
      </c>
      <c r="R284" s="2">
        <v>0.22900000000000001</v>
      </c>
      <c r="S284" s="2">
        <f>24252/100000</f>
        <v>0.24252000000000001</v>
      </c>
      <c r="T284" s="2">
        <v>0.54252389999999995</v>
      </c>
    </row>
    <row r="285" spans="1:20">
      <c r="A285" s="3" t="s">
        <v>2541</v>
      </c>
      <c r="B285" s="1" t="s">
        <v>2522</v>
      </c>
      <c r="C285" s="3" t="s">
        <v>2523</v>
      </c>
      <c r="D285" s="3" t="s">
        <v>2542</v>
      </c>
      <c r="E285" s="3" t="s">
        <v>2543</v>
      </c>
      <c r="F285" s="3" t="s">
        <v>2544</v>
      </c>
      <c r="G285" s="3" t="s">
        <v>2545</v>
      </c>
      <c r="H285" s="11" t="s">
        <v>8188</v>
      </c>
      <c r="I285" s="3" t="s">
        <v>2546</v>
      </c>
      <c r="J285" s="7">
        <v>1.0900000000000001</v>
      </c>
      <c r="K285" s="1" t="s">
        <v>2547</v>
      </c>
      <c r="L285" s="2">
        <v>0.69899999999999995</v>
      </c>
      <c r="M285" s="2">
        <f>71527/100000</f>
        <v>0.71526999999999996</v>
      </c>
      <c r="N285" s="2">
        <v>0.82137769999999999</v>
      </c>
      <c r="O285" s="4" t="s">
        <v>2548</v>
      </c>
      <c r="P285" s="1">
        <v>1.78</v>
      </c>
      <c r="Q285" s="7" t="s">
        <v>2549</v>
      </c>
      <c r="R285" s="2">
        <v>2.0799999999999998E-3</v>
      </c>
      <c r="S285" s="2">
        <f>352/100000</f>
        <v>3.5200000000000001E-3</v>
      </c>
      <c r="T285" s="2">
        <v>4.2035349999999999E-2</v>
      </c>
    </row>
    <row r="286" spans="1:20">
      <c r="A286" s="3" t="s">
        <v>2550</v>
      </c>
      <c r="B286" s="1" t="s">
        <v>2551</v>
      </c>
      <c r="C286" s="3" t="s">
        <v>2552</v>
      </c>
      <c r="D286" s="3" t="s">
        <v>2553</v>
      </c>
      <c r="E286" s="3" t="s">
        <v>2554</v>
      </c>
      <c r="F286" s="3" t="s">
        <v>2555</v>
      </c>
      <c r="G286" s="3" t="s">
        <v>2045</v>
      </c>
      <c r="H286" s="11" t="s">
        <v>8189</v>
      </c>
      <c r="I286" s="3" t="s">
        <v>2556</v>
      </c>
      <c r="J286" s="7">
        <v>1.05</v>
      </c>
      <c r="K286" s="1" t="s">
        <v>2557</v>
      </c>
      <c r="L286" s="2">
        <v>0.72399999999999998</v>
      </c>
      <c r="M286" s="2">
        <f>73656/100000</f>
        <v>0.73655999999999999</v>
      </c>
      <c r="N286" s="2">
        <v>0.82137769999999999</v>
      </c>
      <c r="O286" s="4" t="s">
        <v>2558</v>
      </c>
      <c r="P286" s="1">
        <v>1.24</v>
      </c>
      <c r="Q286" s="7" t="s">
        <v>2559</v>
      </c>
      <c r="R286" s="2">
        <v>5.62E-2</v>
      </c>
      <c r="S286" s="2">
        <f>6051/100000</f>
        <v>6.0510000000000001E-2</v>
      </c>
      <c r="T286" s="2">
        <v>0.27061629999999998</v>
      </c>
    </row>
    <row r="287" spans="1:20">
      <c r="A287" s="3" t="s">
        <v>2560</v>
      </c>
      <c r="B287" s="1" t="s">
        <v>2561</v>
      </c>
      <c r="C287" s="3" t="s">
        <v>2562</v>
      </c>
      <c r="D287" s="3" t="s">
        <v>1663</v>
      </c>
      <c r="E287" s="3" t="s">
        <v>1664</v>
      </c>
      <c r="F287" s="3" t="s">
        <v>1665</v>
      </c>
      <c r="G287" s="3" t="s">
        <v>1666</v>
      </c>
      <c r="H287" s="11" t="s">
        <v>8144</v>
      </c>
      <c r="I287" s="3" t="s">
        <v>1667</v>
      </c>
      <c r="J287" s="7">
        <v>0.67</v>
      </c>
      <c r="K287" s="1" t="s">
        <v>1668</v>
      </c>
      <c r="L287" s="2">
        <v>0.19400000000000001</v>
      </c>
      <c r="M287" s="2">
        <f>20102/100000</f>
        <v>0.20102</v>
      </c>
      <c r="N287" s="2">
        <v>0.48870029999999998</v>
      </c>
      <c r="O287" s="4" t="s">
        <v>1669</v>
      </c>
      <c r="P287" s="1">
        <v>1.46</v>
      </c>
      <c r="Q287" s="7" t="s">
        <v>1670</v>
      </c>
      <c r="R287" s="2">
        <v>7.9699999999999993E-2</v>
      </c>
      <c r="S287" s="2">
        <f>9392/100000</f>
        <v>9.3920000000000003E-2</v>
      </c>
      <c r="T287" s="2">
        <v>0.34738940000000001</v>
      </c>
    </row>
    <row r="288" spans="1:20">
      <c r="A288" s="3" t="s">
        <v>2563</v>
      </c>
      <c r="B288" s="1" t="s">
        <v>2561</v>
      </c>
      <c r="C288" s="3" t="s">
        <v>2562</v>
      </c>
      <c r="D288" s="3" t="s">
        <v>1672</v>
      </c>
      <c r="E288" s="3" t="s">
        <v>1673</v>
      </c>
      <c r="F288" s="3" t="s">
        <v>1665</v>
      </c>
      <c r="G288" s="3" t="s">
        <v>1666</v>
      </c>
      <c r="H288" s="11" t="s">
        <v>8144</v>
      </c>
      <c r="I288" s="3" t="s">
        <v>1674</v>
      </c>
      <c r="J288" s="7">
        <v>0.97</v>
      </c>
      <c r="K288" s="1" t="s">
        <v>1675</v>
      </c>
      <c r="L288" s="2">
        <v>0.92100000000000004</v>
      </c>
      <c r="M288" s="2">
        <f>100000/100000</f>
        <v>1</v>
      </c>
      <c r="N288" s="2">
        <v>0.82929589999999997</v>
      </c>
      <c r="O288" s="4" t="s">
        <v>1676</v>
      </c>
      <c r="P288" s="1">
        <v>1.41</v>
      </c>
      <c r="Q288" s="7" t="s">
        <v>1677</v>
      </c>
      <c r="R288" s="2">
        <v>0.11700000000000001</v>
      </c>
      <c r="S288" s="2">
        <f>12783/100000</f>
        <v>0.12783</v>
      </c>
      <c r="T288" s="2">
        <v>0.39500000000000002</v>
      </c>
    </row>
    <row r="289" spans="1:20">
      <c r="A289" s="3" t="s">
        <v>2564</v>
      </c>
      <c r="B289" s="1" t="s">
        <v>2561</v>
      </c>
      <c r="C289" s="3" t="s">
        <v>2562</v>
      </c>
      <c r="D289" s="3" t="s">
        <v>1679</v>
      </c>
      <c r="E289" s="3" t="s">
        <v>1680</v>
      </c>
      <c r="F289" s="3" t="s">
        <v>1681</v>
      </c>
      <c r="G289" s="3" t="s">
        <v>1682</v>
      </c>
      <c r="H289" s="11" t="s">
        <v>8144</v>
      </c>
      <c r="I289" s="3" t="s">
        <v>1683</v>
      </c>
      <c r="J289" s="7">
        <v>1.22</v>
      </c>
      <c r="K289" s="1" t="s">
        <v>1684</v>
      </c>
      <c r="L289" s="2">
        <v>0.38800000000000001</v>
      </c>
      <c r="M289" s="2">
        <f>45800/100000</f>
        <v>0.45800000000000002</v>
      </c>
      <c r="N289" s="2">
        <v>0.70161989999999996</v>
      </c>
      <c r="O289" s="4" t="s">
        <v>1685</v>
      </c>
      <c r="P289" s="1">
        <v>0.68</v>
      </c>
      <c r="Q289" s="7" t="s">
        <v>1686</v>
      </c>
      <c r="R289" s="2">
        <v>0.23400000000000001</v>
      </c>
      <c r="S289" s="2">
        <f>27507/100000</f>
        <v>0.27506999999999998</v>
      </c>
      <c r="T289" s="2">
        <v>0.56620890000000001</v>
      </c>
    </row>
    <row r="290" spans="1:20">
      <c r="A290" s="3" t="s">
        <v>2565</v>
      </c>
      <c r="B290" s="1" t="s">
        <v>2561</v>
      </c>
      <c r="C290" s="3" t="s">
        <v>2562</v>
      </c>
      <c r="D290" s="3" t="s">
        <v>2566</v>
      </c>
      <c r="E290" s="3" t="s">
        <v>2567</v>
      </c>
      <c r="F290" s="3" t="s">
        <v>1681</v>
      </c>
      <c r="G290" s="3" t="s">
        <v>1682</v>
      </c>
      <c r="H290" s="11" t="s">
        <v>8144</v>
      </c>
      <c r="I290" s="3" t="s">
        <v>2568</v>
      </c>
      <c r="J290" s="7">
        <v>1.22</v>
      </c>
      <c r="K290" s="1" t="s">
        <v>2569</v>
      </c>
      <c r="L290" s="2">
        <v>0.38</v>
      </c>
      <c r="M290" s="2">
        <f>38419/100000</f>
        <v>0.38418999999999998</v>
      </c>
      <c r="N290" s="2">
        <v>0.65163249999999995</v>
      </c>
      <c r="O290" s="4" t="s">
        <v>2570</v>
      </c>
      <c r="P290" s="1">
        <v>1.08</v>
      </c>
      <c r="Q290" s="7" t="s">
        <v>2571</v>
      </c>
      <c r="R290" s="2">
        <v>0.73899999999999999</v>
      </c>
      <c r="S290" s="2">
        <f>80087/100000</f>
        <v>0.80086999999999997</v>
      </c>
      <c r="T290" s="2">
        <v>0.82929589999999997</v>
      </c>
    </row>
    <row r="291" spans="1:20">
      <c r="A291" s="3" t="s">
        <v>2572</v>
      </c>
      <c r="B291" s="1" t="s">
        <v>2573</v>
      </c>
      <c r="C291" s="3" t="s">
        <v>2574</v>
      </c>
      <c r="D291" s="3" t="s">
        <v>2575</v>
      </c>
      <c r="E291" s="3" t="s">
        <v>2576</v>
      </c>
      <c r="F291" s="3" t="s">
        <v>2577</v>
      </c>
      <c r="G291" s="3" t="s">
        <v>2578</v>
      </c>
      <c r="H291" s="11" t="s">
        <v>8093</v>
      </c>
      <c r="I291" s="3" t="s">
        <v>2579</v>
      </c>
      <c r="J291" s="7">
        <v>1.55</v>
      </c>
      <c r="K291" s="1" t="s">
        <v>2580</v>
      </c>
      <c r="L291" s="2">
        <v>3.1099999999999999E-2</v>
      </c>
      <c r="M291" s="2">
        <f>3648/100000</f>
        <v>3.6479999999999999E-2</v>
      </c>
      <c r="N291" s="2">
        <v>0.20328360000000001</v>
      </c>
      <c r="O291" s="4" t="s">
        <v>2581</v>
      </c>
      <c r="P291" s="1">
        <v>1.26</v>
      </c>
      <c r="Q291" s="7" t="s">
        <v>2582</v>
      </c>
      <c r="R291" s="2">
        <v>0.38200000000000001</v>
      </c>
      <c r="S291" s="2">
        <f>38685/100000</f>
        <v>0.38685000000000003</v>
      </c>
      <c r="T291" s="2">
        <v>0.65369900000000003</v>
      </c>
    </row>
    <row r="292" spans="1:20">
      <c r="A292" s="3" t="s">
        <v>2583</v>
      </c>
      <c r="B292" s="1" t="s">
        <v>2584</v>
      </c>
      <c r="C292" s="3" t="s">
        <v>2585</v>
      </c>
      <c r="D292" s="3" t="s">
        <v>2586</v>
      </c>
      <c r="E292" s="3" t="s">
        <v>2587</v>
      </c>
      <c r="F292" s="3" t="s">
        <v>2588</v>
      </c>
      <c r="G292" s="3" t="s">
        <v>2589</v>
      </c>
      <c r="H292" s="11" t="s">
        <v>8190</v>
      </c>
      <c r="I292" s="3" t="s">
        <v>2590</v>
      </c>
      <c r="J292" s="7">
        <v>0.99</v>
      </c>
      <c r="K292" s="1" t="s">
        <v>2591</v>
      </c>
      <c r="L292" s="2">
        <v>0.96599999999999997</v>
      </c>
      <c r="M292" s="2">
        <f>100000/100000</f>
        <v>1</v>
      </c>
      <c r="N292" s="2">
        <v>0.82929589999999997</v>
      </c>
      <c r="O292" s="4" t="s">
        <v>2592</v>
      </c>
      <c r="P292" s="1">
        <v>1.59</v>
      </c>
      <c r="Q292" s="7" t="s">
        <v>2593</v>
      </c>
      <c r="R292" s="2">
        <v>1.9300000000000002E-5</v>
      </c>
      <c r="S292" s="2">
        <f>4/100000</f>
        <v>4.0000000000000003E-5</v>
      </c>
      <c r="T292" s="2">
        <v>1.167045E-3</v>
      </c>
    </row>
    <row r="293" spans="1:20">
      <c r="A293" s="3" t="s">
        <v>2594</v>
      </c>
      <c r="B293" s="1" t="s">
        <v>2595</v>
      </c>
      <c r="C293" s="3" t="s">
        <v>2596</v>
      </c>
      <c r="D293" s="3" t="s">
        <v>2597</v>
      </c>
      <c r="E293" s="3" t="s">
        <v>2598</v>
      </c>
      <c r="F293" s="3" t="s">
        <v>2599</v>
      </c>
      <c r="G293" s="3" t="s">
        <v>2600</v>
      </c>
      <c r="H293" s="11" t="s">
        <v>8191</v>
      </c>
      <c r="I293" s="3" t="s">
        <v>2601</v>
      </c>
      <c r="J293" s="7">
        <v>1.31</v>
      </c>
      <c r="K293" s="1" t="s">
        <v>2602</v>
      </c>
      <c r="L293" s="2">
        <v>0.127</v>
      </c>
      <c r="M293" s="2">
        <f>13760/100000</f>
        <v>0.1376</v>
      </c>
      <c r="N293" s="2">
        <v>0.40585909999999997</v>
      </c>
      <c r="O293" s="4" t="s">
        <v>2603</v>
      </c>
      <c r="P293" s="1">
        <v>0.67</v>
      </c>
      <c r="Q293" s="7" t="s">
        <v>2604</v>
      </c>
      <c r="R293" s="2">
        <v>0.104</v>
      </c>
      <c r="S293" s="2">
        <f>11277/100000</f>
        <v>0.11277</v>
      </c>
      <c r="T293" s="2">
        <v>0.37826270000000001</v>
      </c>
    </row>
    <row r="294" spans="1:20">
      <c r="A294" s="3" t="s">
        <v>2605</v>
      </c>
      <c r="B294" s="1" t="s">
        <v>2595</v>
      </c>
      <c r="C294" s="3" t="s">
        <v>2596</v>
      </c>
      <c r="D294" s="3" t="s">
        <v>2606</v>
      </c>
      <c r="E294" s="3" t="s">
        <v>2607</v>
      </c>
      <c r="F294" s="3" t="s">
        <v>2608</v>
      </c>
      <c r="G294" s="3" t="s">
        <v>2609</v>
      </c>
      <c r="H294" s="11" t="s">
        <v>8191</v>
      </c>
      <c r="I294" s="3" t="s">
        <v>2610</v>
      </c>
      <c r="J294" s="7">
        <v>1.07</v>
      </c>
      <c r="K294" s="1" t="s">
        <v>2611</v>
      </c>
      <c r="L294" s="2">
        <v>0.62</v>
      </c>
      <c r="M294" s="2">
        <f>65557/100000</f>
        <v>0.65556999999999999</v>
      </c>
      <c r="N294" s="2">
        <v>0.80511429999999995</v>
      </c>
      <c r="O294" s="4" t="s">
        <v>2612</v>
      </c>
      <c r="P294" s="1">
        <v>1.21</v>
      </c>
      <c r="Q294" s="7" t="s">
        <v>2613</v>
      </c>
      <c r="R294" s="2">
        <v>0.159</v>
      </c>
      <c r="S294" s="2">
        <f>17115/100000</f>
        <v>0.17115</v>
      </c>
      <c r="T294" s="2">
        <v>0.45685999999999999</v>
      </c>
    </row>
    <row r="295" spans="1:20">
      <c r="A295" s="3" t="s">
        <v>2614</v>
      </c>
      <c r="B295" s="1" t="s">
        <v>2615</v>
      </c>
      <c r="C295" s="3" t="s">
        <v>2616</v>
      </c>
      <c r="D295" s="3" t="s">
        <v>2617</v>
      </c>
      <c r="E295" s="3" t="s">
        <v>2618</v>
      </c>
      <c r="F295" s="3" t="s">
        <v>2619</v>
      </c>
      <c r="G295" s="3" t="s">
        <v>2620</v>
      </c>
      <c r="H295" s="11" t="s">
        <v>8192</v>
      </c>
      <c r="I295" s="3" t="s">
        <v>2621</v>
      </c>
      <c r="J295" s="7">
        <v>1.1299999999999999</v>
      </c>
      <c r="K295" s="1" t="s">
        <v>2622</v>
      </c>
      <c r="L295" s="2">
        <v>0.64100000000000001</v>
      </c>
      <c r="M295" s="2">
        <f>67129/100000</f>
        <v>0.67129000000000005</v>
      </c>
      <c r="N295" s="2">
        <v>0.80511429999999995</v>
      </c>
      <c r="O295" s="4" t="s">
        <v>2623</v>
      </c>
      <c r="P295" s="1">
        <v>0.97</v>
      </c>
      <c r="Q295" s="7" t="s">
        <v>2624</v>
      </c>
      <c r="R295" s="2">
        <v>0.91100000000000003</v>
      </c>
      <c r="S295" s="2">
        <f>100000/100000</f>
        <v>1</v>
      </c>
      <c r="T295" s="2">
        <v>0.82929589999999997</v>
      </c>
    </row>
    <row r="296" spans="1:20">
      <c r="A296" s="3" t="s">
        <v>2625</v>
      </c>
      <c r="B296" s="1" t="s">
        <v>2615</v>
      </c>
      <c r="C296" s="3" t="s">
        <v>2616</v>
      </c>
      <c r="D296" s="3" t="s">
        <v>2626</v>
      </c>
      <c r="E296" s="3" t="s">
        <v>2627</v>
      </c>
      <c r="F296" s="3" t="s">
        <v>2619</v>
      </c>
      <c r="G296" s="3" t="s">
        <v>2620</v>
      </c>
      <c r="H296" s="11" t="s">
        <v>8072</v>
      </c>
      <c r="I296" s="3" t="s">
        <v>2628</v>
      </c>
      <c r="J296" s="7">
        <v>1.36</v>
      </c>
      <c r="K296" s="1" t="s">
        <v>2629</v>
      </c>
      <c r="L296" s="2">
        <v>0.3</v>
      </c>
      <c r="M296" s="2">
        <f>29792/100000</f>
        <v>0.29792000000000002</v>
      </c>
      <c r="N296" s="2">
        <v>0.58316690000000004</v>
      </c>
      <c r="O296" s="4" t="s">
        <v>2630</v>
      </c>
      <c r="P296" s="1">
        <v>0.57999999999999996</v>
      </c>
      <c r="Q296" s="7" t="s">
        <v>2631</v>
      </c>
      <c r="R296" s="2">
        <v>0.28299999999999997</v>
      </c>
      <c r="S296" s="2">
        <f>33070/100000</f>
        <v>0.33069999999999999</v>
      </c>
      <c r="T296" s="2">
        <v>0.61526179999999997</v>
      </c>
    </row>
    <row r="297" spans="1:20">
      <c r="A297" s="3" t="s">
        <v>2632</v>
      </c>
      <c r="B297" s="1" t="s">
        <v>2615</v>
      </c>
      <c r="C297" s="3" t="s">
        <v>2616</v>
      </c>
      <c r="D297" s="3" t="s">
        <v>2633</v>
      </c>
      <c r="E297" s="3" t="s">
        <v>2634</v>
      </c>
      <c r="F297" s="3" t="s">
        <v>2619</v>
      </c>
      <c r="G297" s="3" t="s">
        <v>2620</v>
      </c>
      <c r="H297" s="11" t="s">
        <v>8193</v>
      </c>
      <c r="I297" s="3" t="s">
        <v>2635</v>
      </c>
      <c r="J297" s="7">
        <v>1.55</v>
      </c>
      <c r="K297" s="1" t="s">
        <v>2636</v>
      </c>
      <c r="L297" s="2">
        <v>4.2999999999999997E-2</v>
      </c>
      <c r="M297" s="2">
        <f>4708/100000</f>
        <v>4.7079999999999997E-2</v>
      </c>
      <c r="N297" s="2">
        <v>0.23390569999999999</v>
      </c>
      <c r="O297" s="4" t="s">
        <v>2637</v>
      </c>
      <c r="P297" s="1">
        <v>0.97</v>
      </c>
      <c r="Q297" s="7" t="s">
        <v>2638</v>
      </c>
      <c r="R297" s="2">
        <v>0.91100000000000003</v>
      </c>
      <c r="S297" s="2">
        <f>100000/100000</f>
        <v>1</v>
      </c>
      <c r="T297" s="2">
        <v>0.82929589999999997</v>
      </c>
    </row>
    <row r="298" spans="1:20">
      <c r="A298" s="3" t="s">
        <v>2639</v>
      </c>
      <c r="B298" s="1" t="s">
        <v>2615</v>
      </c>
      <c r="C298" s="3" t="s">
        <v>2616</v>
      </c>
      <c r="D298" s="3" t="s">
        <v>2640</v>
      </c>
      <c r="E298" s="3" t="s">
        <v>2641</v>
      </c>
      <c r="F298" s="3" t="s">
        <v>2642</v>
      </c>
      <c r="G298" s="3" t="s">
        <v>2643</v>
      </c>
      <c r="H298" s="11" t="s">
        <v>8192</v>
      </c>
      <c r="I298" s="3" t="s">
        <v>2644</v>
      </c>
      <c r="J298" s="7">
        <v>1.46</v>
      </c>
      <c r="K298" s="1" t="s">
        <v>2645</v>
      </c>
      <c r="L298" s="2">
        <v>9.4100000000000003E-2</v>
      </c>
      <c r="M298" s="2">
        <f>10432/100000</f>
        <v>0.10432</v>
      </c>
      <c r="N298" s="2">
        <v>0.36230659999999998</v>
      </c>
      <c r="O298" s="4" t="s">
        <v>2646</v>
      </c>
      <c r="P298" s="1">
        <v>0.47</v>
      </c>
      <c r="Q298" s="7" t="s">
        <v>2647</v>
      </c>
      <c r="R298" s="2">
        <v>8.6499999999999994E-2</v>
      </c>
      <c r="S298" s="2">
        <f>10479/100000</f>
        <v>0.10478999999999999</v>
      </c>
      <c r="T298" s="2">
        <v>0.36332550000000002</v>
      </c>
    </row>
    <row r="299" spans="1:20">
      <c r="A299" s="3" t="s">
        <v>2648</v>
      </c>
      <c r="B299" s="1" t="s">
        <v>2615</v>
      </c>
      <c r="C299" s="3" t="s">
        <v>2616</v>
      </c>
      <c r="D299" s="3" t="s">
        <v>2649</v>
      </c>
      <c r="E299" s="3" t="s">
        <v>2650</v>
      </c>
      <c r="F299" s="3" t="s">
        <v>2642</v>
      </c>
      <c r="G299" s="3" t="s">
        <v>2643</v>
      </c>
      <c r="H299" s="11" t="s">
        <v>8072</v>
      </c>
      <c r="I299" s="3" t="s">
        <v>2651</v>
      </c>
      <c r="J299" s="7">
        <v>1.03</v>
      </c>
      <c r="K299" s="1" t="s">
        <v>2652</v>
      </c>
      <c r="L299" s="2">
        <v>0.93300000000000005</v>
      </c>
      <c r="M299" s="2">
        <f>100000/100000</f>
        <v>1</v>
      </c>
      <c r="N299" s="2">
        <v>0.82929589999999997</v>
      </c>
      <c r="O299" s="4" t="s">
        <v>2653</v>
      </c>
      <c r="P299" s="1">
        <v>0.53</v>
      </c>
      <c r="Q299" s="7" t="s">
        <v>1115</v>
      </c>
      <c r="R299" s="2">
        <v>9.7299999999999998E-2</v>
      </c>
      <c r="S299" s="2">
        <f>11032/100000</f>
        <v>0.11032</v>
      </c>
      <c r="T299" s="2">
        <v>0.37259229999999999</v>
      </c>
    </row>
    <row r="300" spans="1:20">
      <c r="A300" s="3" t="s">
        <v>2654</v>
      </c>
      <c r="B300" s="1" t="s">
        <v>2615</v>
      </c>
      <c r="C300" s="3" t="s">
        <v>2616</v>
      </c>
      <c r="D300" s="3" t="s">
        <v>2655</v>
      </c>
      <c r="E300" s="3" t="s">
        <v>2656</v>
      </c>
      <c r="F300" s="3" t="s">
        <v>2642</v>
      </c>
      <c r="G300" s="3" t="s">
        <v>2643</v>
      </c>
      <c r="H300" s="11" t="s">
        <v>8194</v>
      </c>
      <c r="I300" s="3" t="s">
        <v>2657</v>
      </c>
      <c r="J300" s="7">
        <v>1.1100000000000001</v>
      </c>
      <c r="K300" s="1" t="s">
        <v>2658</v>
      </c>
      <c r="L300" s="2">
        <v>0.69499999999999995</v>
      </c>
      <c r="M300" s="2">
        <f>77895/100000</f>
        <v>0.77895000000000003</v>
      </c>
      <c r="N300" s="2">
        <v>0.82929589999999997</v>
      </c>
      <c r="O300" s="4" t="s">
        <v>2659</v>
      </c>
      <c r="P300" s="1">
        <v>1.33</v>
      </c>
      <c r="Q300" s="7" t="s">
        <v>2660</v>
      </c>
      <c r="R300" s="2">
        <v>0.3</v>
      </c>
      <c r="S300" s="2">
        <f>33982/100000</f>
        <v>0.33982000000000001</v>
      </c>
      <c r="T300" s="2">
        <v>0.61526179999999997</v>
      </c>
    </row>
    <row r="301" spans="1:20">
      <c r="A301" s="3" t="s">
        <v>2661</v>
      </c>
      <c r="B301" s="1" t="s">
        <v>2615</v>
      </c>
      <c r="C301" s="3" t="s">
        <v>2616</v>
      </c>
      <c r="D301" s="3" t="s">
        <v>2662</v>
      </c>
      <c r="E301" s="3" t="s">
        <v>2663</v>
      </c>
      <c r="F301" s="3" t="s">
        <v>2664</v>
      </c>
      <c r="G301" s="3" t="s">
        <v>2665</v>
      </c>
      <c r="H301" s="11" t="s">
        <v>8192</v>
      </c>
      <c r="I301" s="3" t="s">
        <v>2666</v>
      </c>
      <c r="J301" s="7">
        <v>1.57</v>
      </c>
      <c r="K301" s="1" t="s">
        <v>2667</v>
      </c>
      <c r="L301" s="2">
        <v>2.7799999999999999E-3</v>
      </c>
      <c r="M301" s="2">
        <f>383/100000</f>
        <v>3.8300000000000001E-3</v>
      </c>
      <c r="N301" s="2">
        <v>4.429516E-2</v>
      </c>
      <c r="O301" s="4" t="s">
        <v>2668</v>
      </c>
      <c r="P301" s="1">
        <v>1.41</v>
      </c>
      <c r="Q301" s="7" t="s">
        <v>2669</v>
      </c>
      <c r="R301" s="2">
        <v>3.1099999999999999E-2</v>
      </c>
      <c r="S301" s="2">
        <f>3463/100000</f>
        <v>3.4630000000000001E-2</v>
      </c>
      <c r="T301" s="2">
        <v>0.1960739</v>
      </c>
    </row>
    <row r="302" spans="1:20">
      <c r="A302" s="3" t="s">
        <v>2670</v>
      </c>
      <c r="B302" s="1" t="s">
        <v>2671</v>
      </c>
      <c r="C302" s="3" t="s">
        <v>2672</v>
      </c>
      <c r="D302" s="3" t="s">
        <v>2673</v>
      </c>
      <c r="E302" s="3" t="s">
        <v>2674</v>
      </c>
      <c r="F302" s="3" t="s">
        <v>2675</v>
      </c>
      <c r="G302" s="3" t="s">
        <v>2676</v>
      </c>
      <c r="H302" s="11" t="s">
        <v>8195</v>
      </c>
      <c r="I302" s="3" t="s">
        <v>2677</v>
      </c>
      <c r="J302" s="7">
        <v>0.88</v>
      </c>
      <c r="K302" s="1" t="s">
        <v>2678</v>
      </c>
      <c r="L302" s="2">
        <v>0.27800000000000002</v>
      </c>
      <c r="M302" s="2">
        <f>29820/100000</f>
        <v>0.29820000000000002</v>
      </c>
      <c r="N302" s="2">
        <v>0.58316690000000004</v>
      </c>
      <c r="O302" s="4" t="s">
        <v>2679</v>
      </c>
      <c r="P302" s="1">
        <v>0.87</v>
      </c>
      <c r="Q302" s="7" t="s">
        <v>2680</v>
      </c>
      <c r="R302" s="2">
        <v>0.217</v>
      </c>
      <c r="S302" s="2">
        <f>22564/100000</f>
        <v>0.22564000000000001</v>
      </c>
      <c r="T302" s="2">
        <v>0.52181200000000005</v>
      </c>
    </row>
    <row r="303" spans="1:20">
      <c r="A303" s="3" t="s">
        <v>2681</v>
      </c>
      <c r="B303" s="1" t="s">
        <v>2671</v>
      </c>
      <c r="C303" s="3" t="s">
        <v>2672</v>
      </c>
      <c r="D303" s="3" t="s">
        <v>2682</v>
      </c>
      <c r="E303" s="3" t="s">
        <v>2683</v>
      </c>
      <c r="F303" s="3" t="s">
        <v>2675</v>
      </c>
      <c r="G303" s="3" t="s">
        <v>2676</v>
      </c>
      <c r="H303" s="11" t="s">
        <v>8195</v>
      </c>
      <c r="I303" s="3" t="s">
        <v>2684</v>
      </c>
      <c r="J303" s="7">
        <v>1.26</v>
      </c>
      <c r="K303" s="1" t="s">
        <v>2685</v>
      </c>
      <c r="L303" s="2">
        <v>5.2600000000000001E-2</v>
      </c>
      <c r="M303" s="2">
        <f>5709/100000</f>
        <v>5.7090000000000002E-2</v>
      </c>
      <c r="N303" s="2">
        <v>0.26225179999999998</v>
      </c>
      <c r="O303" s="4" t="s">
        <v>2686</v>
      </c>
      <c r="P303" s="1">
        <v>1</v>
      </c>
      <c r="Q303" s="7" t="s">
        <v>2687</v>
      </c>
      <c r="R303" s="2">
        <v>0.96799999999999997</v>
      </c>
      <c r="S303" s="2">
        <f>100000/100000</f>
        <v>1</v>
      </c>
      <c r="T303" s="2">
        <v>0.82929589999999997</v>
      </c>
    </row>
    <row r="304" spans="1:20">
      <c r="A304" s="3" t="s">
        <v>2688</v>
      </c>
      <c r="B304" s="1" t="s">
        <v>2689</v>
      </c>
      <c r="C304" s="3" t="s">
        <v>2690</v>
      </c>
      <c r="D304" s="3" t="s">
        <v>2691</v>
      </c>
      <c r="E304" s="3" t="s">
        <v>2692</v>
      </c>
      <c r="F304" s="3" t="s">
        <v>2693</v>
      </c>
      <c r="G304" s="3" t="s">
        <v>2694</v>
      </c>
      <c r="H304" s="11" t="s">
        <v>8133</v>
      </c>
      <c r="I304" s="3" t="s">
        <v>2695</v>
      </c>
      <c r="J304" s="7">
        <v>1.1100000000000001</v>
      </c>
      <c r="K304" s="1" t="s">
        <v>2696</v>
      </c>
      <c r="L304" s="2">
        <v>0.443</v>
      </c>
      <c r="M304" s="2">
        <f>45068/100000</f>
        <v>0.45068000000000003</v>
      </c>
      <c r="N304" s="2">
        <v>0.69868149999999996</v>
      </c>
      <c r="O304" s="4" t="s">
        <v>2697</v>
      </c>
      <c r="P304" s="1">
        <v>1.59</v>
      </c>
      <c r="Q304" s="7" t="s">
        <v>2698</v>
      </c>
      <c r="R304" s="2">
        <v>3.4400000000000001E-4</v>
      </c>
      <c r="S304" s="2">
        <f>54/100000</f>
        <v>5.4000000000000001E-4</v>
      </c>
      <c r="T304" s="2">
        <v>1.058359E-2</v>
      </c>
    </row>
    <row r="305" spans="1:20">
      <c r="A305" s="3" t="s">
        <v>2699</v>
      </c>
      <c r="B305" s="1" t="s">
        <v>2689</v>
      </c>
      <c r="C305" s="3" t="s">
        <v>2690</v>
      </c>
      <c r="D305" s="3" t="s">
        <v>2700</v>
      </c>
      <c r="E305" s="3" t="s">
        <v>2701</v>
      </c>
      <c r="F305" s="3" t="s">
        <v>2702</v>
      </c>
      <c r="G305" s="3" t="s">
        <v>2703</v>
      </c>
      <c r="H305" s="11" t="s">
        <v>8133</v>
      </c>
      <c r="I305" s="3" t="s">
        <v>2704</v>
      </c>
      <c r="J305" s="7">
        <v>0.92</v>
      </c>
      <c r="K305" s="1" t="s">
        <v>2705</v>
      </c>
      <c r="L305" s="2">
        <v>0.53</v>
      </c>
      <c r="M305" s="2">
        <f>55370/100000</f>
        <v>0.55369999999999997</v>
      </c>
      <c r="N305" s="2">
        <v>0.75498670000000001</v>
      </c>
      <c r="O305" s="4" t="s">
        <v>2706</v>
      </c>
      <c r="P305" s="1">
        <v>1.48</v>
      </c>
      <c r="Q305" s="7" t="s">
        <v>2707</v>
      </c>
      <c r="R305" s="2">
        <v>1.6100000000000001E-3</v>
      </c>
      <c r="S305" s="2">
        <f>182/100000</f>
        <v>1.82E-3</v>
      </c>
      <c r="T305" s="2">
        <v>2.5258650000000001E-2</v>
      </c>
    </row>
    <row r="306" spans="1:20">
      <c r="A306" s="3" t="s">
        <v>2708</v>
      </c>
      <c r="B306" s="1" t="s">
        <v>2709</v>
      </c>
      <c r="C306" s="3" t="s">
        <v>2710</v>
      </c>
      <c r="D306" s="3" t="s">
        <v>2711</v>
      </c>
      <c r="E306" s="3" t="s">
        <v>2712</v>
      </c>
      <c r="F306" s="3" t="s">
        <v>2713</v>
      </c>
      <c r="G306" s="3" t="s">
        <v>2714</v>
      </c>
      <c r="H306" s="11" t="s">
        <v>8196</v>
      </c>
      <c r="I306" s="3" t="s">
        <v>2715</v>
      </c>
      <c r="J306" s="7">
        <v>2.5499999999999998</v>
      </c>
      <c r="K306" s="1" t="s">
        <v>2716</v>
      </c>
      <c r="L306" s="2">
        <v>7.5400000000000003E-48</v>
      </c>
      <c r="M306" s="2" t="s">
        <v>500</v>
      </c>
      <c r="N306" s="2">
        <v>3.517123E-4</v>
      </c>
      <c r="O306" s="4" t="s">
        <v>2717</v>
      </c>
      <c r="P306" s="1">
        <v>1.18</v>
      </c>
      <c r="Q306" s="7" t="s">
        <v>2718</v>
      </c>
      <c r="R306" s="2">
        <v>2.9499999999999998E-2</v>
      </c>
      <c r="S306" s="2">
        <f>3281/100000</f>
        <v>3.2809999999999999E-2</v>
      </c>
      <c r="T306" s="2">
        <v>0.18839819999999999</v>
      </c>
    </row>
    <row r="307" spans="1:20">
      <c r="A307" s="3" t="s">
        <v>2719</v>
      </c>
      <c r="B307" s="1" t="s">
        <v>2720</v>
      </c>
      <c r="C307" s="3" t="s">
        <v>2721</v>
      </c>
      <c r="D307" s="3" t="s">
        <v>2722</v>
      </c>
      <c r="E307" s="3" t="s">
        <v>2723</v>
      </c>
      <c r="F307" s="3" t="s">
        <v>2722</v>
      </c>
      <c r="G307" s="3" t="s">
        <v>2723</v>
      </c>
      <c r="H307" s="13" t="s">
        <v>2721</v>
      </c>
      <c r="I307" s="3" t="s">
        <v>2724</v>
      </c>
      <c r="J307" s="7" t="e">
        <v>#DIV/0!</v>
      </c>
      <c r="K307" s="1" t="s">
        <v>2725</v>
      </c>
      <c r="L307" s="1" t="e">
        <v>#DIV/0!</v>
      </c>
      <c r="M307" s="2" t="s">
        <v>500</v>
      </c>
      <c r="N307" s="2">
        <v>3.517123E-4</v>
      </c>
      <c r="O307" s="3" t="s">
        <v>2724</v>
      </c>
      <c r="P307" s="1" t="e">
        <v>#DIV/0!</v>
      </c>
      <c r="Q307" s="7" t="s">
        <v>2725</v>
      </c>
      <c r="R307" s="2" t="e">
        <v>#DIV/0!</v>
      </c>
      <c r="S307" s="2" t="s">
        <v>500</v>
      </c>
      <c r="T307" s="2">
        <v>3.517123E-4</v>
      </c>
    </row>
    <row r="308" spans="1:20">
      <c r="A308" s="3" t="s">
        <v>2726</v>
      </c>
      <c r="B308" s="1" t="s">
        <v>2727</v>
      </c>
      <c r="C308" s="3" t="s">
        <v>2728</v>
      </c>
      <c r="D308" s="3" t="s">
        <v>2729</v>
      </c>
      <c r="E308" s="3" t="s">
        <v>2730</v>
      </c>
      <c r="F308" s="3" t="s">
        <v>2731</v>
      </c>
      <c r="G308" s="3" t="s">
        <v>2732</v>
      </c>
      <c r="H308" s="11" t="s">
        <v>8196</v>
      </c>
      <c r="I308" s="3" t="s">
        <v>2733</v>
      </c>
      <c r="J308" s="7">
        <v>2.02</v>
      </c>
      <c r="K308" s="1" t="s">
        <v>2734</v>
      </c>
      <c r="L308" s="2">
        <v>1.3E-24</v>
      </c>
      <c r="M308" s="2" t="s">
        <v>500</v>
      </c>
      <c r="N308" s="2">
        <v>3.517123E-4</v>
      </c>
      <c r="O308" s="4" t="s">
        <v>2735</v>
      </c>
      <c r="P308" s="1">
        <v>0.94</v>
      </c>
      <c r="Q308" s="7" t="s">
        <v>2736</v>
      </c>
      <c r="R308" s="2">
        <v>0.46</v>
      </c>
      <c r="S308" s="2">
        <f>47093/100000</f>
        <v>0.47093000000000002</v>
      </c>
      <c r="T308" s="2">
        <v>0.71810719999999995</v>
      </c>
    </row>
    <row r="309" spans="1:20">
      <c r="A309" s="3" t="s">
        <v>2737</v>
      </c>
      <c r="B309" s="1" t="s">
        <v>2727</v>
      </c>
      <c r="C309" s="3" t="s">
        <v>2728</v>
      </c>
      <c r="D309" s="3" t="s">
        <v>2711</v>
      </c>
      <c r="E309" s="3" t="s">
        <v>2712</v>
      </c>
      <c r="F309" s="3" t="s">
        <v>2713</v>
      </c>
      <c r="G309" s="3" t="s">
        <v>2714</v>
      </c>
      <c r="H309" s="11" t="s">
        <v>8197</v>
      </c>
      <c r="I309" s="3" t="s">
        <v>2715</v>
      </c>
      <c r="J309" s="7">
        <v>2.5499999999999998</v>
      </c>
      <c r="K309" s="1" t="s">
        <v>2716</v>
      </c>
      <c r="L309" s="2">
        <v>7.5400000000000003E-48</v>
      </c>
      <c r="M309" s="2" t="s">
        <v>500</v>
      </c>
      <c r="N309" s="2">
        <v>3.517123E-4</v>
      </c>
      <c r="O309" s="4" t="s">
        <v>2717</v>
      </c>
      <c r="P309" s="1">
        <v>1.18</v>
      </c>
      <c r="Q309" s="7" t="s">
        <v>2718</v>
      </c>
      <c r="R309" s="2">
        <v>2.9499999999999998E-2</v>
      </c>
      <c r="S309" s="2">
        <f>3281/100000</f>
        <v>3.2809999999999999E-2</v>
      </c>
      <c r="T309" s="2">
        <v>0.18839819999999999</v>
      </c>
    </row>
    <row r="310" spans="1:20">
      <c r="A310" s="3" t="s">
        <v>2738</v>
      </c>
      <c r="B310" s="1" t="s">
        <v>2739</v>
      </c>
      <c r="C310" s="3" t="s">
        <v>2740</v>
      </c>
      <c r="D310" s="3" t="s">
        <v>2741</v>
      </c>
      <c r="E310" s="3" t="s">
        <v>2742</v>
      </c>
      <c r="F310" s="3" t="s">
        <v>2743</v>
      </c>
      <c r="G310" s="3" t="s">
        <v>2744</v>
      </c>
      <c r="H310" s="11" t="s">
        <v>8198</v>
      </c>
      <c r="I310" s="3" t="s">
        <v>2745</v>
      </c>
      <c r="J310" s="7">
        <v>1.1599999999999999</v>
      </c>
      <c r="K310" s="1" t="s">
        <v>2746</v>
      </c>
      <c r="L310" s="2">
        <v>0.65700000000000003</v>
      </c>
      <c r="M310" s="2">
        <f>72682/100000</f>
        <v>0.72682000000000002</v>
      </c>
      <c r="N310" s="2">
        <v>0.82137769999999999</v>
      </c>
      <c r="O310" s="4" t="s">
        <v>2747</v>
      </c>
      <c r="P310" s="1">
        <v>1.22</v>
      </c>
      <c r="Q310" s="7" t="s">
        <v>2748</v>
      </c>
      <c r="R310" s="2">
        <v>0.53300000000000003</v>
      </c>
      <c r="S310" s="2">
        <f>60880/100000</f>
        <v>0.60880000000000001</v>
      </c>
      <c r="T310" s="2">
        <v>0.78810860000000005</v>
      </c>
    </row>
    <row r="311" spans="1:20">
      <c r="A311" s="3" t="s">
        <v>2749</v>
      </c>
      <c r="B311" s="1" t="s">
        <v>2739</v>
      </c>
      <c r="C311" s="3" t="s">
        <v>2740</v>
      </c>
      <c r="D311" s="3" t="s">
        <v>2750</v>
      </c>
      <c r="E311" s="3" t="s">
        <v>2751</v>
      </c>
      <c r="F311" s="3" t="s">
        <v>2743</v>
      </c>
      <c r="G311" s="3" t="s">
        <v>2744</v>
      </c>
      <c r="H311" s="11" t="s">
        <v>8094</v>
      </c>
      <c r="I311" s="3" t="s">
        <v>2752</v>
      </c>
      <c r="J311" s="7">
        <v>0.63</v>
      </c>
      <c r="K311" s="1" t="s">
        <v>2753</v>
      </c>
      <c r="L311" s="2">
        <v>0.19900000000000001</v>
      </c>
      <c r="M311" s="2">
        <f>23959/100000</f>
        <v>0.23959</v>
      </c>
      <c r="N311" s="2">
        <v>0.54005259999999999</v>
      </c>
      <c r="O311" s="4" t="s">
        <v>2754</v>
      </c>
      <c r="P311" s="1">
        <v>1.72</v>
      </c>
      <c r="Q311" s="7" t="s">
        <v>2755</v>
      </c>
      <c r="R311" s="2">
        <v>7.1900000000000002E-3</v>
      </c>
      <c r="S311" s="2">
        <f>887/100000</f>
        <v>8.8699999999999994E-3</v>
      </c>
      <c r="T311" s="2">
        <v>8.047253E-2</v>
      </c>
    </row>
    <row r="312" spans="1:20">
      <c r="A312" s="3" t="s">
        <v>2756</v>
      </c>
      <c r="B312" s="1" t="s">
        <v>2757</v>
      </c>
      <c r="C312" s="3" t="s">
        <v>2758</v>
      </c>
      <c r="D312" s="3" t="s">
        <v>2759</v>
      </c>
      <c r="E312" s="3" t="s">
        <v>2760</v>
      </c>
      <c r="F312" s="3" t="s">
        <v>2761</v>
      </c>
      <c r="G312" s="3" t="s">
        <v>2762</v>
      </c>
      <c r="H312" s="11" t="s">
        <v>8199</v>
      </c>
      <c r="I312" s="3" t="s">
        <v>2763</v>
      </c>
      <c r="J312" s="7">
        <v>1.5</v>
      </c>
      <c r="K312" s="1" t="s">
        <v>2764</v>
      </c>
      <c r="L312" s="2">
        <v>0.215</v>
      </c>
      <c r="M312" s="2">
        <f>23132/100000</f>
        <v>0.23132</v>
      </c>
      <c r="N312" s="2">
        <v>0.53002009999999999</v>
      </c>
      <c r="O312" s="4" t="s">
        <v>2765</v>
      </c>
      <c r="P312" s="1">
        <v>0.81</v>
      </c>
      <c r="Q312" s="7" t="s">
        <v>2766</v>
      </c>
      <c r="R312" s="2">
        <v>0.63700000000000001</v>
      </c>
      <c r="S312" s="2">
        <f>68783/100000</f>
        <v>0.68783000000000005</v>
      </c>
      <c r="T312" s="2">
        <v>0.81339530000000004</v>
      </c>
    </row>
    <row r="313" spans="1:20">
      <c r="A313" s="3" t="s">
        <v>2767</v>
      </c>
      <c r="B313" s="1" t="s">
        <v>2757</v>
      </c>
      <c r="C313" s="3" t="s">
        <v>2758</v>
      </c>
      <c r="D313" s="3" t="s">
        <v>2768</v>
      </c>
      <c r="E313" s="3" t="s">
        <v>2769</v>
      </c>
      <c r="F313" s="3" t="s">
        <v>2770</v>
      </c>
      <c r="G313" s="3" t="s">
        <v>2771</v>
      </c>
      <c r="H313" s="11" t="s">
        <v>8199</v>
      </c>
      <c r="I313" s="3" t="s">
        <v>2772</v>
      </c>
      <c r="J313" s="7">
        <v>1</v>
      </c>
      <c r="K313" s="1" t="s">
        <v>650</v>
      </c>
      <c r="L313" s="2">
        <v>1</v>
      </c>
      <c r="M313" s="2">
        <f>100000/100000</f>
        <v>1</v>
      </c>
      <c r="N313" s="2">
        <v>0.82929589999999997</v>
      </c>
      <c r="O313" s="4" t="s">
        <v>2773</v>
      </c>
      <c r="P313" s="1">
        <v>0.98</v>
      </c>
      <c r="Q313" s="7" t="s">
        <v>2774</v>
      </c>
      <c r="R313" s="2">
        <v>0.94699999999999995</v>
      </c>
      <c r="S313" s="2">
        <f>100000/100000</f>
        <v>1</v>
      </c>
      <c r="T313" s="2">
        <v>0.82929589999999997</v>
      </c>
    </row>
    <row r="314" spans="1:20">
      <c r="A314" s="3" t="s">
        <v>2775</v>
      </c>
      <c r="B314" s="1" t="s">
        <v>2776</v>
      </c>
      <c r="C314" s="3" t="s">
        <v>2777</v>
      </c>
      <c r="D314" s="3" t="s">
        <v>2778</v>
      </c>
      <c r="E314" s="3" t="s">
        <v>2779</v>
      </c>
      <c r="F314" s="3" t="s">
        <v>2780</v>
      </c>
      <c r="G314" s="3" t="s">
        <v>2781</v>
      </c>
      <c r="H314" s="11" t="s">
        <v>8095</v>
      </c>
      <c r="I314" s="3" t="s">
        <v>2782</v>
      </c>
      <c r="J314" s="7">
        <v>2.88</v>
      </c>
      <c r="K314" s="1" t="s">
        <v>2783</v>
      </c>
      <c r="L314" s="2">
        <v>1.09E-3</v>
      </c>
      <c r="M314" s="2">
        <f>466/100000</f>
        <v>4.6600000000000001E-3</v>
      </c>
      <c r="N314" s="2">
        <v>5.1240279999999999E-2</v>
      </c>
      <c r="O314" s="4" t="s">
        <v>2784</v>
      </c>
      <c r="P314" s="1">
        <v>0.56000000000000005</v>
      </c>
      <c r="Q314" s="7" t="s">
        <v>2785</v>
      </c>
      <c r="R314" s="2">
        <v>0.55600000000000005</v>
      </c>
      <c r="S314" s="2">
        <f>72668/100000</f>
        <v>0.72667999999999999</v>
      </c>
      <c r="T314" s="2">
        <v>0.82137769999999999</v>
      </c>
    </row>
    <row r="315" spans="1:20">
      <c r="A315" s="3" t="s">
        <v>2786</v>
      </c>
      <c r="B315" s="1" t="s">
        <v>2787</v>
      </c>
      <c r="C315" s="3" t="s">
        <v>2788</v>
      </c>
      <c r="D315" s="3" t="s">
        <v>2778</v>
      </c>
      <c r="E315" s="3" t="s">
        <v>2779</v>
      </c>
      <c r="F315" s="3" t="s">
        <v>2780</v>
      </c>
      <c r="G315" s="3" t="s">
        <v>2781</v>
      </c>
      <c r="H315" s="11" t="s">
        <v>8095</v>
      </c>
      <c r="I315" s="3" t="s">
        <v>2782</v>
      </c>
      <c r="J315" s="7">
        <v>2.88</v>
      </c>
      <c r="K315" s="1" t="s">
        <v>2783</v>
      </c>
      <c r="L315" s="2">
        <v>1.09E-3</v>
      </c>
      <c r="M315" s="2">
        <f>466/100000</f>
        <v>4.6600000000000001E-3</v>
      </c>
      <c r="N315" s="2">
        <v>5.1240279999999999E-2</v>
      </c>
      <c r="O315" s="4" t="s">
        <v>2784</v>
      </c>
      <c r="P315" s="1">
        <v>0.56000000000000005</v>
      </c>
      <c r="Q315" s="7" t="s">
        <v>2785</v>
      </c>
      <c r="R315" s="2">
        <v>0.55600000000000005</v>
      </c>
      <c r="S315" s="2">
        <f>72668/100000</f>
        <v>0.72667999999999999</v>
      </c>
      <c r="T315" s="2">
        <v>0.82137769999999999</v>
      </c>
    </row>
    <row r="316" spans="1:20">
      <c r="A316" s="3" t="s">
        <v>2789</v>
      </c>
      <c r="B316" s="1" t="s">
        <v>2790</v>
      </c>
      <c r="C316" s="3" t="s">
        <v>2791</v>
      </c>
      <c r="D316" s="3" t="s">
        <v>2792</v>
      </c>
      <c r="E316" s="3" t="s">
        <v>2793</v>
      </c>
      <c r="F316" s="3" t="s">
        <v>2794</v>
      </c>
      <c r="G316" s="3" t="s">
        <v>2795</v>
      </c>
      <c r="H316" s="11" t="s">
        <v>8200</v>
      </c>
      <c r="I316" s="3" t="s">
        <v>2796</v>
      </c>
      <c r="J316" s="7">
        <v>1.37</v>
      </c>
      <c r="K316" s="1" t="s">
        <v>1769</v>
      </c>
      <c r="L316" s="2">
        <v>0.17199999999999999</v>
      </c>
      <c r="M316" s="2">
        <f>18904/100000</f>
        <v>0.18904000000000001</v>
      </c>
      <c r="N316" s="2">
        <v>0.47761559999999997</v>
      </c>
      <c r="O316" s="4" t="s">
        <v>2797</v>
      </c>
      <c r="P316" s="1">
        <v>1.72</v>
      </c>
      <c r="Q316" s="7" t="s">
        <v>2798</v>
      </c>
      <c r="R316" s="2">
        <v>1.5499999999999999E-3</v>
      </c>
      <c r="S316" s="2">
        <f>220/100000</f>
        <v>2.2000000000000001E-3</v>
      </c>
      <c r="T316" s="2">
        <v>2.8527779999999999E-2</v>
      </c>
    </row>
    <row r="317" spans="1:20">
      <c r="A317" s="3" t="s">
        <v>2799</v>
      </c>
      <c r="B317" s="1" t="s">
        <v>2790</v>
      </c>
      <c r="C317" s="3" t="s">
        <v>2791</v>
      </c>
      <c r="D317" s="3" t="s">
        <v>2800</v>
      </c>
      <c r="E317" s="3" t="s">
        <v>2801</v>
      </c>
      <c r="F317" s="3" t="s">
        <v>2794</v>
      </c>
      <c r="G317" s="3" t="s">
        <v>2795</v>
      </c>
      <c r="H317" s="11" t="s">
        <v>8201</v>
      </c>
      <c r="I317" s="3" t="s">
        <v>2802</v>
      </c>
      <c r="J317" s="7">
        <v>2.14</v>
      </c>
      <c r="K317" s="1" t="s">
        <v>2803</v>
      </c>
      <c r="L317" s="2">
        <v>2.3599999999999999E-4</v>
      </c>
      <c r="M317" s="2">
        <f>66/100000</f>
        <v>6.6E-4</v>
      </c>
      <c r="N317" s="2">
        <v>1.219101E-2</v>
      </c>
      <c r="O317" s="4" t="s">
        <v>2804</v>
      </c>
      <c r="P317" s="1">
        <v>1.46</v>
      </c>
      <c r="Q317" s="7" t="s">
        <v>2805</v>
      </c>
      <c r="R317" s="2">
        <v>8.1900000000000001E-2</v>
      </c>
      <c r="S317" s="2">
        <f>9072/100000</f>
        <v>9.0719999999999995E-2</v>
      </c>
      <c r="T317" s="2">
        <v>0.34499590000000002</v>
      </c>
    </row>
    <row r="318" spans="1:20">
      <c r="A318" s="3" t="s">
        <v>2806</v>
      </c>
      <c r="B318" s="1" t="s">
        <v>2807</v>
      </c>
      <c r="C318" s="3" t="s">
        <v>2808</v>
      </c>
      <c r="D318" s="3" t="s">
        <v>2809</v>
      </c>
      <c r="E318" s="3" t="s">
        <v>2810</v>
      </c>
      <c r="F318" s="3" t="s">
        <v>2811</v>
      </c>
      <c r="G318" s="3" t="s">
        <v>2812</v>
      </c>
      <c r="H318" s="11" t="s">
        <v>8202</v>
      </c>
      <c r="I318" s="3" t="s">
        <v>2813</v>
      </c>
      <c r="J318" s="7">
        <v>0.76</v>
      </c>
      <c r="K318" s="1" t="s">
        <v>2814</v>
      </c>
      <c r="L318" s="2">
        <v>0.20499999999999999</v>
      </c>
      <c r="M318" s="2">
        <f>24068/100000</f>
        <v>0.24068000000000001</v>
      </c>
      <c r="N318" s="2">
        <v>0.54088069999999999</v>
      </c>
      <c r="O318" s="4" t="s">
        <v>2815</v>
      </c>
      <c r="P318" s="1">
        <v>0.31</v>
      </c>
      <c r="Q318" s="7" t="s">
        <v>2816</v>
      </c>
      <c r="R318" s="2">
        <v>6.3899999999999995E-5</v>
      </c>
      <c r="S318" s="2">
        <f>15/100000</f>
        <v>1.4999999999999999E-4</v>
      </c>
      <c r="T318" s="2">
        <v>3.5659720000000002E-3</v>
      </c>
    </row>
    <row r="319" spans="1:20">
      <c r="A319" s="3" t="s">
        <v>2817</v>
      </c>
      <c r="B319" s="1" t="s">
        <v>2807</v>
      </c>
      <c r="C319" s="3" t="s">
        <v>2808</v>
      </c>
      <c r="D319" s="3" t="s">
        <v>2818</v>
      </c>
      <c r="E319" s="3" t="s">
        <v>2819</v>
      </c>
      <c r="F319" s="3" t="s">
        <v>2811</v>
      </c>
      <c r="G319" s="3" t="s">
        <v>2812</v>
      </c>
      <c r="H319" s="11" t="s">
        <v>8096</v>
      </c>
      <c r="I319" s="3" t="s">
        <v>2820</v>
      </c>
      <c r="J319" s="7">
        <v>0.92</v>
      </c>
      <c r="K319" s="1" t="s">
        <v>2821</v>
      </c>
      <c r="L319" s="2">
        <v>0.63400000000000001</v>
      </c>
      <c r="M319" s="2">
        <f>66899/100000</f>
        <v>0.66898999999999997</v>
      </c>
      <c r="N319" s="2">
        <v>0.80511429999999995</v>
      </c>
      <c r="O319" s="4" t="s">
        <v>2822</v>
      </c>
      <c r="P319" s="1">
        <v>0.87</v>
      </c>
      <c r="Q319" s="7" t="s">
        <v>2823</v>
      </c>
      <c r="R319" s="2">
        <v>0.47599999999999998</v>
      </c>
      <c r="S319" s="2">
        <f>51735/100000</f>
        <v>0.51734999999999998</v>
      </c>
      <c r="T319" s="2">
        <v>0.74478149999999999</v>
      </c>
    </row>
    <row r="320" spans="1:20">
      <c r="A320" s="3" t="s">
        <v>2824</v>
      </c>
      <c r="B320" s="1" t="s">
        <v>2807</v>
      </c>
      <c r="C320" s="3" t="s">
        <v>2808</v>
      </c>
      <c r="D320" s="3" t="s">
        <v>2825</v>
      </c>
      <c r="E320" s="3" t="s">
        <v>2826</v>
      </c>
      <c r="F320" s="3" t="s">
        <v>2827</v>
      </c>
      <c r="G320" s="3" t="s">
        <v>2828</v>
      </c>
      <c r="H320" s="11" t="s">
        <v>8203</v>
      </c>
      <c r="I320" s="3" t="s">
        <v>2829</v>
      </c>
      <c r="J320" s="7">
        <v>1.43</v>
      </c>
      <c r="K320" s="1" t="s">
        <v>2830</v>
      </c>
      <c r="L320" s="2">
        <v>1.5699999999999999E-2</v>
      </c>
      <c r="M320" s="2">
        <f>1635/100000</f>
        <v>1.635E-2</v>
      </c>
      <c r="N320" s="2">
        <v>0.1209971</v>
      </c>
      <c r="O320" s="4" t="s">
        <v>2831</v>
      </c>
      <c r="P320" s="1">
        <v>0.51</v>
      </c>
      <c r="Q320" s="7" t="s">
        <v>2832</v>
      </c>
      <c r="R320" s="2">
        <v>4.3600000000000002E-3</v>
      </c>
      <c r="S320" s="2">
        <f>533/100000</f>
        <v>5.3299999999999997E-3</v>
      </c>
      <c r="T320" s="2">
        <v>5.6421600000000002E-2</v>
      </c>
    </row>
    <row r="321" spans="1:20">
      <c r="A321" s="3" t="s">
        <v>2833</v>
      </c>
      <c r="B321" s="1" t="s">
        <v>2807</v>
      </c>
      <c r="C321" s="3" t="s">
        <v>2808</v>
      </c>
      <c r="D321" s="3" t="s">
        <v>2834</v>
      </c>
      <c r="E321" s="3" t="s">
        <v>2835</v>
      </c>
      <c r="F321" s="3" t="s">
        <v>2827</v>
      </c>
      <c r="G321" s="3" t="s">
        <v>2828</v>
      </c>
      <c r="H321" s="11" t="s">
        <v>8096</v>
      </c>
      <c r="I321" s="3" t="s">
        <v>2836</v>
      </c>
      <c r="J321" s="7">
        <v>0.77</v>
      </c>
      <c r="K321" s="1" t="s">
        <v>2837</v>
      </c>
      <c r="L321" s="2">
        <v>3.0800000000000001E-2</v>
      </c>
      <c r="M321" s="2">
        <f>3118/100000</f>
        <v>3.1179999999999999E-2</v>
      </c>
      <c r="N321" s="2">
        <v>0.1841517</v>
      </c>
      <c r="O321" s="4" t="s">
        <v>2838</v>
      </c>
      <c r="P321" s="1">
        <v>0.78</v>
      </c>
      <c r="Q321" s="7" t="s">
        <v>2839</v>
      </c>
      <c r="R321" s="2">
        <v>4.8099999999999997E-2</v>
      </c>
      <c r="S321" s="2">
        <f>5388/100000</f>
        <v>5.3879999999999997E-2</v>
      </c>
      <c r="T321" s="2">
        <v>0.25253330000000002</v>
      </c>
    </row>
    <row r="322" spans="1:20">
      <c r="A322" s="3" t="s">
        <v>2840</v>
      </c>
      <c r="B322" s="1" t="s">
        <v>2841</v>
      </c>
      <c r="C322" s="3" t="s">
        <v>2842</v>
      </c>
      <c r="D322" s="3" t="s">
        <v>2800</v>
      </c>
      <c r="E322" s="3" t="s">
        <v>2801</v>
      </c>
      <c r="F322" s="3" t="s">
        <v>2794</v>
      </c>
      <c r="G322" s="3" t="s">
        <v>2795</v>
      </c>
      <c r="H322" s="11" t="s">
        <v>8201</v>
      </c>
      <c r="I322" s="3" t="s">
        <v>2802</v>
      </c>
      <c r="J322" s="7">
        <v>2.14</v>
      </c>
      <c r="K322" s="1" t="s">
        <v>2803</v>
      </c>
      <c r="L322" s="2">
        <v>2.3599999999999999E-4</v>
      </c>
      <c r="M322" s="2">
        <f>66/100000</f>
        <v>6.6E-4</v>
      </c>
      <c r="N322" s="2">
        <v>1.219101E-2</v>
      </c>
      <c r="O322" s="4" t="s">
        <v>2804</v>
      </c>
      <c r="P322" s="1">
        <v>1.46</v>
      </c>
      <c r="Q322" s="7" t="s">
        <v>2805</v>
      </c>
      <c r="R322" s="2">
        <v>8.1900000000000001E-2</v>
      </c>
      <c r="S322" s="2">
        <f>9072/100000</f>
        <v>9.0719999999999995E-2</v>
      </c>
      <c r="T322" s="2">
        <v>0.34499590000000002</v>
      </c>
    </row>
    <row r="323" spans="1:20">
      <c r="A323" s="3" t="s">
        <v>2843</v>
      </c>
      <c r="B323" s="1" t="s">
        <v>2841</v>
      </c>
      <c r="C323" s="3" t="s">
        <v>2842</v>
      </c>
      <c r="D323" s="3" t="s">
        <v>2792</v>
      </c>
      <c r="E323" s="3" t="s">
        <v>2793</v>
      </c>
      <c r="F323" s="3" t="s">
        <v>2794</v>
      </c>
      <c r="G323" s="3" t="s">
        <v>2795</v>
      </c>
      <c r="H323" s="11" t="s">
        <v>8200</v>
      </c>
      <c r="I323" s="3" t="s">
        <v>2796</v>
      </c>
      <c r="J323" s="7">
        <v>1.37</v>
      </c>
      <c r="K323" s="1" t="s">
        <v>1769</v>
      </c>
      <c r="L323" s="2">
        <v>0.17199999999999999</v>
      </c>
      <c r="M323" s="2">
        <f>18904/100000</f>
        <v>0.18904000000000001</v>
      </c>
      <c r="N323" s="2">
        <v>0.47761559999999997</v>
      </c>
      <c r="O323" s="4" t="s">
        <v>2797</v>
      </c>
      <c r="P323" s="1">
        <v>1.72</v>
      </c>
      <c r="Q323" s="7" t="s">
        <v>2798</v>
      </c>
      <c r="R323" s="2">
        <v>1.5499999999999999E-3</v>
      </c>
      <c r="S323" s="2">
        <f>220/100000</f>
        <v>2.2000000000000001E-3</v>
      </c>
      <c r="T323" s="2">
        <v>2.8527779999999999E-2</v>
      </c>
    </row>
    <row r="324" spans="1:20">
      <c r="A324" s="3" t="s">
        <v>2844</v>
      </c>
      <c r="B324" s="1" t="s">
        <v>2845</v>
      </c>
      <c r="C324" s="3" t="s">
        <v>2846</v>
      </c>
      <c r="D324" s="3" t="s">
        <v>2847</v>
      </c>
      <c r="E324" s="3" t="s">
        <v>2848</v>
      </c>
      <c r="F324" s="3" t="s">
        <v>2849</v>
      </c>
      <c r="G324" s="3" t="s">
        <v>2850</v>
      </c>
      <c r="H324" s="11" t="s">
        <v>8204</v>
      </c>
      <c r="I324" s="3" t="s">
        <v>2851</v>
      </c>
      <c r="J324" s="7">
        <v>1.82</v>
      </c>
      <c r="K324" s="1" t="s">
        <v>2852</v>
      </c>
      <c r="L324" s="2">
        <v>4.2200000000000001E-8</v>
      </c>
      <c r="M324" s="2" t="s">
        <v>500</v>
      </c>
      <c r="N324" s="2">
        <v>3.517123E-4</v>
      </c>
      <c r="O324" s="4" t="s">
        <v>2853</v>
      </c>
      <c r="P324" s="1">
        <v>1.23</v>
      </c>
      <c r="Q324" s="7" t="s">
        <v>2854</v>
      </c>
      <c r="R324" s="2">
        <v>8.2900000000000001E-2</v>
      </c>
      <c r="S324" s="2">
        <f>8690/100000</f>
        <v>8.6900000000000005E-2</v>
      </c>
      <c r="T324" s="2">
        <v>0.33527620000000002</v>
      </c>
    </row>
    <row r="325" spans="1:20">
      <c r="A325" s="3" t="s">
        <v>2855</v>
      </c>
      <c r="B325" s="1" t="s">
        <v>2856</v>
      </c>
      <c r="C325" s="3" t="s">
        <v>2857</v>
      </c>
      <c r="D325" s="3" t="s">
        <v>2858</v>
      </c>
      <c r="E325" s="3" t="s">
        <v>2859</v>
      </c>
      <c r="F325" s="3" t="s">
        <v>2860</v>
      </c>
      <c r="G325" s="3" t="s">
        <v>2861</v>
      </c>
      <c r="H325" s="11" t="s">
        <v>8205</v>
      </c>
      <c r="I325" s="3" t="s">
        <v>2862</v>
      </c>
      <c r="J325" s="7">
        <v>0.95</v>
      </c>
      <c r="K325" s="1" t="s">
        <v>2863</v>
      </c>
      <c r="L325" s="2">
        <v>0.69099999999999995</v>
      </c>
      <c r="M325" s="2">
        <f>73550/100000</f>
        <v>0.73550000000000004</v>
      </c>
      <c r="N325" s="2">
        <v>0.82137769999999999</v>
      </c>
      <c r="O325" s="4" t="s">
        <v>2864</v>
      </c>
      <c r="P325" s="1">
        <v>0.98</v>
      </c>
      <c r="Q325" s="7" t="s">
        <v>2865</v>
      </c>
      <c r="R325" s="2">
        <v>0.89800000000000002</v>
      </c>
      <c r="S325" s="2">
        <f>93373/100000</f>
        <v>0.93372999999999995</v>
      </c>
      <c r="T325" s="2">
        <v>0.82929589999999997</v>
      </c>
    </row>
    <row r="326" spans="1:20">
      <c r="A326" s="3" t="s">
        <v>2866</v>
      </c>
      <c r="B326" s="1" t="s">
        <v>2856</v>
      </c>
      <c r="C326" s="3" t="s">
        <v>2857</v>
      </c>
      <c r="D326" s="3" t="s">
        <v>2867</v>
      </c>
      <c r="E326" s="3" t="s">
        <v>2868</v>
      </c>
      <c r="F326" s="3" t="s">
        <v>2869</v>
      </c>
      <c r="G326" s="3" t="s">
        <v>2870</v>
      </c>
      <c r="H326" s="11" t="s">
        <v>8206</v>
      </c>
      <c r="I326" s="3" t="s">
        <v>2871</v>
      </c>
      <c r="J326" s="7">
        <v>0.88</v>
      </c>
      <c r="K326" s="1" t="s">
        <v>2872</v>
      </c>
      <c r="L326" s="2">
        <v>0.379</v>
      </c>
      <c r="M326" s="2">
        <f>39050/100000</f>
        <v>0.39050000000000001</v>
      </c>
      <c r="N326" s="2">
        <v>0.65656800000000004</v>
      </c>
      <c r="O326" s="4" t="s">
        <v>2873</v>
      </c>
      <c r="P326" s="1">
        <v>1.73</v>
      </c>
      <c r="Q326" s="7" t="s">
        <v>2874</v>
      </c>
      <c r="R326" s="2">
        <v>6.7200000000000003E-3</v>
      </c>
      <c r="S326" s="2">
        <f>814/100000</f>
        <v>8.1399999999999997E-3</v>
      </c>
      <c r="T326" s="2">
        <v>7.5815670000000002E-2</v>
      </c>
    </row>
    <row r="327" spans="1:20">
      <c r="A327" s="3" t="s">
        <v>2875</v>
      </c>
      <c r="B327" s="1" t="s">
        <v>2876</v>
      </c>
      <c r="C327" s="3" t="s">
        <v>2877</v>
      </c>
      <c r="D327" s="3" t="s">
        <v>2878</v>
      </c>
      <c r="E327" s="3" t="s">
        <v>2879</v>
      </c>
      <c r="F327" s="3" t="s">
        <v>2880</v>
      </c>
      <c r="G327" s="3" t="s">
        <v>2881</v>
      </c>
      <c r="H327" s="11" t="s">
        <v>8207</v>
      </c>
      <c r="I327" s="3" t="s">
        <v>2882</v>
      </c>
      <c r="J327" s="7">
        <v>1.02</v>
      </c>
      <c r="K327" s="1" t="s">
        <v>2883</v>
      </c>
      <c r="L327" s="2">
        <v>0.91400000000000003</v>
      </c>
      <c r="M327" s="2">
        <f>100000/100000</f>
        <v>1</v>
      </c>
      <c r="N327" s="2">
        <v>0.82929589999999997</v>
      </c>
      <c r="O327" s="4" t="s">
        <v>2884</v>
      </c>
      <c r="P327" s="1">
        <v>0.94</v>
      </c>
      <c r="Q327" s="7" t="s">
        <v>277</v>
      </c>
      <c r="R327" s="2">
        <v>0.82499999999999996</v>
      </c>
      <c r="S327" s="2">
        <f>90061/100000</f>
        <v>0.90061000000000002</v>
      </c>
      <c r="T327" s="2">
        <v>0.82929589999999997</v>
      </c>
    </row>
    <row r="328" spans="1:20">
      <c r="A328" s="3" t="s">
        <v>2885</v>
      </c>
      <c r="B328" s="1" t="s">
        <v>2876</v>
      </c>
      <c r="C328" s="3" t="s">
        <v>2877</v>
      </c>
      <c r="D328" s="3" t="s">
        <v>2886</v>
      </c>
      <c r="E328" s="3" t="s">
        <v>2887</v>
      </c>
      <c r="F328" s="3" t="s">
        <v>2888</v>
      </c>
      <c r="G328" s="3" t="s">
        <v>2889</v>
      </c>
      <c r="H328" s="11" t="s">
        <v>8098</v>
      </c>
      <c r="I328" s="3" t="s">
        <v>2890</v>
      </c>
      <c r="J328" s="7">
        <v>1.71</v>
      </c>
      <c r="K328" s="1" t="s">
        <v>2891</v>
      </c>
      <c r="L328" s="2">
        <v>0.21299999999999999</v>
      </c>
      <c r="M328" s="2">
        <f>26999/100000</f>
        <v>0.26999000000000001</v>
      </c>
      <c r="N328" s="2">
        <v>0.56620890000000001</v>
      </c>
      <c r="O328" s="4" t="s">
        <v>2892</v>
      </c>
      <c r="P328" s="1">
        <v>0.27</v>
      </c>
      <c r="Q328" s="7" t="s">
        <v>2893</v>
      </c>
      <c r="R328" s="2">
        <v>0.16600000000000001</v>
      </c>
      <c r="S328" s="2">
        <f>26174/100000</f>
        <v>0.26173999999999997</v>
      </c>
      <c r="T328" s="2">
        <v>0.56338779999999999</v>
      </c>
    </row>
    <row r="329" spans="1:20">
      <c r="A329" s="3" t="s">
        <v>2894</v>
      </c>
      <c r="B329" s="1" t="s">
        <v>2876</v>
      </c>
      <c r="C329" s="3" t="s">
        <v>2877</v>
      </c>
      <c r="D329" s="3" t="s">
        <v>2895</v>
      </c>
      <c r="E329" s="3" t="s">
        <v>2896</v>
      </c>
      <c r="F329" s="3" t="s">
        <v>2897</v>
      </c>
      <c r="G329" s="3" t="s">
        <v>2898</v>
      </c>
      <c r="H329" s="11" t="s">
        <v>8098</v>
      </c>
      <c r="I329" s="3" t="s">
        <v>2899</v>
      </c>
      <c r="J329" s="7">
        <v>0.53</v>
      </c>
      <c r="K329" s="1" t="s">
        <v>2900</v>
      </c>
      <c r="L329" s="2">
        <v>0.36399999999999999</v>
      </c>
      <c r="M329" s="2">
        <f>43614/100000</f>
        <v>0.43614000000000003</v>
      </c>
      <c r="N329" s="2">
        <v>0.68761059999999996</v>
      </c>
      <c r="O329" s="4" t="s">
        <v>2901</v>
      </c>
      <c r="P329" s="1">
        <v>0</v>
      </c>
      <c r="Q329" s="7" t="s">
        <v>774</v>
      </c>
      <c r="R329" s="2">
        <v>2.8000000000000001E-2</v>
      </c>
      <c r="S329" s="2">
        <f>4328/100000</f>
        <v>4.3279999999999999E-2</v>
      </c>
      <c r="T329" s="2">
        <v>0.22279109999999999</v>
      </c>
    </row>
    <row r="330" spans="1:20">
      <c r="A330" s="3" t="s">
        <v>2902</v>
      </c>
      <c r="B330" s="1" t="s">
        <v>2876</v>
      </c>
      <c r="C330" s="3" t="s">
        <v>2877</v>
      </c>
      <c r="D330" s="3" t="s">
        <v>2903</v>
      </c>
      <c r="E330" s="3" t="s">
        <v>2904</v>
      </c>
      <c r="F330" s="3" t="s">
        <v>2905</v>
      </c>
      <c r="G330" s="3" t="s">
        <v>2906</v>
      </c>
      <c r="H330" s="11" t="s">
        <v>8098</v>
      </c>
      <c r="I330" s="3" t="s">
        <v>2907</v>
      </c>
      <c r="J330" s="7">
        <v>1.1499999999999999</v>
      </c>
      <c r="K330" s="1" t="s">
        <v>2908</v>
      </c>
      <c r="L330" s="2">
        <v>0.55000000000000004</v>
      </c>
      <c r="M330" s="2">
        <f>62875/100000</f>
        <v>0.62875000000000003</v>
      </c>
      <c r="N330" s="2">
        <v>0.79869500000000004</v>
      </c>
      <c r="O330" s="4" t="s">
        <v>2909</v>
      </c>
      <c r="P330" s="1">
        <v>1.07</v>
      </c>
      <c r="Q330" s="7" t="s">
        <v>2910</v>
      </c>
      <c r="R330" s="2">
        <v>0.76800000000000002</v>
      </c>
      <c r="S330" s="2">
        <f>81812/100000</f>
        <v>0.81811999999999996</v>
      </c>
      <c r="T330" s="2">
        <v>0.82929589999999997</v>
      </c>
    </row>
    <row r="331" spans="1:20">
      <c r="A331" s="3" t="s">
        <v>2911</v>
      </c>
      <c r="B331" s="1" t="s">
        <v>2876</v>
      </c>
      <c r="C331" s="3" t="s">
        <v>2877</v>
      </c>
      <c r="D331" s="3" t="s">
        <v>2912</v>
      </c>
      <c r="E331" s="3" t="s">
        <v>2913</v>
      </c>
      <c r="F331" s="3" t="s">
        <v>2905</v>
      </c>
      <c r="G331" s="3" t="s">
        <v>2906</v>
      </c>
      <c r="H331" s="11" t="s">
        <v>8207</v>
      </c>
      <c r="I331" s="3" t="s">
        <v>2914</v>
      </c>
      <c r="J331" s="7">
        <v>1.1200000000000001</v>
      </c>
      <c r="K331" s="1" t="s">
        <v>2915</v>
      </c>
      <c r="L331" s="2">
        <v>0.55500000000000005</v>
      </c>
      <c r="M331" s="2">
        <f>55993/100000</f>
        <v>0.55993000000000004</v>
      </c>
      <c r="N331" s="2">
        <v>0.75993659999999996</v>
      </c>
      <c r="O331" s="4" t="s">
        <v>2916</v>
      </c>
      <c r="P331" s="1">
        <v>1.0900000000000001</v>
      </c>
      <c r="Q331" s="7" t="s">
        <v>2917</v>
      </c>
      <c r="R331" s="2">
        <v>0.64600000000000002</v>
      </c>
      <c r="S331" s="2">
        <f>69343/100000</f>
        <v>0.69342999999999999</v>
      </c>
      <c r="T331" s="2">
        <v>0.81405680000000002</v>
      </c>
    </row>
    <row r="332" spans="1:20">
      <c r="A332" s="3" t="s">
        <v>2918</v>
      </c>
      <c r="B332" s="1" t="s">
        <v>2876</v>
      </c>
      <c r="C332" s="3" t="s">
        <v>2877</v>
      </c>
      <c r="D332" s="3" t="s">
        <v>2919</v>
      </c>
      <c r="E332" s="3" t="s">
        <v>2920</v>
      </c>
      <c r="F332" s="3" t="s">
        <v>2897</v>
      </c>
      <c r="G332" s="3" t="s">
        <v>2898</v>
      </c>
      <c r="H332" s="11" t="s">
        <v>8207</v>
      </c>
      <c r="I332" s="3" t="s">
        <v>2921</v>
      </c>
      <c r="J332" s="7">
        <v>0</v>
      </c>
      <c r="K332" s="1" t="s">
        <v>774</v>
      </c>
      <c r="L332" s="2">
        <v>1.4500000000000001E-2</v>
      </c>
      <c r="M332" s="2">
        <f>1173/100000</f>
        <v>1.1730000000000001E-2</v>
      </c>
      <c r="N332" s="2">
        <v>9.4168500000000002E-2</v>
      </c>
      <c r="O332" s="4" t="s">
        <v>2922</v>
      </c>
      <c r="P332" s="1">
        <v>0.89</v>
      </c>
      <c r="Q332" s="7" t="s">
        <v>2923</v>
      </c>
      <c r="R332" s="2">
        <v>0.79400000000000004</v>
      </c>
      <c r="S332" s="2">
        <f>83295/100000</f>
        <v>0.83294999999999997</v>
      </c>
      <c r="T332" s="2">
        <v>0.82929589999999997</v>
      </c>
    </row>
    <row r="333" spans="1:20">
      <c r="A333" s="3" t="s">
        <v>2924</v>
      </c>
      <c r="B333" s="1" t="s">
        <v>2876</v>
      </c>
      <c r="C333" s="3" t="s">
        <v>2877</v>
      </c>
      <c r="D333" s="3" t="s">
        <v>2925</v>
      </c>
      <c r="E333" s="3" t="s">
        <v>2926</v>
      </c>
      <c r="F333" s="3" t="s">
        <v>2888</v>
      </c>
      <c r="G333" s="3" t="s">
        <v>2889</v>
      </c>
      <c r="H333" s="11" t="s">
        <v>8207</v>
      </c>
      <c r="I333" s="3" t="s">
        <v>2927</v>
      </c>
      <c r="J333" s="7">
        <v>1.24</v>
      </c>
      <c r="K333" s="1" t="s">
        <v>2928</v>
      </c>
      <c r="L333" s="2">
        <v>0.58599999999999997</v>
      </c>
      <c r="M333" s="2">
        <f>66117/100000</f>
        <v>0.66117000000000004</v>
      </c>
      <c r="N333" s="2">
        <v>0.80511429999999995</v>
      </c>
      <c r="O333" s="4" t="s">
        <v>2929</v>
      </c>
      <c r="P333" s="1">
        <v>0.17</v>
      </c>
      <c r="Q333" s="7" t="s">
        <v>2930</v>
      </c>
      <c r="R333" s="2">
        <v>4.2999999999999997E-2</v>
      </c>
      <c r="S333" s="2">
        <f>4436/100000</f>
        <v>4.4359999999999997E-2</v>
      </c>
      <c r="T333" s="2">
        <v>0.22573660000000001</v>
      </c>
    </row>
    <row r="334" spans="1:20">
      <c r="A334" s="3" t="s">
        <v>2931</v>
      </c>
      <c r="B334" s="1" t="s">
        <v>2876</v>
      </c>
      <c r="C334" s="3" t="s">
        <v>2877</v>
      </c>
      <c r="D334" s="3" t="s">
        <v>2932</v>
      </c>
      <c r="E334" s="3" t="s">
        <v>2933</v>
      </c>
      <c r="F334" s="3" t="s">
        <v>2880</v>
      </c>
      <c r="G334" s="3" t="s">
        <v>2881</v>
      </c>
      <c r="H334" s="11" t="s">
        <v>8098</v>
      </c>
      <c r="I334" s="3" t="s">
        <v>2934</v>
      </c>
      <c r="J334" s="7">
        <v>1.49</v>
      </c>
      <c r="K334" s="1" t="s">
        <v>2935</v>
      </c>
      <c r="L334" s="2">
        <v>3.3300000000000003E-2</v>
      </c>
      <c r="M334" s="2">
        <f>3572/100000</f>
        <v>3.5720000000000002E-2</v>
      </c>
      <c r="N334" s="2">
        <v>0.19969439999999999</v>
      </c>
      <c r="O334" s="4" t="s">
        <v>2936</v>
      </c>
      <c r="P334" s="1">
        <v>1.03</v>
      </c>
      <c r="Q334" s="7" t="s">
        <v>2937</v>
      </c>
      <c r="R334" s="2">
        <v>0.90600000000000003</v>
      </c>
      <c r="S334" s="2">
        <f>90670/100000</f>
        <v>0.90669999999999995</v>
      </c>
      <c r="T334" s="2">
        <v>0.82929589999999997</v>
      </c>
    </row>
    <row r="335" spans="1:20">
      <c r="A335" s="3" t="s">
        <v>2938</v>
      </c>
      <c r="B335" s="1" t="s">
        <v>2939</v>
      </c>
      <c r="C335" s="3" t="s">
        <v>2940</v>
      </c>
      <c r="D335" s="3" t="s">
        <v>2941</v>
      </c>
      <c r="E335" s="3" t="s">
        <v>2942</v>
      </c>
      <c r="F335" s="3" t="s">
        <v>2943</v>
      </c>
      <c r="G335" s="3" t="s">
        <v>2944</v>
      </c>
      <c r="H335" s="11" t="s">
        <v>8208</v>
      </c>
      <c r="I335" s="3" t="s">
        <v>2945</v>
      </c>
      <c r="J335" s="7">
        <v>1.07</v>
      </c>
      <c r="K335" s="1" t="s">
        <v>2946</v>
      </c>
      <c r="L335" s="2">
        <v>0.69599999999999995</v>
      </c>
      <c r="M335" s="2">
        <f>73920/100000</f>
        <v>0.73919999999999997</v>
      </c>
      <c r="N335" s="2">
        <v>0.82137769999999999</v>
      </c>
      <c r="O335" s="4" t="s">
        <v>2947</v>
      </c>
      <c r="P335" s="1">
        <v>1.02</v>
      </c>
      <c r="Q335" s="7" t="s">
        <v>2948</v>
      </c>
      <c r="R335" s="2">
        <v>0.90600000000000003</v>
      </c>
      <c r="S335" s="2">
        <f>92430/100000</f>
        <v>0.92430000000000001</v>
      </c>
      <c r="T335" s="2">
        <v>0.82929589999999997</v>
      </c>
    </row>
    <row r="336" spans="1:20">
      <c r="A336" s="3" t="s">
        <v>2949</v>
      </c>
      <c r="B336" s="1" t="s">
        <v>2939</v>
      </c>
      <c r="C336" s="3" t="s">
        <v>2940</v>
      </c>
      <c r="D336" s="3" t="s">
        <v>2950</v>
      </c>
      <c r="E336" s="3" t="s">
        <v>2951</v>
      </c>
      <c r="F336" s="3" t="s">
        <v>2943</v>
      </c>
      <c r="G336" s="3" t="s">
        <v>2944</v>
      </c>
      <c r="H336" s="11" t="s">
        <v>8208</v>
      </c>
      <c r="I336" s="3" t="s">
        <v>2952</v>
      </c>
      <c r="J336" s="7">
        <v>1.02</v>
      </c>
      <c r="K336" s="1" t="s">
        <v>2953</v>
      </c>
      <c r="L336" s="2">
        <v>0.88100000000000001</v>
      </c>
      <c r="M336" s="2">
        <f>88481/100000</f>
        <v>0.88480999999999999</v>
      </c>
      <c r="N336" s="2">
        <v>0.82929589999999997</v>
      </c>
      <c r="O336" s="4" t="s">
        <v>2954</v>
      </c>
      <c r="P336" s="1">
        <v>1.17</v>
      </c>
      <c r="Q336" s="7" t="s">
        <v>2955</v>
      </c>
      <c r="R336" s="2">
        <v>0.23200000000000001</v>
      </c>
      <c r="S336" s="2">
        <f>25238/100000</f>
        <v>0.25237999999999999</v>
      </c>
      <c r="T336" s="2">
        <v>0.55394690000000002</v>
      </c>
    </row>
    <row r="337" spans="1:20">
      <c r="A337" s="3" t="s">
        <v>2956</v>
      </c>
      <c r="B337" s="1" t="s">
        <v>2957</v>
      </c>
      <c r="C337" s="3" t="s">
        <v>2958</v>
      </c>
      <c r="D337" s="3" t="s">
        <v>2959</v>
      </c>
      <c r="E337" s="3" t="s">
        <v>2960</v>
      </c>
      <c r="F337" s="3" t="s">
        <v>2961</v>
      </c>
      <c r="G337" s="3" t="s">
        <v>2962</v>
      </c>
      <c r="H337" s="11" t="s">
        <v>8195</v>
      </c>
      <c r="I337" s="3" t="s">
        <v>2963</v>
      </c>
      <c r="J337" s="7">
        <v>1.49</v>
      </c>
      <c r="K337" s="1" t="s">
        <v>2964</v>
      </c>
      <c r="L337" s="2">
        <v>5.2999999999999999E-2</v>
      </c>
      <c r="M337" s="2">
        <f>6132/100000</f>
        <v>6.132E-2</v>
      </c>
      <c r="N337" s="2">
        <v>0.2732426</v>
      </c>
      <c r="O337" s="4" t="s">
        <v>2965</v>
      </c>
      <c r="P337" s="1">
        <v>1.05</v>
      </c>
      <c r="Q337" s="7" t="s">
        <v>2966</v>
      </c>
      <c r="R337" s="2">
        <v>0.85299999999999998</v>
      </c>
      <c r="S337" s="2">
        <f>89494/100000</f>
        <v>0.89493999999999996</v>
      </c>
      <c r="T337" s="2">
        <v>0.82929589999999997</v>
      </c>
    </row>
    <row r="338" spans="1:20">
      <c r="A338" s="3" t="s">
        <v>2967</v>
      </c>
      <c r="B338" s="1" t="s">
        <v>2968</v>
      </c>
      <c r="C338" s="3" t="s">
        <v>2969</v>
      </c>
      <c r="D338" s="3" t="s">
        <v>2970</v>
      </c>
      <c r="E338" s="3" t="s">
        <v>2971</v>
      </c>
      <c r="F338" s="3" t="s">
        <v>2972</v>
      </c>
      <c r="G338" s="3" t="s">
        <v>2973</v>
      </c>
      <c r="H338" s="11" t="s">
        <v>8072</v>
      </c>
      <c r="I338" s="3" t="s">
        <v>2974</v>
      </c>
      <c r="J338" s="7">
        <v>0.8</v>
      </c>
      <c r="K338" s="1" t="s">
        <v>2975</v>
      </c>
      <c r="L338" s="2">
        <v>0.42299999999999999</v>
      </c>
      <c r="M338" s="2">
        <f>45381/100000</f>
        <v>0.45380999999999999</v>
      </c>
      <c r="N338" s="2">
        <v>0.70008709999999996</v>
      </c>
      <c r="O338" s="4" t="s">
        <v>2976</v>
      </c>
      <c r="P338" s="1">
        <v>0.94</v>
      </c>
      <c r="Q338" s="7" t="s">
        <v>2977</v>
      </c>
      <c r="R338" s="2">
        <v>0.79900000000000004</v>
      </c>
      <c r="S338" s="2">
        <f>80985/100000</f>
        <v>0.80984999999999996</v>
      </c>
      <c r="T338" s="2">
        <v>0.82929589999999997</v>
      </c>
    </row>
    <row r="339" spans="1:20">
      <c r="A339" s="3" t="s">
        <v>2978</v>
      </c>
      <c r="B339" s="1" t="s">
        <v>2979</v>
      </c>
      <c r="C339" s="3" t="s">
        <v>2980</v>
      </c>
      <c r="D339" s="3" t="s">
        <v>2981</v>
      </c>
      <c r="E339" s="3" t="s">
        <v>2982</v>
      </c>
      <c r="F339" s="3" t="s">
        <v>2983</v>
      </c>
      <c r="G339" s="3" t="s">
        <v>2315</v>
      </c>
      <c r="H339" s="11" t="s">
        <v>8109</v>
      </c>
      <c r="I339" s="3" t="s">
        <v>2984</v>
      </c>
      <c r="J339" s="7">
        <v>0.9</v>
      </c>
      <c r="K339" s="1" t="s">
        <v>2985</v>
      </c>
      <c r="L339" s="2">
        <v>0.56299999999999994</v>
      </c>
      <c r="M339" s="2">
        <f>61185/100000</f>
        <v>0.61185</v>
      </c>
      <c r="N339" s="2">
        <v>0.78920639999999997</v>
      </c>
      <c r="O339" s="4" t="s">
        <v>2986</v>
      </c>
      <c r="P339" s="1">
        <v>1.23</v>
      </c>
      <c r="Q339" s="7" t="s">
        <v>2987</v>
      </c>
      <c r="R339" s="2">
        <v>0.184</v>
      </c>
      <c r="S339" s="2">
        <f>19989/100000</f>
        <v>0.19989000000000001</v>
      </c>
      <c r="T339" s="2">
        <v>0.48870029999999998</v>
      </c>
    </row>
    <row r="340" spans="1:20">
      <c r="A340" s="3" t="s">
        <v>2988</v>
      </c>
      <c r="B340" s="1" t="s">
        <v>2979</v>
      </c>
      <c r="C340" s="3" t="s">
        <v>2980</v>
      </c>
      <c r="D340" s="3" t="s">
        <v>2989</v>
      </c>
      <c r="E340" s="3" t="s">
        <v>2990</v>
      </c>
      <c r="F340" s="3" t="s">
        <v>2991</v>
      </c>
      <c r="G340" s="3" t="s">
        <v>2324</v>
      </c>
      <c r="H340" s="11" t="s">
        <v>8109</v>
      </c>
      <c r="I340" s="3" t="s">
        <v>2992</v>
      </c>
      <c r="J340" s="7">
        <v>0.99</v>
      </c>
      <c r="K340" s="1" t="s">
        <v>2993</v>
      </c>
      <c r="L340" s="2">
        <v>0.94599999999999995</v>
      </c>
      <c r="M340" s="2">
        <f>100000/100000</f>
        <v>1</v>
      </c>
      <c r="N340" s="2">
        <v>0.82929589999999997</v>
      </c>
      <c r="O340" s="4" t="s">
        <v>2994</v>
      </c>
      <c r="P340" s="1">
        <v>1.7</v>
      </c>
      <c r="Q340" s="7" t="s">
        <v>2995</v>
      </c>
      <c r="R340" s="2">
        <v>7.4099999999999999E-5</v>
      </c>
      <c r="S340" s="2">
        <f>15/100000</f>
        <v>1.4999999999999999E-4</v>
      </c>
      <c r="T340" s="2">
        <v>3.5659720000000002E-3</v>
      </c>
    </row>
    <row r="341" spans="1:20">
      <c r="A341" s="3" t="s">
        <v>2996</v>
      </c>
      <c r="B341" s="1" t="s">
        <v>2997</v>
      </c>
      <c r="C341" s="3" t="s">
        <v>2998</v>
      </c>
      <c r="D341" s="3" t="s">
        <v>2981</v>
      </c>
      <c r="E341" s="3" t="s">
        <v>2982</v>
      </c>
      <c r="F341" s="3" t="s">
        <v>2983</v>
      </c>
      <c r="G341" s="3" t="s">
        <v>2315</v>
      </c>
      <c r="H341" s="11" t="s">
        <v>8109</v>
      </c>
      <c r="I341" s="3" t="s">
        <v>2984</v>
      </c>
      <c r="J341" s="7">
        <v>0.9</v>
      </c>
      <c r="K341" s="1" t="s">
        <v>2985</v>
      </c>
      <c r="L341" s="2">
        <v>0.56299999999999994</v>
      </c>
      <c r="M341" s="2">
        <f>61185/100000</f>
        <v>0.61185</v>
      </c>
      <c r="N341" s="2">
        <v>0.78920639999999997</v>
      </c>
      <c r="O341" s="4" t="s">
        <v>2986</v>
      </c>
      <c r="P341" s="1">
        <v>1.23</v>
      </c>
      <c r="Q341" s="7" t="s">
        <v>2987</v>
      </c>
      <c r="R341" s="2">
        <v>0.184</v>
      </c>
      <c r="S341" s="2">
        <f>19989/100000</f>
        <v>0.19989000000000001</v>
      </c>
      <c r="T341" s="2">
        <v>0.48870029999999998</v>
      </c>
    </row>
    <row r="342" spans="1:20">
      <c r="A342" s="3" t="s">
        <v>2999</v>
      </c>
      <c r="B342" s="1" t="s">
        <v>2997</v>
      </c>
      <c r="C342" s="3" t="s">
        <v>2998</v>
      </c>
      <c r="D342" s="3" t="s">
        <v>2989</v>
      </c>
      <c r="E342" s="3" t="s">
        <v>2990</v>
      </c>
      <c r="F342" s="3" t="s">
        <v>2991</v>
      </c>
      <c r="G342" s="3" t="s">
        <v>2324</v>
      </c>
      <c r="H342" s="11" t="s">
        <v>8109</v>
      </c>
      <c r="I342" s="3" t="s">
        <v>2992</v>
      </c>
      <c r="J342" s="7">
        <v>0.99</v>
      </c>
      <c r="K342" s="1" t="s">
        <v>2993</v>
      </c>
      <c r="L342" s="2">
        <v>0.94599999999999995</v>
      </c>
      <c r="M342" s="2">
        <f>100000/100000</f>
        <v>1</v>
      </c>
      <c r="N342" s="2">
        <v>0.82929589999999997</v>
      </c>
      <c r="O342" s="4" t="s">
        <v>2994</v>
      </c>
      <c r="P342" s="1">
        <v>1.7</v>
      </c>
      <c r="Q342" s="7" t="s">
        <v>2995</v>
      </c>
      <c r="R342" s="2">
        <v>7.4099999999999999E-5</v>
      </c>
      <c r="S342" s="2">
        <f>15/100000</f>
        <v>1.4999999999999999E-4</v>
      </c>
      <c r="T342" s="2">
        <v>3.5659720000000002E-3</v>
      </c>
    </row>
    <row r="343" spans="1:20">
      <c r="A343" s="3" t="s">
        <v>3000</v>
      </c>
      <c r="B343" s="1" t="s">
        <v>3001</v>
      </c>
      <c r="C343" s="3" t="s">
        <v>3002</v>
      </c>
      <c r="D343" s="3" t="s">
        <v>3003</v>
      </c>
      <c r="E343" s="3" t="s">
        <v>3004</v>
      </c>
      <c r="F343" s="3" t="s">
        <v>3005</v>
      </c>
      <c r="G343" s="3" t="s">
        <v>3006</v>
      </c>
      <c r="H343" s="11" t="s">
        <v>8209</v>
      </c>
      <c r="I343" s="3" t="s">
        <v>3007</v>
      </c>
      <c r="J343" s="7">
        <v>1.43</v>
      </c>
      <c r="K343" s="1" t="s">
        <v>3008</v>
      </c>
      <c r="L343" s="2">
        <v>0.152</v>
      </c>
      <c r="M343" s="2">
        <f>19201/100000</f>
        <v>0.19200999999999999</v>
      </c>
      <c r="N343" s="2">
        <v>0.48203059999999998</v>
      </c>
      <c r="O343" s="4" t="s">
        <v>3009</v>
      </c>
      <c r="P343" s="1">
        <v>0.95</v>
      </c>
      <c r="Q343" s="7" t="s">
        <v>1755</v>
      </c>
      <c r="R343" s="2">
        <v>0.83699999999999997</v>
      </c>
      <c r="S343" s="2">
        <f>89621/100000</f>
        <v>0.89620999999999995</v>
      </c>
      <c r="T343" s="2">
        <v>0.82929589999999997</v>
      </c>
    </row>
    <row r="344" spans="1:20">
      <c r="A344" s="3" t="s">
        <v>3010</v>
      </c>
      <c r="B344" s="1" t="s">
        <v>3001</v>
      </c>
      <c r="C344" s="3" t="s">
        <v>3002</v>
      </c>
      <c r="D344" s="3" t="s">
        <v>3011</v>
      </c>
      <c r="E344" s="3" t="s">
        <v>3012</v>
      </c>
      <c r="F344" s="3" t="s">
        <v>3013</v>
      </c>
      <c r="G344" s="3" t="s">
        <v>3014</v>
      </c>
      <c r="H344" s="11" t="s">
        <v>8209</v>
      </c>
      <c r="I344" s="3" t="s">
        <v>3015</v>
      </c>
      <c r="J344" s="7">
        <v>0.98</v>
      </c>
      <c r="K344" s="1" t="s">
        <v>3016</v>
      </c>
      <c r="L344" s="2">
        <v>0.94</v>
      </c>
      <c r="M344" s="2">
        <f>100000/100000</f>
        <v>1</v>
      </c>
      <c r="N344" s="2">
        <v>0.82929589999999997</v>
      </c>
      <c r="O344" s="4" t="s">
        <v>3017</v>
      </c>
      <c r="P344" s="1">
        <v>0.9</v>
      </c>
      <c r="Q344" s="7" t="s">
        <v>749</v>
      </c>
      <c r="R344" s="2">
        <v>0.6</v>
      </c>
      <c r="S344" s="2">
        <f>63879/100000</f>
        <v>0.63878999999999997</v>
      </c>
      <c r="T344" s="2">
        <v>0.79869500000000004</v>
      </c>
    </row>
    <row r="345" spans="1:20">
      <c r="A345" s="3" t="s">
        <v>3018</v>
      </c>
      <c r="B345" s="1" t="s">
        <v>3019</v>
      </c>
      <c r="C345" s="3" t="s">
        <v>3020</v>
      </c>
      <c r="D345" s="3" t="s">
        <v>3021</v>
      </c>
      <c r="E345" s="3" t="s">
        <v>3022</v>
      </c>
      <c r="F345" s="3" t="s">
        <v>3023</v>
      </c>
      <c r="G345" s="3" t="s">
        <v>3024</v>
      </c>
      <c r="H345" s="11" t="s">
        <v>8210</v>
      </c>
      <c r="I345" s="3" t="s">
        <v>3025</v>
      </c>
      <c r="J345" s="7">
        <v>0.56000000000000005</v>
      </c>
      <c r="K345" s="1" t="s">
        <v>3026</v>
      </c>
      <c r="L345" s="2">
        <v>0.249</v>
      </c>
      <c r="M345" s="2">
        <f>32470/100000</f>
        <v>0.32469999999999999</v>
      </c>
      <c r="N345" s="2">
        <v>0.61041509999999999</v>
      </c>
      <c r="O345" s="4" t="s">
        <v>3027</v>
      </c>
      <c r="P345" s="1">
        <v>2.12</v>
      </c>
      <c r="Q345" s="7" t="s">
        <v>3028</v>
      </c>
      <c r="R345" s="2">
        <v>0.151</v>
      </c>
      <c r="S345" s="2">
        <f>26123/100000</f>
        <v>0.26123000000000002</v>
      </c>
      <c r="T345" s="2">
        <v>0.56338779999999999</v>
      </c>
    </row>
    <row r="346" spans="1:20">
      <c r="A346" s="3" t="s">
        <v>3029</v>
      </c>
      <c r="B346" s="1" t="s">
        <v>3030</v>
      </c>
      <c r="C346" s="3" t="s">
        <v>3031</v>
      </c>
      <c r="D346" s="3" t="s">
        <v>3032</v>
      </c>
      <c r="E346" s="3" t="s">
        <v>3033</v>
      </c>
      <c r="F346" s="3" t="s">
        <v>3034</v>
      </c>
      <c r="G346" s="3" t="s">
        <v>3035</v>
      </c>
      <c r="H346" s="11" t="s">
        <v>8211</v>
      </c>
      <c r="I346" s="3" t="s">
        <v>3036</v>
      </c>
      <c r="J346" s="7">
        <v>1.27</v>
      </c>
      <c r="K346" s="1" t="s">
        <v>3037</v>
      </c>
      <c r="L346" s="2">
        <v>0.36799999999999999</v>
      </c>
      <c r="M346" s="2">
        <f>38368/100000</f>
        <v>0.38368000000000002</v>
      </c>
      <c r="N346" s="2">
        <v>0.65163249999999995</v>
      </c>
      <c r="O346" s="4" t="s">
        <v>3038</v>
      </c>
      <c r="P346" s="1">
        <v>0.72</v>
      </c>
      <c r="Q346" s="7" t="s">
        <v>3039</v>
      </c>
      <c r="R346" s="2">
        <v>0.28999999999999998</v>
      </c>
      <c r="S346" s="2">
        <f>34864/100000</f>
        <v>0.34864000000000001</v>
      </c>
      <c r="T346" s="2">
        <v>0.62617579999999995</v>
      </c>
    </row>
    <row r="347" spans="1:20">
      <c r="A347" s="3" t="s">
        <v>3040</v>
      </c>
      <c r="B347" s="1" t="s">
        <v>3041</v>
      </c>
      <c r="C347" s="3" t="s">
        <v>3042</v>
      </c>
      <c r="D347" s="3" t="s">
        <v>3043</v>
      </c>
      <c r="E347" s="3" t="s">
        <v>3044</v>
      </c>
      <c r="F347" s="3" t="s">
        <v>3045</v>
      </c>
      <c r="G347" s="3" t="s">
        <v>3046</v>
      </c>
      <c r="H347" s="11" t="s">
        <v>8078</v>
      </c>
      <c r="I347" s="3" t="s">
        <v>3047</v>
      </c>
      <c r="J347" s="7">
        <v>1.45</v>
      </c>
      <c r="K347" s="1" t="s">
        <v>3048</v>
      </c>
      <c r="L347" s="2">
        <v>0.26600000000000001</v>
      </c>
      <c r="M347" s="2">
        <f>32513/100000</f>
        <v>0.32512999999999997</v>
      </c>
      <c r="N347" s="2">
        <v>0.61041509999999999</v>
      </c>
      <c r="O347" s="4" t="s">
        <v>3049</v>
      </c>
      <c r="P347" s="1">
        <v>0.41</v>
      </c>
      <c r="Q347" s="7" t="s">
        <v>3050</v>
      </c>
      <c r="R347" s="2">
        <v>0.111</v>
      </c>
      <c r="S347" s="2">
        <f>11764/100000</f>
        <v>0.11763999999999999</v>
      </c>
      <c r="T347" s="2">
        <v>0.38060929999999998</v>
      </c>
    </row>
    <row r="348" spans="1:20">
      <c r="A348" s="3" t="s">
        <v>3051</v>
      </c>
      <c r="B348" s="1" t="s">
        <v>3052</v>
      </c>
      <c r="C348" s="3" t="s">
        <v>3053</v>
      </c>
      <c r="D348" s="3" t="s">
        <v>3043</v>
      </c>
      <c r="E348" s="3" t="s">
        <v>3044</v>
      </c>
      <c r="F348" s="3" t="s">
        <v>3045</v>
      </c>
      <c r="G348" s="3" t="s">
        <v>3046</v>
      </c>
      <c r="H348" s="11" t="s">
        <v>8078</v>
      </c>
      <c r="I348" s="3" t="s">
        <v>3047</v>
      </c>
      <c r="J348" s="7">
        <v>1.45</v>
      </c>
      <c r="K348" s="1" t="s">
        <v>3048</v>
      </c>
      <c r="L348" s="2">
        <v>0.26600000000000001</v>
      </c>
      <c r="M348" s="2">
        <f>32513/100000</f>
        <v>0.32512999999999997</v>
      </c>
      <c r="N348" s="2">
        <v>0.61041509999999999</v>
      </c>
      <c r="O348" s="4" t="s">
        <v>3049</v>
      </c>
      <c r="P348" s="1">
        <v>0.41</v>
      </c>
      <c r="Q348" s="7" t="s">
        <v>3050</v>
      </c>
      <c r="R348" s="2">
        <v>0.111</v>
      </c>
      <c r="S348" s="2">
        <f>11764/100000</f>
        <v>0.11763999999999999</v>
      </c>
      <c r="T348" s="2">
        <v>0.38060929999999998</v>
      </c>
    </row>
    <row r="349" spans="1:20">
      <c r="A349" s="3" t="s">
        <v>3054</v>
      </c>
      <c r="B349" s="1" t="s">
        <v>3055</v>
      </c>
      <c r="C349" s="3" t="s">
        <v>3056</v>
      </c>
      <c r="D349" s="3" t="s">
        <v>3057</v>
      </c>
      <c r="E349" s="3" t="s">
        <v>3058</v>
      </c>
      <c r="F349" s="3" t="s">
        <v>3059</v>
      </c>
      <c r="G349" s="3" t="s">
        <v>3060</v>
      </c>
      <c r="H349" s="11" t="s">
        <v>8212</v>
      </c>
      <c r="I349" s="3" t="s">
        <v>3061</v>
      </c>
      <c r="J349" s="7">
        <v>0.98</v>
      </c>
      <c r="K349" s="1" t="s">
        <v>3062</v>
      </c>
      <c r="L349" s="2">
        <v>0.94699999999999995</v>
      </c>
      <c r="M349" s="2">
        <f>100000/100000</f>
        <v>1</v>
      </c>
      <c r="N349" s="2">
        <v>0.82929589999999997</v>
      </c>
      <c r="O349" s="4" t="s">
        <v>3063</v>
      </c>
      <c r="P349" s="1">
        <v>0.88</v>
      </c>
      <c r="Q349" s="7" t="s">
        <v>3064</v>
      </c>
      <c r="R349" s="2">
        <v>0.64900000000000002</v>
      </c>
      <c r="S349" s="2">
        <f>69451/100000</f>
        <v>0.69450999999999996</v>
      </c>
      <c r="T349" s="2">
        <v>0.81405680000000002</v>
      </c>
    </row>
    <row r="350" spans="1:20">
      <c r="A350" s="3" t="s">
        <v>3065</v>
      </c>
      <c r="B350" s="1" t="s">
        <v>3066</v>
      </c>
      <c r="C350" s="3" t="s">
        <v>3067</v>
      </c>
      <c r="D350" s="3" t="s">
        <v>3057</v>
      </c>
      <c r="E350" s="3" t="s">
        <v>3058</v>
      </c>
      <c r="F350" s="3" t="s">
        <v>3059</v>
      </c>
      <c r="G350" s="3" t="s">
        <v>3060</v>
      </c>
      <c r="H350" s="11" t="s">
        <v>8212</v>
      </c>
      <c r="I350" s="3" t="s">
        <v>3061</v>
      </c>
      <c r="J350" s="7">
        <v>0.98</v>
      </c>
      <c r="K350" s="1" t="s">
        <v>3062</v>
      </c>
      <c r="L350" s="2">
        <v>0.94699999999999995</v>
      </c>
      <c r="M350" s="2">
        <f>100000/100000</f>
        <v>1</v>
      </c>
      <c r="N350" s="2">
        <v>0.82929589999999997</v>
      </c>
      <c r="O350" s="4" t="s">
        <v>3063</v>
      </c>
      <c r="P350" s="1">
        <v>0.88</v>
      </c>
      <c r="Q350" s="7" t="s">
        <v>3064</v>
      </c>
      <c r="R350" s="2">
        <v>0.64900000000000002</v>
      </c>
      <c r="S350" s="2">
        <f>69451/100000</f>
        <v>0.69450999999999996</v>
      </c>
      <c r="T350" s="2">
        <v>0.81405680000000002</v>
      </c>
    </row>
    <row r="351" spans="1:20">
      <c r="A351" s="3" t="s">
        <v>3068</v>
      </c>
      <c r="B351" s="1" t="s">
        <v>3069</v>
      </c>
      <c r="C351" s="3" t="s">
        <v>3070</v>
      </c>
      <c r="D351" s="3" t="s">
        <v>3071</v>
      </c>
      <c r="E351" s="3" t="s">
        <v>3072</v>
      </c>
      <c r="F351" s="3" t="s">
        <v>3073</v>
      </c>
      <c r="G351" s="3" t="s">
        <v>3074</v>
      </c>
      <c r="H351" s="11" t="s">
        <v>8100</v>
      </c>
      <c r="I351" s="3" t="s">
        <v>3075</v>
      </c>
      <c r="J351" s="7">
        <v>1.75</v>
      </c>
      <c r="K351" s="1" t="s">
        <v>3076</v>
      </c>
      <c r="L351" s="2">
        <v>8.1899999999999999E-5</v>
      </c>
      <c r="M351" s="2">
        <f>14/100000</f>
        <v>1.3999999999999999E-4</v>
      </c>
      <c r="N351" s="2">
        <v>3.4562500000000001E-3</v>
      </c>
      <c r="O351" s="4" t="s">
        <v>3077</v>
      </c>
      <c r="P351" s="1">
        <v>0.88</v>
      </c>
      <c r="Q351" s="7" t="s">
        <v>3078</v>
      </c>
      <c r="R351" s="2">
        <v>0.501</v>
      </c>
      <c r="S351" s="2">
        <f>53340/100000</f>
        <v>0.53339999999999999</v>
      </c>
      <c r="T351" s="2">
        <v>0.74478149999999999</v>
      </c>
    </row>
    <row r="352" spans="1:20">
      <c r="A352" s="3" t="s">
        <v>3079</v>
      </c>
      <c r="B352" s="1" t="s">
        <v>3069</v>
      </c>
      <c r="C352" s="3" t="s">
        <v>3070</v>
      </c>
      <c r="D352" s="3" t="s">
        <v>3080</v>
      </c>
      <c r="E352" s="3" t="s">
        <v>3081</v>
      </c>
      <c r="F352" s="3" t="s">
        <v>3073</v>
      </c>
      <c r="G352" s="3" t="s">
        <v>3074</v>
      </c>
      <c r="H352" s="11" t="s">
        <v>8100</v>
      </c>
      <c r="I352" s="3" t="s">
        <v>3082</v>
      </c>
      <c r="J352" s="7">
        <v>1.44</v>
      </c>
      <c r="K352" s="1" t="s">
        <v>3083</v>
      </c>
      <c r="L352" s="2">
        <v>1.0699999999999999E-2</v>
      </c>
      <c r="M352" s="2">
        <f>1241/100000</f>
        <v>1.2409999999999999E-2</v>
      </c>
      <c r="N352" s="2">
        <v>9.9180690000000002E-2</v>
      </c>
      <c r="O352" s="4" t="s">
        <v>3084</v>
      </c>
      <c r="P352" s="1">
        <v>0.92</v>
      </c>
      <c r="Q352" s="7" t="s">
        <v>3085</v>
      </c>
      <c r="R352" s="2">
        <v>0.64400000000000002</v>
      </c>
      <c r="S352" s="2">
        <f>66766/100000</f>
        <v>0.66766000000000003</v>
      </c>
      <c r="T352" s="2">
        <v>0.80511429999999995</v>
      </c>
    </row>
    <row r="353" spans="1:20">
      <c r="A353" s="3" t="s">
        <v>3086</v>
      </c>
      <c r="B353" s="1" t="s">
        <v>3087</v>
      </c>
      <c r="C353" s="3" t="s">
        <v>3088</v>
      </c>
      <c r="D353" s="3" t="s">
        <v>3089</v>
      </c>
      <c r="E353" s="3" t="s">
        <v>3090</v>
      </c>
      <c r="F353" s="3" t="s">
        <v>3091</v>
      </c>
      <c r="G353" s="3" t="s">
        <v>3092</v>
      </c>
      <c r="H353" s="11" t="s">
        <v>8213</v>
      </c>
      <c r="I353" s="3" t="s">
        <v>3093</v>
      </c>
      <c r="J353" s="7">
        <v>1.35</v>
      </c>
      <c r="K353" s="1" t="s">
        <v>3094</v>
      </c>
      <c r="L353" s="2">
        <v>0.16500000000000001</v>
      </c>
      <c r="M353" s="2">
        <f>17797/100000</f>
        <v>0.17796999999999999</v>
      </c>
      <c r="N353" s="2">
        <v>0.46586650000000002</v>
      </c>
      <c r="O353" s="4" t="s">
        <v>3095</v>
      </c>
      <c r="P353" s="1">
        <v>1.26</v>
      </c>
      <c r="Q353" s="7" t="s">
        <v>3096</v>
      </c>
      <c r="R353" s="2">
        <v>0.39700000000000002</v>
      </c>
      <c r="S353" s="2">
        <f>45536/100000</f>
        <v>0.45535999999999999</v>
      </c>
      <c r="T353" s="2">
        <v>0.70036719999999997</v>
      </c>
    </row>
    <row r="354" spans="1:20">
      <c r="A354" s="3" t="s">
        <v>3097</v>
      </c>
      <c r="B354" s="1" t="s">
        <v>3098</v>
      </c>
      <c r="C354" s="3" t="s">
        <v>3099</v>
      </c>
      <c r="D354" s="3" t="s">
        <v>3100</v>
      </c>
      <c r="E354" s="3" t="s">
        <v>3101</v>
      </c>
      <c r="F354" s="3" t="s">
        <v>3102</v>
      </c>
      <c r="G354" s="3" t="s">
        <v>3103</v>
      </c>
      <c r="H354" s="11" t="s">
        <v>8214</v>
      </c>
      <c r="I354" s="3" t="s">
        <v>3104</v>
      </c>
      <c r="J354" s="7">
        <v>0.87</v>
      </c>
      <c r="K354" s="1" t="s">
        <v>3105</v>
      </c>
      <c r="L354" s="2">
        <v>0.67200000000000004</v>
      </c>
      <c r="M354" s="2">
        <f>76248/100000</f>
        <v>0.76248000000000005</v>
      </c>
      <c r="N354" s="2">
        <v>0.82929589999999997</v>
      </c>
      <c r="O354" s="4" t="s">
        <v>3106</v>
      </c>
      <c r="P354" s="1">
        <v>0.49</v>
      </c>
      <c r="Q354" s="7" t="s">
        <v>3107</v>
      </c>
      <c r="R354" s="2">
        <v>7.5700000000000003E-2</v>
      </c>
      <c r="S354" s="2">
        <f>9469/100000</f>
        <v>9.4689999999999996E-2</v>
      </c>
      <c r="T354" s="2">
        <v>0.34884110000000002</v>
      </c>
    </row>
    <row r="355" spans="1:20">
      <c r="A355" s="3" t="s">
        <v>3108</v>
      </c>
      <c r="B355" s="1" t="s">
        <v>3098</v>
      </c>
      <c r="C355" s="3" t="s">
        <v>3099</v>
      </c>
      <c r="D355" s="3" t="s">
        <v>3109</v>
      </c>
      <c r="E355" s="3" t="s">
        <v>3110</v>
      </c>
      <c r="F355" s="3" t="s">
        <v>3111</v>
      </c>
      <c r="G355" s="3" t="s">
        <v>3112</v>
      </c>
      <c r="H355" s="11" t="s">
        <v>8214</v>
      </c>
      <c r="I355" s="3" t="s">
        <v>3113</v>
      </c>
      <c r="J355" s="7">
        <v>1.06</v>
      </c>
      <c r="K355" s="1" t="s">
        <v>3114</v>
      </c>
      <c r="L355" s="2">
        <v>0.83699999999999997</v>
      </c>
      <c r="M355" s="2">
        <f>89388/100000</f>
        <v>0.89388000000000001</v>
      </c>
      <c r="N355" s="2">
        <v>0.82929589999999997</v>
      </c>
      <c r="O355" s="4" t="s">
        <v>3115</v>
      </c>
      <c r="P355" s="1">
        <v>0.4</v>
      </c>
      <c r="Q355" s="7" t="s">
        <v>3116</v>
      </c>
      <c r="R355" s="2">
        <v>1.47E-2</v>
      </c>
      <c r="S355" s="2">
        <f>1418/100000</f>
        <v>1.418E-2</v>
      </c>
      <c r="T355" s="2">
        <v>0.1098148</v>
      </c>
    </row>
    <row r="356" spans="1:20">
      <c r="A356" s="3" t="s">
        <v>3117</v>
      </c>
      <c r="B356" s="1" t="s">
        <v>3098</v>
      </c>
      <c r="C356" s="3" t="s">
        <v>3099</v>
      </c>
      <c r="D356" s="3" t="s">
        <v>3118</v>
      </c>
      <c r="E356" s="3" t="s">
        <v>3119</v>
      </c>
      <c r="F356" s="3" t="s">
        <v>3120</v>
      </c>
      <c r="G356" s="3" t="s">
        <v>3121</v>
      </c>
      <c r="H356" s="11" t="s">
        <v>8214</v>
      </c>
      <c r="I356" s="3" t="s">
        <v>3122</v>
      </c>
      <c r="J356" s="7">
        <v>0.68</v>
      </c>
      <c r="K356" s="1" t="s">
        <v>1686</v>
      </c>
      <c r="L356" s="2">
        <v>0.23599999999999999</v>
      </c>
      <c r="M356" s="2">
        <f>27246/100000</f>
        <v>0.27245999999999998</v>
      </c>
      <c r="N356" s="2">
        <v>0.56620890000000001</v>
      </c>
      <c r="O356" s="4" t="s">
        <v>3123</v>
      </c>
      <c r="P356" s="1">
        <v>1.28</v>
      </c>
      <c r="Q356" s="7" t="s">
        <v>3124</v>
      </c>
      <c r="R356" s="2">
        <v>0.19500000000000001</v>
      </c>
      <c r="S356" s="2">
        <f>20067/100000</f>
        <v>0.20066999999999999</v>
      </c>
      <c r="T356" s="2">
        <v>0.48870029999999998</v>
      </c>
    </row>
    <row r="357" spans="1:20">
      <c r="A357" s="3" t="s">
        <v>3125</v>
      </c>
      <c r="B357" s="1" t="s">
        <v>3126</v>
      </c>
      <c r="C357" s="3" t="s">
        <v>3127</v>
      </c>
      <c r="D357" s="3" t="s">
        <v>3128</v>
      </c>
      <c r="E357" s="3" t="s">
        <v>3129</v>
      </c>
      <c r="F357" s="3" t="s">
        <v>3130</v>
      </c>
      <c r="G357" s="3" t="s">
        <v>3131</v>
      </c>
      <c r="H357" s="11" t="s">
        <v>8047</v>
      </c>
      <c r="I357" s="3" t="s">
        <v>3132</v>
      </c>
      <c r="J357" s="7">
        <v>1.3</v>
      </c>
      <c r="K357" s="1" t="s">
        <v>3133</v>
      </c>
      <c r="L357" s="2">
        <v>0.115</v>
      </c>
      <c r="M357" s="2">
        <f>11768/100000</f>
        <v>0.11768000000000001</v>
      </c>
      <c r="N357" s="2">
        <v>0.38060929999999998</v>
      </c>
      <c r="O357" s="4" t="s">
        <v>3134</v>
      </c>
      <c r="P357" s="1">
        <v>1.17</v>
      </c>
      <c r="Q357" s="7" t="s">
        <v>3135</v>
      </c>
      <c r="R357" s="2">
        <v>0.35</v>
      </c>
      <c r="S357" s="2">
        <f>36107/100000</f>
        <v>0.36107</v>
      </c>
      <c r="T357" s="2">
        <v>0.64054420000000001</v>
      </c>
    </row>
    <row r="358" spans="1:20">
      <c r="A358" s="3" t="s">
        <v>3136</v>
      </c>
      <c r="B358" s="1" t="s">
        <v>3126</v>
      </c>
      <c r="C358" s="3" t="s">
        <v>3127</v>
      </c>
      <c r="D358" s="3" t="s">
        <v>3137</v>
      </c>
      <c r="E358" s="3" t="s">
        <v>3138</v>
      </c>
      <c r="F358" s="3" t="s">
        <v>3130</v>
      </c>
      <c r="G358" s="3" t="s">
        <v>3131</v>
      </c>
      <c r="H358" s="11" t="s">
        <v>8177</v>
      </c>
      <c r="I358" s="3" t="s">
        <v>3139</v>
      </c>
      <c r="J358" s="7">
        <v>0.78</v>
      </c>
      <c r="K358" s="1" t="s">
        <v>3140</v>
      </c>
      <c r="L358" s="2">
        <v>0.30399999999999999</v>
      </c>
      <c r="M358" s="2">
        <f>32540/100000</f>
        <v>0.32540000000000002</v>
      </c>
      <c r="N358" s="2">
        <v>0.61041509999999999</v>
      </c>
      <c r="O358" s="4" t="s">
        <v>3141</v>
      </c>
      <c r="P358" s="1">
        <v>1.72</v>
      </c>
      <c r="Q358" s="7" t="s">
        <v>3142</v>
      </c>
      <c r="R358" s="2">
        <v>5.2599999999999999E-4</v>
      </c>
      <c r="S358" s="2">
        <f>84/100000</f>
        <v>8.4000000000000003E-4</v>
      </c>
      <c r="T358" s="2">
        <v>1.4671429999999999E-2</v>
      </c>
    </row>
    <row r="359" spans="1:20">
      <c r="A359" s="3" t="s">
        <v>3143</v>
      </c>
      <c r="B359" s="1" t="s">
        <v>3144</v>
      </c>
      <c r="C359" s="3" t="s">
        <v>3145</v>
      </c>
      <c r="D359" s="3" t="s">
        <v>3146</v>
      </c>
      <c r="E359" s="3" t="s">
        <v>3147</v>
      </c>
      <c r="F359" s="3" t="s">
        <v>3148</v>
      </c>
      <c r="G359" s="3" t="s">
        <v>3149</v>
      </c>
      <c r="H359" s="11" t="s">
        <v>8101</v>
      </c>
      <c r="I359" s="3" t="s">
        <v>3150</v>
      </c>
      <c r="J359" s="7">
        <v>1.19</v>
      </c>
      <c r="K359" s="1" t="s">
        <v>3151</v>
      </c>
      <c r="L359" s="2">
        <v>0.55800000000000005</v>
      </c>
      <c r="M359" s="2">
        <f>62523/100000</f>
        <v>0.62522999999999995</v>
      </c>
      <c r="N359" s="2">
        <v>0.79869500000000004</v>
      </c>
      <c r="O359" s="4" t="s">
        <v>3152</v>
      </c>
      <c r="P359" s="1">
        <v>1.22</v>
      </c>
      <c r="Q359" s="7" t="s">
        <v>3153</v>
      </c>
      <c r="R359" s="2">
        <v>0.49299999999999999</v>
      </c>
      <c r="S359" s="2">
        <f>52264/100000</f>
        <v>0.52263999999999999</v>
      </c>
      <c r="T359" s="2">
        <v>0.74478149999999999</v>
      </c>
    </row>
    <row r="360" spans="1:20">
      <c r="A360" s="3" t="s">
        <v>3154</v>
      </c>
      <c r="B360" s="1" t="s">
        <v>3144</v>
      </c>
      <c r="C360" s="3" t="s">
        <v>3145</v>
      </c>
      <c r="D360" s="3" t="s">
        <v>3155</v>
      </c>
      <c r="E360" s="3" t="s">
        <v>3156</v>
      </c>
      <c r="F360" s="3" t="s">
        <v>3157</v>
      </c>
      <c r="G360" s="3" t="s">
        <v>3158</v>
      </c>
      <c r="H360" s="11" t="s">
        <v>8101</v>
      </c>
      <c r="I360" s="3" t="s">
        <v>3159</v>
      </c>
      <c r="J360" s="7">
        <v>1.7</v>
      </c>
      <c r="K360" s="1" t="s">
        <v>3160</v>
      </c>
      <c r="L360" s="2">
        <v>2.9399999999999999E-2</v>
      </c>
      <c r="M360" s="2">
        <f>3468/100000</f>
        <v>3.4680000000000002E-2</v>
      </c>
      <c r="N360" s="2">
        <v>0.1960739</v>
      </c>
      <c r="O360" s="4" t="s">
        <v>3161</v>
      </c>
      <c r="P360" s="1">
        <v>0.94</v>
      </c>
      <c r="Q360" s="7" t="s">
        <v>1547</v>
      </c>
      <c r="R360" s="2">
        <v>0.82899999999999996</v>
      </c>
      <c r="S360" s="2">
        <f>88636/100000</f>
        <v>0.88636000000000004</v>
      </c>
      <c r="T360" s="2">
        <v>0.82929589999999997</v>
      </c>
    </row>
    <row r="361" spans="1:20">
      <c r="A361" s="3" t="s">
        <v>3162</v>
      </c>
      <c r="B361" s="1" t="s">
        <v>3144</v>
      </c>
      <c r="C361" s="3" t="s">
        <v>3145</v>
      </c>
      <c r="D361" s="3" t="s">
        <v>3163</v>
      </c>
      <c r="E361" s="3" t="s">
        <v>3164</v>
      </c>
      <c r="F361" s="3" t="s">
        <v>3148</v>
      </c>
      <c r="G361" s="3" t="s">
        <v>3149</v>
      </c>
      <c r="H361" s="11" t="s">
        <v>8101</v>
      </c>
      <c r="I361" s="3" t="s">
        <v>3165</v>
      </c>
      <c r="J361" s="7">
        <v>1.34</v>
      </c>
      <c r="K361" s="1" t="s">
        <v>3166</v>
      </c>
      <c r="L361" s="2">
        <v>0.30399999999999999</v>
      </c>
      <c r="M361" s="2">
        <f>33778/100000</f>
        <v>0.33778000000000002</v>
      </c>
      <c r="N361" s="2">
        <v>0.61526179999999997</v>
      </c>
      <c r="O361" s="4" t="s">
        <v>3167</v>
      </c>
      <c r="P361" s="1">
        <v>0.86</v>
      </c>
      <c r="Q361" s="7" t="s">
        <v>3168</v>
      </c>
      <c r="R361" s="2">
        <v>0.68899999999999995</v>
      </c>
      <c r="S361" s="2">
        <f>72512/100000</f>
        <v>0.72511999999999999</v>
      </c>
      <c r="T361" s="2">
        <v>0.82137769999999999</v>
      </c>
    </row>
    <row r="362" spans="1:20">
      <c r="A362" s="3" t="s">
        <v>3169</v>
      </c>
      <c r="B362" s="1" t="s">
        <v>3144</v>
      </c>
      <c r="C362" s="3" t="s">
        <v>3145</v>
      </c>
      <c r="D362" s="3" t="s">
        <v>3170</v>
      </c>
      <c r="E362" s="3" t="s">
        <v>3171</v>
      </c>
      <c r="F362" s="3" t="s">
        <v>3157</v>
      </c>
      <c r="G362" s="3" t="s">
        <v>3158</v>
      </c>
      <c r="H362" s="11" t="s">
        <v>8101</v>
      </c>
      <c r="I362" s="3" t="s">
        <v>3172</v>
      </c>
      <c r="J362" s="7">
        <v>1.74</v>
      </c>
      <c r="K362" s="1" t="s">
        <v>3173</v>
      </c>
      <c r="L362" s="2">
        <v>5.0200000000000002E-2</v>
      </c>
      <c r="M362" s="2">
        <f>6999/100000</f>
        <v>6.9989999999999997E-2</v>
      </c>
      <c r="N362" s="2">
        <v>0.29644490000000001</v>
      </c>
      <c r="O362" s="4" t="s">
        <v>3174</v>
      </c>
      <c r="P362" s="1">
        <v>1.21</v>
      </c>
      <c r="Q362" s="7" t="s">
        <v>3175</v>
      </c>
      <c r="R362" s="2">
        <v>0.54100000000000004</v>
      </c>
      <c r="S362" s="2">
        <f>60358/100000</f>
        <v>0.60358000000000001</v>
      </c>
      <c r="T362" s="2">
        <v>0.78599600000000003</v>
      </c>
    </row>
    <row r="363" spans="1:20">
      <c r="A363" s="3" t="s">
        <v>3176</v>
      </c>
      <c r="B363" s="1" t="s">
        <v>3177</v>
      </c>
      <c r="C363" s="3" t="s">
        <v>3178</v>
      </c>
      <c r="D363" s="3" t="s">
        <v>3179</v>
      </c>
      <c r="E363" s="3" t="s">
        <v>3180</v>
      </c>
      <c r="F363" s="3" t="s">
        <v>3181</v>
      </c>
      <c r="G363" s="3" t="s">
        <v>3182</v>
      </c>
      <c r="H363" s="11" t="s">
        <v>8215</v>
      </c>
      <c r="I363" s="3" t="s">
        <v>3183</v>
      </c>
      <c r="J363" s="7">
        <v>1.36</v>
      </c>
      <c r="K363" s="1" t="s">
        <v>3184</v>
      </c>
      <c r="L363" s="2">
        <v>0.27600000000000002</v>
      </c>
      <c r="M363" s="2">
        <f>33662/100000</f>
        <v>0.33661999999999997</v>
      </c>
      <c r="N363" s="2">
        <v>0.61526179999999997</v>
      </c>
      <c r="O363" s="4" t="s">
        <v>3185</v>
      </c>
      <c r="P363" s="1">
        <v>0.98</v>
      </c>
      <c r="Q363" s="7" t="s">
        <v>3186</v>
      </c>
      <c r="R363" s="2">
        <v>0.93899999999999995</v>
      </c>
      <c r="S363" s="2">
        <f>100000/100000</f>
        <v>1</v>
      </c>
      <c r="T363" s="2">
        <v>0.82929589999999997</v>
      </c>
    </row>
    <row r="364" spans="1:20">
      <c r="A364" s="3" t="s">
        <v>3187</v>
      </c>
      <c r="B364" s="1" t="s">
        <v>3177</v>
      </c>
      <c r="C364" s="3" t="s">
        <v>3178</v>
      </c>
      <c r="D364" s="3" t="s">
        <v>3188</v>
      </c>
      <c r="E364" s="3" t="s">
        <v>3189</v>
      </c>
      <c r="F364" s="3" t="s">
        <v>3190</v>
      </c>
      <c r="G364" s="3" t="s">
        <v>3191</v>
      </c>
      <c r="H364" s="11" t="s">
        <v>8215</v>
      </c>
      <c r="I364" s="3" t="s">
        <v>3192</v>
      </c>
      <c r="J364" s="7">
        <v>1.04</v>
      </c>
      <c r="K364" s="1" t="s">
        <v>3193</v>
      </c>
      <c r="L364" s="2">
        <v>0.91300000000000003</v>
      </c>
      <c r="M364" s="2">
        <f>100000/100000</f>
        <v>1</v>
      </c>
      <c r="N364" s="2">
        <v>0.82929589999999997</v>
      </c>
      <c r="O364" s="4" t="s">
        <v>3194</v>
      </c>
      <c r="P364" s="1">
        <v>2.2200000000000002</v>
      </c>
      <c r="Q364" s="7" t="s">
        <v>3195</v>
      </c>
      <c r="R364" s="2">
        <v>3.8999999999999999E-4</v>
      </c>
      <c r="S364" s="2">
        <f>93/100000</f>
        <v>9.3000000000000005E-4</v>
      </c>
      <c r="T364" s="2">
        <v>1.560637E-2</v>
      </c>
    </row>
    <row r="365" spans="1:20">
      <c r="A365" s="3" t="s">
        <v>3196</v>
      </c>
      <c r="B365" s="1" t="s">
        <v>3197</v>
      </c>
      <c r="C365" s="3" t="s">
        <v>3198</v>
      </c>
      <c r="D365" s="3" t="s">
        <v>3199</v>
      </c>
      <c r="E365" s="3" t="s">
        <v>3200</v>
      </c>
      <c r="F365" s="3" t="s">
        <v>3201</v>
      </c>
      <c r="G365" s="3" t="s">
        <v>3202</v>
      </c>
      <c r="H365" s="11" t="s">
        <v>8216</v>
      </c>
      <c r="I365" s="3" t="s">
        <v>3203</v>
      </c>
      <c r="J365" s="7">
        <v>1.03</v>
      </c>
      <c r="K365" s="1" t="s">
        <v>3204</v>
      </c>
      <c r="L365" s="2">
        <v>0.877</v>
      </c>
      <c r="M365" s="2">
        <f>91481/100000</f>
        <v>0.91481000000000001</v>
      </c>
      <c r="N365" s="2">
        <v>0.82929589999999997</v>
      </c>
      <c r="O365" s="4" t="s">
        <v>3205</v>
      </c>
      <c r="P365" s="1">
        <v>1.79</v>
      </c>
      <c r="Q365" s="7" t="s">
        <v>3206</v>
      </c>
      <c r="R365" s="2">
        <v>5.8699999999999996E-4</v>
      </c>
      <c r="S365" s="2">
        <f>111/100000</f>
        <v>1.1100000000000001E-3</v>
      </c>
      <c r="T365" s="2">
        <v>1.781203E-2</v>
      </c>
    </row>
    <row r="366" spans="1:20">
      <c r="A366" s="3" t="s">
        <v>3207</v>
      </c>
      <c r="B366" s="1" t="s">
        <v>3208</v>
      </c>
      <c r="C366" s="3" t="s">
        <v>3209</v>
      </c>
      <c r="D366" s="3" t="s">
        <v>3210</v>
      </c>
      <c r="E366" s="3" t="s">
        <v>3211</v>
      </c>
      <c r="F366" s="3" t="s">
        <v>3212</v>
      </c>
      <c r="G366" s="3" t="s">
        <v>3213</v>
      </c>
      <c r="H366" s="11" t="s">
        <v>8217</v>
      </c>
      <c r="I366" s="3" t="s">
        <v>3214</v>
      </c>
      <c r="J366" s="7">
        <v>1.57</v>
      </c>
      <c r="K366" s="1" t="s">
        <v>3215</v>
      </c>
      <c r="L366" s="2">
        <v>5.4699999999999999E-2</v>
      </c>
      <c r="M366" s="2">
        <f>6205/100000</f>
        <v>6.2050000000000001E-2</v>
      </c>
      <c r="N366" s="2">
        <v>0.27489960000000002</v>
      </c>
      <c r="O366" s="4" t="s">
        <v>3216</v>
      </c>
      <c r="P366" s="1">
        <v>1.98</v>
      </c>
      <c r="Q366" s="7" t="s">
        <v>3217</v>
      </c>
      <c r="R366" s="2">
        <v>1.01E-3</v>
      </c>
      <c r="S366" s="2">
        <f>201/100000</f>
        <v>2.0100000000000001E-3</v>
      </c>
      <c r="T366" s="2">
        <v>2.74504E-2</v>
      </c>
    </row>
    <row r="367" spans="1:20">
      <c r="A367" s="3" t="s">
        <v>3218</v>
      </c>
      <c r="B367" s="1" t="s">
        <v>3219</v>
      </c>
      <c r="C367" s="3" t="s">
        <v>3220</v>
      </c>
      <c r="D367" s="3" t="s">
        <v>3221</v>
      </c>
      <c r="E367" s="3" t="s">
        <v>3222</v>
      </c>
      <c r="F367" s="3" t="s">
        <v>3223</v>
      </c>
      <c r="G367" s="3" t="s">
        <v>3224</v>
      </c>
      <c r="H367" s="11" t="s">
        <v>8218</v>
      </c>
      <c r="I367" s="3" t="s">
        <v>3225</v>
      </c>
      <c r="J367" s="7">
        <v>0.31</v>
      </c>
      <c r="K367" s="1" t="s">
        <v>3226</v>
      </c>
      <c r="L367" s="2">
        <v>1.48E-3</v>
      </c>
      <c r="M367" s="2">
        <f>217/100000</f>
        <v>2.1700000000000001E-3</v>
      </c>
      <c r="N367" s="2">
        <v>2.8527779999999999E-2</v>
      </c>
      <c r="O367" s="4" t="s">
        <v>3227</v>
      </c>
      <c r="P367" s="1">
        <v>1.06</v>
      </c>
      <c r="Q367" s="7" t="s">
        <v>3228</v>
      </c>
      <c r="R367" s="2">
        <v>0.85299999999999998</v>
      </c>
      <c r="S367" s="2">
        <f>87738/100000</f>
        <v>0.87738000000000005</v>
      </c>
      <c r="T367" s="2">
        <v>0.82929589999999997</v>
      </c>
    </row>
    <row r="368" spans="1:20">
      <c r="A368" s="3" t="s">
        <v>3229</v>
      </c>
      <c r="B368" s="1" t="s">
        <v>3230</v>
      </c>
      <c r="C368" s="3" t="s">
        <v>3231</v>
      </c>
      <c r="D368" s="3" t="s">
        <v>3232</v>
      </c>
      <c r="E368" s="3" t="s">
        <v>3233</v>
      </c>
      <c r="F368" s="3" t="s">
        <v>3234</v>
      </c>
      <c r="G368" s="3" t="s">
        <v>3235</v>
      </c>
      <c r="H368" s="11" t="s">
        <v>8219</v>
      </c>
      <c r="I368" s="3" t="s">
        <v>3236</v>
      </c>
      <c r="J368" s="7">
        <v>2.09</v>
      </c>
      <c r="K368" s="1" t="s">
        <v>3237</v>
      </c>
      <c r="L368" s="2">
        <v>1.3699999999999999E-3</v>
      </c>
      <c r="M368" s="2">
        <f>271/100000</f>
        <v>2.7100000000000002E-3</v>
      </c>
      <c r="N368" s="2">
        <v>3.3613160000000003E-2</v>
      </c>
      <c r="O368" s="4" t="s">
        <v>3238</v>
      </c>
      <c r="P368" s="1">
        <v>0.85</v>
      </c>
      <c r="Q368" s="7" t="s">
        <v>3239</v>
      </c>
      <c r="R368" s="2">
        <v>0.59</v>
      </c>
      <c r="S368" s="2">
        <f>66573/100000</f>
        <v>0.66573000000000004</v>
      </c>
      <c r="T368" s="2">
        <v>0.80511429999999995</v>
      </c>
    </row>
    <row r="369" spans="1:20">
      <c r="A369" s="3" t="s">
        <v>3240</v>
      </c>
      <c r="B369" s="1" t="s">
        <v>3241</v>
      </c>
      <c r="C369" s="3" t="s">
        <v>3242</v>
      </c>
      <c r="D369" s="3" t="s">
        <v>3243</v>
      </c>
      <c r="E369" s="3" t="s">
        <v>3244</v>
      </c>
      <c r="F369" s="3" t="s">
        <v>3245</v>
      </c>
      <c r="G369" s="3" t="s">
        <v>3246</v>
      </c>
      <c r="H369" s="11" t="s">
        <v>8047</v>
      </c>
      <c r="I369" s="3" t="s">
        <v>3247</v>
      </c>
      <c r="J369" s="7">
        <v>1.06</v>
      </c>
      <c r="K369" s="1" t="s">
        <v>3248</v>
      </c>
      <c r="L369" s="2">
        <v>0.38300000000000001</v>
      </c>
      <c r="M369" s="2">
        <f>38601/100000</f>
        <v>0.38601000000000002</v>
      </c>
      <c r="N369" s="2">
        <v>0.65243910000000005</v>
      </c>
      <c r="O369" s="4" t="s">
        <v>3249</v>
      </c>
      <c r="P369" s="1">
        <v>1.43</v>
      </c>
      <c r="Q369" s="7" t="s">
        <v>3250</v>
      </c>
      <c r="R369" s="2">
        <v>8.9700000000000003E-8</v>
      </c>
      <c r="S369" s="2" t="s">
        <v>500</v>
      </c>
      <c r="T369" s="2">
        <v>3.517123E-4</v>
      </c>
    </row>
    <row r="370" spans="1:20">
      <c r="A370" s="3" t="s">
        <v>3251</v>
      </c>
      <c r="B370" s="1" t="s">
        <v>3252</v>
      </c>
      <c r="C370" s="3" t="s">
        <v>3253</v>
      </c>
      <c r="D370" s="3" t="s">
        <v>3254</v>
      </c>
      <c r="E370" s="3" t="s">
        <v>3255</v>
      </c>
      <c r="F370" s="3" t="s">
        <v>3256</v>
      </c>
      <c r="G370" s="3" t="s">
        <v>3257</v>
      </c>
      <c r="H370" s="11" t="s">
        <v>8109</v>
      </c>
      <c r="I370" s="3" t="s">
        <v>3258</v>
      </c>
      <c r="J370" s="7">
        <v>1.45</v>
      </c>
      <c r="K370" s="1" t="s">
        <v>3259</v>
      </c>
      <c r="L370" s="2">
        <v>3.2299999999999998E-3</v>
      </c>
      <c r="M370" s="2">
        <f>366/100000</f>
        <v>3.6600000000000001E-3</v>
      </c>
      <c r="N370" s="2">
        <v>4.29089E-2</v>
      </c>
      <c r="O370" s="4" t="s">
        <v>3260</v>
      </c>
      <c r="P370" s="1">
        <v>1.0900000000000001</v>
      </c>
      <c r="Q370" s="7" t="s">
        <v>3261</v>
      </c>
      <c r="R370" s="2">
        <v>0.54900000000000004</v>
      </c>
      <c r="S370" s="2">
        <f>56366/100000</f>
        <v>0.56366000000000005</v>
      </c>
      <c r="T370" s="2">
        <v>0.76054100000000002</v>
      </c>
    </row>
    <row r="371" spans="1:20">
      <c r="A371" s="3" t="s">
        <v>3262</v>
      </c>
      <c r="B371" s="1" t="s">
        <v>3252</v>
      </c>
      <c r="C371" s="3" t="s">
        <v>3253</v>
      </c>
      <c r="D371" s="3" t="s">
        <v>3263</v>
      </c>
      <c r="E371" s="3" t="s">
        <v>3264</v>
      </c>
      <c r="F371" s="3" t="s">
        <v>3265</v>
      </c>
      <c r="G371" s="3" t="s">
        <v>3266</v>
      </c>
      <c r="H371" s="11" t="s">
        <v>8109</v>
      </c>
      <c r="I371" s="3" t="s">
        <v>3267</v>
      </c>
      <c r="J371" s="7">
        <v>1.17</v>
      </c>
      <c r="K371" s="1" t="s">
        <v>3268</v>
      </c>
      <c r="L371" s="2">
        <v>0.37</v>
      </c>
      <c r="M371" s="2">
        <f>40585/100000</f>
        <v>0.40584999999999999</v>
      </c>
      <c r="N371" s="2">
        <v>0.66820829999999998</v>
      </c>
      <c r="O371" s="4" t="s">
        <v>3269</v>
      </c>
      <c r="P371" s="1">
        <v>1.23</v>
      </c>
      <c r="Q371" s="7" t="s">
        <v>3270</v>
      </c>
      <c r="R371" s="2">
        <v>0.23</v>
      </c>
      <c r="S371" s="2">
        <f>26527/100000</f>
        <v>0.26527000000000001</v>
      </c>
      <c r="T371" s="2">
        <v>0.56557559999999996</v>
      </c>
    </row>
    <row r="372" spans="1:20">
      <c r="A372" s="3" t="s">
        <v>3271</v>
      </c>
      <c r="B372" s="1" t="s">
        <v>3272</v>
      </c>
      <c r="C372" s="3" t="s">
        <v>3273</v>
      </c>
      <c r="D372" s="3" t="s">
        <v>3263</v>
      </c>
      <c r="E372" s="3" t="s">
        <v>3264</v>
      </c>
      <c r="F372" s="3" t="s">
        <v>3265</v>
      </c>
      <c r="G372" s="3" t="s">
        <v>3266</v>
      </c>
      <c r="H372" s="11" t="s">
        <v>8109</v>
      </c>
      <c r="I372" s="3" t="s">
        <v>3267</v>
      </c>
      <c r="J372" s="7">
        <v>1.17</v>
      </c>
      <c r="K372" s="1" t="s">
        <v>3268</v>
      </c>
      <c r="L372" s="2">
        <v>0.37</v>
      </c>
      <c r="M372" s="2">
        <f>40585/100000</f>
        <v>0.40584999999999999</v>
      </c>
      <c r="N372" s="2">
        <v>0.66820829999999998</v>
      </c>
      <c r="O372" s="4" t="s">
        <v>3269</v>
      </c>
      <c r="P372" s="1">
        <v>1.23</v>
      </c>
      <c r="Q372" s="7" t="s">
        <v>3270</v>
      </c>
      <c r="R372" s="2">
        <v>0.23</v>
      </c>
      <c r="S372" s="2">
        <f>26527/100000</f>
        <v>0.26527000000000001</v>
      </c>
      <c r="T372" s="2">
        <v>0.56557559999999996</v>
      </c>
    </row>
    <row r="373" spans="1:20">
      <c r="A373" s="3" t="s">
        <v>3274</v>
      </c>
      <c r="B373" s="1" t="s">
        <v>3272</v>
      </c>
      <c r="C373" s="3" t="s">
        <v>3273</v>
      </c>
      <c r="D373" s="3" t="s">
        <v>3254</v>
      </c>
      <c r="E373" s="3" t="s">
        <v>3255</v>
      </c>
      <c r="F373" s="3" t="s">
        <v>3256</v>
      </c>
      <c r="G373" s="3" t="s">
        <v>3257</v>
      </c>
      <c r="H373" s="11" t="s">
        <v>8109</v>
      </c>
      <c r="I373" s="3" t="s">
        <v>3258</v>
      </c>
      <c r="J373" s="7">
        <v>1.45</v>
      </c>
      <c r="K373" s="1" t="s">
        <v>3259</v>
      </c>
      <c r="L373" s="2">
        <v>3.2299999999999998E-3</v>
      </c>
      <c r="M373" s="2">
        <f>366/100000</f>
        <v>3.6600000000000001E-3</v>
      </c>
      <c r="N373" s="2">
        <v>4.29089E-2</v>
      </c>
      <c r="O373" s="4" t="s">
        <v>3260</v>
      </c>
      <c r="P373" s="1">
        <v>1.0900000000000001</v>
      </c>
      <c r="Q373" s="7" t="s">
        <v>3261</v>
      </c>
      <c r="R373" s="2">
        <v>0.54900000000000004</v>
      </c>
      <c r="S373" s="2">
        <f>56366/100000</f>
        <v>0.56366000000000005</v>
      </c>
      <c r="T373" s="2">
        <v>0.76054100000000002</v>
      </c>
    </row>
    <row r="374" spans="1:20">
      <c r="A374" s="3" t="s">
        <v>3275</v>
      </c>
      <c r="B374" s="1" t="s">
        <v>3276</v>
      </c>
      <c r="C374" s="3" t="s">
        <v>3277</v>
      </c>
      <c r="D374" s="3" t="s">
        <v>3278</v>
      </c>
      <c r="E374" s="3" t="s">
        <v>3090</v>
      </c>
      <c r="F374" s="3" t="s">
        <v>3279</v>
      </c>
      <c r="G374" s="3" t="s">
        <v>3092</v>
      </c>
      <c r="H374" s="11" t="s">
        <v>8213</v>
      </c>
      <c r="I374" s="3" t="s">
        <v>3280</v>
      </c>
      <c r="J374" s="7">
        <v>0.92</v>
      </c>
      <c r="K374" s="1" t="s">
        <v>1944</v>
      </c>
      <c r="L374" s="2">
        <v>0.72399999999999998</v>
      </c>
      <c r="M374" s="2">
        <f>81170/100000</f>
        <v>0.81169999999999998</v>
      </c>
      <c r="N374" s="2">
        <v>0.82929589999999997</v>
      </c>
      <c r="O374" s="4" t="s">
        <v>3281</v>
      </c>
      <c r="P374" s="1">
        <v>1.9</v>
      </c>
      <c r="Q374" s="7" t="s">
        <v>3282</v>
      </c>
      <c r="R374" s="2">
        <v>2.0400000000000001E-3</v>
      </c>
      <c r="S374" s="2">
        <f>342/100000</f>
        <v>3.4199999999999999E-3</v>
      </c>
      <c r="T374" s="2">
        <v>4.1224650000000002E-2</v>
      </c>
    </row>
    <row r="375" spans="1:20">
      <c r="A375" s="3" t="s">
        <v>3283</v>
      </c>
      <c r="B375" s="1" t="s">
        <v>3284</v>
      </c>
      <c r="C375" s="3" t="s">
        <v>3285</v>
      </c>
      <c r="D375" s="3" t="s">
        <v>3286</v>
      </c>
      <c r="E375" s="3" t="s">
        <v>3287</v>
      </c>
      <c r="F375" s="3" t="s">
        <v>3288</v>
      </c>
      <c r="G375" s="3" t="s">
        <v>3289</v>
      </c>
      <c r="H375" s="11" t="s">
        <v>8220</v>
      </c>
      <c r="I375" s="3" t="s">
        <v>3290</v>
      </c>
      <c r="J375" s="7">
        <v>0.68</v>
      </c>
      <c r="K375" s="1" t="s">
        <v>659</v>
      </c>
      <c r="L375" s="2">
        <v>0.59299999999999997</v>
      </c>
      <c r="M375" s="2">
        <f>76636/100000</f>
        <v>0.76636000000000004</v>
      </c>
      <c r="N375" s="2">
        <v>0.82929589999999997</v>
      </c>
      <c r="O375" s="4" t="s">
        <v>3291</v>
      </c>
      <c r="P375" s="1">
        <v>0</v>
      </c>
      <c r="Q375" s="7" t="s">
        <v>774</v>
      </c>
      <c r="R375" s="2">
        <v>0.11700000000000001</v>
      </c>
      <c r="S375" s="2">
        <f>16759/100000</f>
        <v>0.16758999999999999</v>
      </c>
      <c r="T375" s="2">
        <v>0.4540421</v>
      </c>
    </row>
    <row r="376" spans="1:20">
      <c r="A376" s="3" t="s">
        <v>3292</v>
      </c>
      <c r="B376" s="1" t="s">
        <v>3284</v>
      </c>
      <c r="C376" s="3" t="s">
        <v>3285</v>
      </c>
      <c r="D376" s="3" t="s">
        <v>3293</v>
      </c>
      <c r="E376" s="3" t="s">
        <v>3294</v>
      </c>
      <c r="F376" s="3" t="s">
        <v>3295</v>
      </c>
      <c r="G376" s="3" t="s">
        <v>3296</v>
      </c>
      <c r="H376" s="11" t="s">
        <v>8221</v>
      </c>
      <c r="I376" s="3" t="s">
        <v>3297</v>
      </c>
      <c r="J376" s="7">
        <v>0.75</v>
      </c>
      <c r="K376" s="1" t="s">
        <v>3298</v>
      </c>
      <c r="L376" s="2">
        <v>0.57799999999999996</v>
      </c>
      <c r="M376" s="2">
        <f>66129/100000</f>
        <v>0.66129000000000004</v>
      </c>
      <c r="N376" s="2">
        <v>0.80511429999999995</v>
      </c>
      <c r="O376" s="4" t="s">
        <v>3299</v>
      </c>
      <c r="P376" s="1">
        <v>0.96</v>
      </c>
      <c r="Q376" s="7" t="s">
        <v>3300</v>
      </c>
      <c r="R376" s="2">
        <v>0.93100000000000005</v>
      </c>
      <c r="S376" s="2">
        <f>100000/100000</f>
        <v>1</v>
      </c>
      <c r="T376" s="2">
        <v>0.82929589999999997</v>
      </c>
    </row>
    <row r="377" spans="1:20">
      <c r="A377" s="3" t="s">
        <v>3301</v>
      </c>
      <c r="B377" s="1" t="s">
        <v>3284</v>
      </c>
      <c r="C377" s="3" t="s">
        <v>3285</v>
      </c>
      <c r="D377" s="3" t="s">
        <v>3302</v>
      </c>
      <c r="E377" s="3" t="s">
        <v>3303</v>
      </c>
      <c r="F377" s="3" t="s">
        <v>3288</v>
      </c>
      <c r="G377" s="3" t="s">
        <v>3289</v>
      </c>
      <c r="H377" s="11" t="s">
        <v>8221</v>
      </c>
      <c r="I377" s="3" t="s">
        <v>3304</v>
      </c>
      <c r="J377" s="7">
        <v>0.66</v>
      </c>
      <c r="K377" s="1" t="s">
        <v>3305</v>
      </c>
      <c r="L377" s="2">
        <v>0.56999999999999995</v>
      </c>
      <c r="M377" s="2">
        <f>77034/100000</f>
        <v>0.77034000000000002</v>
      </c>
      <c r="N377" s="2">
        <v>0.82929589999999997</v>
      </c>
      <c r="O377" s="4" t="s">
        <v>3306</v>
      </c>
      <c r="P377" s="1">
        <v>0.4</v>
      </c>
      <c r="Q377" s="7" t="s">
        <v>3307</v>
      </c>
      <c r="R377" s="2">
        <v>0.34499999999999997</v>
      </c>
      <c r="S377" s="2">
        <f>51551/100000</f>
        <v>0.51551000000000002</v>
      </c>
      <c r="T377" s="2">
        <v>0.74478149999999999</v>
      </c>
    </row>
    <row r="378" spans="1:20">
      <c r="A378" s="3" t="s">
        <v>3308</v>
      </c>
      <c r="B378" s="1" t="s">
        <v>3284</v>
      </c>
      <c r="C378" s="3" t="s">
        <v>3285</v>
      </c>
      <c r="D378" s="3" t="s">
        <v>3309</v>
      </c>
      <c r="E378" s="3" t="s">
        <v>3310</v>
      </c>
      <c r="F378" s="3" t="s">
        <v>3295</v>
      </c>
      <c r="G378" s="3" t="s">
        <v>3296</v>
      </c>
      <c r="H378" s="11" t="s">
        <v>8220</v>
      </c>
      <c r="I378" s="3" t="s">
        <v>3311</v>
      </c>
      <c r="J378" s="7">
        <v>0.78</v>
      </c>
      <c r="K378" s="1" t="s">
        <v>3312</v>
      </c>
      <c r="L378" s="2">
        <v>0.63300000000000001</v>
      </c>
      <c r="M378" s="2">
        <f>66686/100000</f>
        <v>0.66686000000000001</v>
      </c>
      <c r="N378" s="2">
        <v>0.80511429999999995</v>
      </c>
      <c r="O378" s="4" t="s">
        <v>3313</v>
      </c>
      <c r="P378" s="1">
        <v>0</v>
      </c>
      <c r="Q378" s="7" t="s">
        <v>774</v>
      </c>
      <c r="R378" s="2">
        <v>7.2599999999999998E-2</v>
      </c>
      <c r="S378" s="2">
        <f>7418/100000</f>
        <v>7.4179999999999996E-2</v>
      </c>
      <c r="T378" s="2">
        <v>0.30530210000000002</v>
      </c>
    </row>
    <row r="379" spans="1:20">
      <c r="A379" s="3" t="s">
        <v>3314</v>
      </c>
      <c r="B379" s="1" t="s">
        <v>3315</v>
      </c>
      <c r="C379" s="3" t="s">
        <v>3316</v>
      </c>
      <c r="D379" s="3" t="s">
        <v>3317</v>
      </c>
      <c r="E379" s="3" t="s">
        <v>3318</v>
      </c>
      <c r="F379" s="3" t="s">
        <v>3319</v>
      </c>
      <c r="G379" s="3" t="s">
        <v>3320</v>
      </c>
      <c r="H379" s="11" t="s">
        <v>8222</v>
      </c>
      <c r="I379" s="3" t="s">
        <v>3321</v>
      </c>
      <c r="J379" s="7">
        <v>1</v>
      </c>
      <c r="K379" s="1" t="s">
        <v>3322</v>
      </c>
      <c r="L379" s="2">
        <v>0.99299999999999999</v>
      </c>
      <c r="M379" s="2">
        <f>100000/100000</f>
        <v>1</v>
      </c>
      <c r="N379" s="2">
        <v>0.82929589999999997</v>
      </c>
      <c r="O379" s="4" t="s">
        <v>3323</v>
      </c>
      <c r="P379" s="1">
        <v>1.28</v>
      </c>
      <c r="Q379" s="7" t="s">
        <v>3324</v>
      </c>
      <c r="R379" s="2">
        <v>1.84E-2</v>
      </c>
      <c r="S379" s="2">
        <f>2052/100000</f>
        <v>2.052E-2</v>
      </c>
      <c r="T379" s="2">
        <v>0.1414184</v>
      </c>
    </row>
    <row r="380" spans="1:20">
      <c r="A380" s="3" t="s">
        <v>3325</v>
      </c>
      <c r="B380" s="1" t="s">
        <v>3315</v>
      </c>
      <c r="C380" s="3" t="s">
        <v>3316</v>
      </c>
      <c r="D380" s="3" t="s">
        <v>3326</v>
      </c>
      <c r="E380" s="3" t="s">
        <v>3327</v>
      </c>
      <c r="F380" s="3" t="s">
        <v>3319</v>
      </c>
      <c r="G380" s="3" t="s">
        <v>3320</v>
      </c>
      <c r="H380" s="11" t="s">
        <v>8223</v>
      </c>
      <c r="I380" s="3" t="s">
        <v>3328</v>
      </c>
      <c r="J380" s="7">
        <v>1.05</v>
      </c>
      <c r="K380" s="1" t="s">
        <v>2013</v>
      </c>
      <c r="L380" s="2">
        <v>0.69699999999999995</v>
      </c>
      <c r="M380" s="2">
        <f>71041/100000</f>
        <v>0.71040999999999999</v>
      </c>
      <c r="N380" s="2">
        <v>0.82137769999999999</v>
      </c>
      <c r="O380" s="4" t="s">
        <v>3329</v>
      </c>
      <c r="P380" s="1">
        <v>1.69</v>
      </c>
      <c r="Q380" s="7" t="s">
        <v>3330</v>
      </c>
      <c r="R380" s="2">
        <v>9.2299999999999999E-8</v>
      </c>
      <c r="S380" s="2" t="s">
        <v>500</v>
      </c>
      <c r="T380" s="2">
        <v>3.517123E-4</v>
      </c>
    </row>
    <row r="381" spans="1:20">
      <c r="A381" s="3" t="s">
        <v>3331</v>
      </c>
      <c r="B381" s="1" t="s">
        <v>3315</v>
      </c>
      <c r="C381" s="3" t="s">
        <v>3316</v>
      </c>
      <c r="D381" s="3" t="s">
        <v>3332</v>
      </c>
      <c r="E381" s="3" t="s">
        <v>3333</v>
      </c>
      <c r="F381" s="3" t="s">
        <v>3319</v>
      </c>
      <c r="G381" s="3" t="s">
        <v>3320</v>
      </c>
      <c r="H381" s="11" t="s">
        <v>8224</v>
      </c>
      <c r="I381" s="3" t="s">
        <v>3334</v>
      </c>
      <c r="J381" s="7">
        <v>0.74</v>
      </c>
      <c r="K381" s="1" t="s">
        <v>3335</v>
      </c>
      <c r="L381" s="2">
        <v>5.1399999999999996E-3</v>
      </c>
      <c r="M381" s="2">
        <f>571/100000</f>
        <v>5.7099999999999998E-3</v>
      </c>
      <c r="N381" s="2">
        <v>5.8278169999999997E-2</v>
      </c>
      <c r="O381" s="4" t="s">
        <v>3336</v>
      </c>
      <c r="P381" s="1">
        <v>1.41</v>
      </c>
      <c r="Q381" s="7" t="s">
        <v>3337</v>
      </c>
      <c r="R381" s="2">
        <v>1.23E-3</v>
      </c>
      <c r="S381" s="2">
        <f>173/100000</f>
        <v>1.73E-3</v>
      </c>
      <c r="T381" s="2">
        <v>2.454019E-2</v>
      </c>
    </row>
    <row r="382" spans="1:20">
      <c r="A382" s="3" t="s">
        <v>3338</v>
      </c>
      <c r="B382" s="1" t="s">
        <v>3315</v>
      </c>
      <c r="C382" s="3" t="s">
        <v>3316</v>
      </c>
      <c r="D382" s="3" t="s">
        <v>3339</v>
      </c>
      <c r="E382" s="3" t="s">
        <v>3340</v>
      </c>
      <c r="F382" s="3" t="s">
        <v>3319</v>
      </c>
      <c r="G382" s="3" t="s">
        <v>3320</v>
      </c>
      <c r="H382" s="11" t="s">
        <v>8225</v>
      </c>
      <c r="I382" s="3" t="s">
        <v>3341</v>
      </c>
      <c r="J382" s="7">
        <v>1.2</v>
      </c>
      <c r="K382" s="1" t="s">
        <v>3342</v>
      </c>
      <c r="L382" s="2">
        <v>0.17199999999999999</v>
      </c>
      <c r="M382" s="2">
        <f>18617/100000</f>
        <v>0.18617</v>
      </c>
      <c r="N382" s="2">
        <v>0.47329529999999997</v>
      </c>
      <c r="O382" s="4" t="s">
        <v>3343</v>
      </c>
      <c r="P382" s="1">
        <v>1.4</v>
      </c>
      <c r="Q382" s="7" t="s">
        <v>3344</v>
      </c>
      <c r="R382" s="2">
        <v>1.5699999999999999E-2</v>
      </c>
      <c r="S382" s="2">
        <f>1648/100000</f>
        <v>1.6480000000000002E-2</v>
      </c>
      <c r="T382" s="2">
        <v>0.1213861</v>
      </c>
    </row>
    <row r="383" spans="1:20">
      <c r="A383" s="3" t="s">
        <v>3345</v>
      </c>
      <c r="B383" s="1" t="s">
        <v>3346</v>
      </c>
      <c r="C383" s="3" t="s">
        <v>3347</v>
      </c>
      <c r="D383" s="3" t="s">
        <v>3348</v>
      </c>
      <c r="E383" s="3" t="s">
        <v>3349</v>
      </c>
      <c r="F383" s="3" t="s">
        <v>3350</v>
      </c>
      <c r="G383" s="3" t="s">
        <v>3351</v>
      </c>
      <c r="H383" s="11" t="s">
        <v>8226</v>
      </c>
      <c r="I383" s="3" t="s">
        <v>3352</v>
      </c>
      <c r="J383" s="7">
        <v>0.79</v>
      </c>
      <c r="K383" s="1" t="s">
        <v>3353</v>
      </c>
      <c r="L383" s="2">
        <v>0.504</v>
      </c>
      <c r="M383" s="2">
        <f>53252/100000</f>
        <v>0.53251999999999999</v>
      </c>
      <c r="N383" s="2">
        <v>0.74478149999999999</v>
      </c>
      <c r="O383" s="4" t="s">
        <v>3354</v>
      </c>
      <c r="P383" s="1">
        <v>1.06</v>
      </c>
      <c r="Q383" s="7" t="s">
        <v>3355</v>
      </c>
      <c r="R383" s="2">
        <v>0.84199999999999997</v>
      </c>
      <c r="S383" s="2">
        <f>87199/100000</f>
        <v>0.87199000000000004</v>
      </c>
      <c r="T383" s="2">
        <v>0.82929589999999997</v>
      </c>
    </row>
    <row r="384" spans="1:20">
      <c r="A384" s="3" t="s">
        <v>3356</v>
      </c>
      <c r="B384" s="1" t="s">
        <v>3346</v>
      </c>
      <c r="C384" s="3" t="s">
        <v>3347</v>
      </c>
      <c r="D384" s="3" t="s">
        <v>3357</v>
      </c>
      <c r="E384" s="3" t="s">
        <v>3358</v>
      </c>
      <c r="F384" s="3" t="s">
        <v>3359</v>
      </c>
      <c r="G384" s="3" t="s">
        <v>3360</v>
      </c>
      <c r="H384" s="11" t="s">
        <v>8226</v>
      </c>
      <c r="I384" s="3" t="s">
        <v>3361</v>
      </c>
      <c r="J384" s="7">
        <v>1.28</v>
      </c>
      <c r="K384" s="1" t="s">
        <v>3362</v>
      </c>
      <c r="L384" s="2">
        <v>0.40200000000000002</v>
      </c>
      <c r="M384" s="2">
        <f>40179/100000</f>
        <v>0.40178999999999998</v>
      </c>
      <c r="N384" s="2">
        <v>0.66589350000000003</v>
      </c>
      <c r="O384" s="4" t="s">
        <v>3363</v>
      </c>
      <c r="P384" s="1">
        <v>0.5</v>
      </c>
      <c r="Q384" s="7" t="s">
        <v>3364</v>
      </c>
      <c r="R384" s="2">
        <v>0.121</v>
      </c>
      <c r="S384" s="2">
        <f>13810/100000</f>
        <v>0.1381</v>
      </c>
      <c r="T384" s="2">
        <v>0.40585909999999997</v>
      </c>
    </row>
    <row r="385" spans="1:20">
      <c r="A385" s="3" t="s">
        <v>3365</v>
      </c>
      <c r="B385" s="1" t="s">
        <v>3366</v>
      </c>
      <c r="C385" s="3" t="s">
        <v>3367</v>
      </c>
      <c r="D385" s="3" t="s">
        <v>3368</v>
      </c>
      <c r="E385" s="3" t="s">
        <v>3369</v>
      </c>
      <c r="F385" s="3" t="s">
        <v>3370</v>
      </c>
      <c r="G385" s="3" t="s">
        <v>3371</v>
      </c>
      <c r="H385" s="11" t="s">
        <v>8103</v>
      </c>
      <c r="I385" s="3" t="s">
        <v>3372</v>
      </c>
      <c r="J385" s="7">
        <v>1.01</v>
      </c>
      <c r="K385" s="1" t="s">
        <v>3373</v>
      </c>
      <c r="L385" s="2">
        <v>0.86399999999999999</v>
      </c>
      <c r="M385" s="2">
        <f>87567/100000</f>
        <v>0.87566999999999995</v>
      </c>
      <c r="N385" s="2">
        <v>0.82929589999999997</v>
      </c>
      <c r="O385" s="4" t="s">
        <v>3374</v>
      </c>
      <c r="P385" s="1">
        <v>1.07</v>
      </c>
      <c r="Q385" s="7" t="s">
        <v>3375</v>
      </c>
      <c r="R385" s="2">
        <v>0.47199999999999998</v>
      </c>
      <c r="S385" s="2">
        <f>49681/100000</f>
        <v>0.49680999999999997</v>
      </c>
      <c r="T385" s="2">
        <v>0.73504449999999999</v>
      </c>
    </row>
    <row r="386" spans="1:20">
      <c r="A386" s="3" t="s">
        <v>3376</v>
      </c>
      <c r="B386" s="1" t="s">
        <v>3366</v>
      </c>
      <c r="C386" s="3" t="s">
        <v>3367</v>
      </c>
      <c r="D386" s="3" t="s">
        <v>3377</v>
      </c>
      <c r="E386" s="3" t="s">
        <v>3378</v>
      </c>
      <c r="F386" s="3" t="s">
        <v>3370</v>
      </c>
      <c r="G386" s="3" t="s">
        <v>3371</v>
      </c>
      <c r="H386" s="11" t="s">
        <v>8103</v>
      </c>
      <c r="I386" s="3" t="s">
        <v>3379</v>
      </c>
      <c r="J386" s="7">
        <v>0.84</v>
      </c>
      <c r="K386" s="1" t="s">
        <v>3380</v>
      </c>
      <c r="L386" s="2">
        <v>1.06E-2</v>
      </c>
      <c r="M386" s="2">
        <f>1085/100000</f>
        <v>1.085E-2</v>
      </c>
      <c r="N386" s="2">
        <v>9.0862819999999997E-2</v>
      </c>
      <c r="O386" s="4" t="s">
        <v>3381</v>
      </c>
      <c r="P386" s="1">
        <v>1.34</v>
      </c>
      <c r="Q386" s="7" t="s">
        <v>3382</v>
      </c>
      <c r="R386" s="2">
        <v>2.23E-5</v>
      </c>
      <c r="S386" s="2">
        <f>3/100000</f>
        <v>3.0000000000000001E-5</v>
      </c>
      <c r="T386" s="2">
        <v>9.1696430000000003E-4</v>
      </c>
    </row>
    <row r="387" spans="1:20">
      <c r="A387" s="3" t="s">
        <v>3383</v>
      </c>
      <c r="B387" s="1" t="s">
        <v>3366</v>
      </c>
      <c r="C387" s="3" t="s">
        <v>3367</v>
      </c>
      <c r="D387" s="3" t="s">
        <v>3384</v>
      </c>
      <c r="E387" s="3" t="s">
        <v>3385</v>
      </c>
      <c r="F387" s="3" t="s">
        <v>3370</v>
      </c>
      <c r="G387" s="3" t="s">
        <v>3371</v>
      </c>
      <c r="H387" s="11" t="s">
        <v>8103</v>
      </c>
      <c r="I387" s="3" t="s">
        <v>3386</v>
      </c>
      <c r="J387" s="7">
        <v>1.35</v>
      </c>
      <c r="K387" s="1" t="s">
        <v>3387</v>
      </c>
      <c r="L387" s="2">
        <v>3.3599999999999998E-2</v>
      </c>
      <c r="M387" s="2">
        <f>4072/100000</f>
        <v>4.0719999999999999E-2</v>
      </c>
      <c r="N387" s="2">
        <v>0.21413370000000001</v>
      </c>
      <c r="O387" s="4" t="s">
        <v>3388</v>
      </c>
      <c r="P387" s="1">
        <v>1</v>
      </c>
      <c r="Q387" s="7" t="s">
        <v>3322</v>
      </c>
      <c r="R387" s="2">
        <v>0.97</v>
      </c>
      <c r="S387" s="2">
        <f>100000/100000</f>
        <v>1</v>
      </c>
      <c r="T387" s="2">
        <v>0.82929589999999997</v>
      </c>
    </row>
    <row r="388" spans="1:20">
      <c r="A388" s="3" t="s">
        <v>3389</v>
      </c>
      <c r="B388" s="1" t="s">
        <v>3366</v>
      </c>
      <c r="C388" s="3" t="s">
        <v>3367</v>
      </c>
      <c r="D388" s="3" t="s">
        <v>3390</v>
      </c>
      <c r="E388" s="3" t="s">
        <v>3391</v>
      </c>
      <c r="F388" s="3" t="s">
        <v>3392</v>
      </c>
      <c r="G388" s="3" t="s">
        <v>3393</v>
      </c>
      <c r="H388" s="11" t="s">
        <v>8103</v>
      </c>
      <c r="I388" s="3" t="s">
        <v>3394</v>
      </c>
      <c r="J388" s="7">
        <v>1.05</v>
      </c>
      <c r="K388" s="1" t="s">
        <v>3395</v>
      </c>
      <c r="L388" s="2">
        <v>0.66700000000000004</v>
      </c>
      <c r="M388" s="2">
        <f>69599/100000</f>
        <v>0.69599</v>
      </c>
      <c r="N388" s="2">
        <v>0.81485640000000004</v>
      </c>
      <c r="O388" s="4" t="s">
        <v>3396</v>
      </c>
      <c r="P388" s="1">
        <v>1.0900000000000001</v>
      </c>
      <c r="Q388" s="7" t="s">
        <v>3397</v>
      </c>
      <c r="R388" s="2">
        <v>0.38900000000000001</v>
      </c>
      <c r="S388" s="2">
        <f>39659/100000</f>
        <v>0.39659</v>
      </c>
      <c r="T388" s="2">
        <v>0.6623116</v>
      </c>
    </row>
    <row r="389" spans="1:20">
      <c r="A389" s="3" t="s">
        <v>3398</v>
      </c>
      <c r="B389" s="1" t="s">
        <v>3366</v>
      </c>
      <c r="C389" s="3" t="s">
        <v>3367</v>
      </c>
      <c r="D389" s="3" t="s">
        <v>3399</v>
      </c>
      <c r="E389" s="3" t="s">
        <v>3400</v>
      </c>
      <c r="F389" s="3" t="s">
        <v>3392</v>
      </c>
      <c r="G389" s="3" t="s">
        <v>3393</v>
      </c>
      <c r="H389" s="11" t="s">
        <v>8103</v>
      </c>
      <c r="I389" s="3" t="s">
        <v>3401</v>
      </c>
      <c r="J389" s="7">
        <v>0.87</v>
      </c>
      <c r="K389" s="1" t="s">
        <v>3402</v>
      </c>
      <c r="L389" s="2">
        <v>0.13100000000000001</v>
      </c>
      <c r="M389" s="2">
        <f>14204/100000</f>
        <v>0.14204</v>
      </c>
      <c r="N389" s="2">
        <v>0.4138309</v>
      </c>
      <c r="O389" s="4" t="s">
        <v>3403</v>
      </c>
      <c r="P389" s="1">
        <v>1.38</v>
      </c>
      <c r="Q389" s="7" t="s">
        <v>3404</v>
      </c>
      <c r="R389" s="2">
        <v>3.1300000000000001E-6</v>
      </c>
      <c r="S389" s="2" t="s">
        <v>500</v>
      </c>
      <c r="T389" s="2">
        <v>3.517123E-4</v>
      </c>
    </row>
    <row r="390" spans="1:20">
      <c r="A390" s="3" t="s">
        <v>3405</v>
      </c>
      <c r="B390" s="1" t="s">
        <v>3366</v>
      </c>
      <c r="C390" s="3" t="s">
        <v>3367</v>
      </c>
      <c r="D390" s="3" t="s">
        <v>3406</v>
      </c>
      <c r="E390" s="3" t="s">
        <v>3407</v>
      </c>
      <c r="F390" s="3" t="s">
        <v>3392</v>
      </c>
      <c r="G390" s="3" t="s">
        <v>3393</v>
      </c>
      <c r="H390" s="11" t="s">
        <v>8103</v>
      </c>
      <c r="I390" s="3" t="s">
        <v>3408</v>
      </c>
      <c r="J390" s="7">
        <v>1.42</v>
      </c>
      <c r="K390" s="1" t="s">
        <v>3409</v>
      </c>
      <c r="L390" s="2">
        <v>1.8499999999999999E-2</v>
      </c>
      <c r="M390" s="2">
        <f>2069/100000</f>
        <v>2.069E-2</v>
      </c>
      <c r="N390" s="2">
        <v>0.14165520000000001</v>
      </c>
      <c r="O390" s="4" t="s">
        <v>3410</v>
      </c>
      <c r="P390" s="1">
        <v>1.33</v>
      </c>
      <c r="Q390" s="7" t="s">
        <v>3411</v>
      </c>
      <c r="R390" s="2">
        <v>6.3299999999999995E-2</v>
      </c>
      <c r="S390" s="2">
        <f>7317/100000</f>
        <v>7.3169999999999999E-2</v>
      </c>
      <c r="T390" s="2">
        <v>0.3045271</v>
      </c>
    </row>
    <row r="391" spans="1:20">
      <c r="A391" s="3" t="s">
        <v>3412</v>
      </c>
      <c r="B391" s="1" t="s">
        <v>3413</v>
      </c>
      <c r="C391" s="3" t="s">
        <v>3414</v>
      </c>
      <c r="D391" s="3" t="s">
        <v>3415</v>
      </c>
      <c r="E391" s="3" t="s">
        <v>3416</v>
      </c>
      <c r="F391" s="3" t="s">
        <v>3417</v>
      </c>
      <c r="G391" s="3" t="s">
        <v>3418</v>
      </c>
      <c r="H391" s="11" t="s">
        <v>8227</v>
      </c>
      <c r="I391" s="3" t="s">
        <v>3419</v>
      </c>
      <c r="J391" s="7">
        <v>1.25</v>
      </c>
      <c r="K391" s="1" t="s">
        <v>3420</v>
      </c>
      <c r="L391" s="2">
        <v>0.215</v>
      </c>
      <c r="M391" s="2">
        <f>23180/100000</f>
        <v>0.23180000000000001</v>
      </c>
      <c r="N391" s="2">
        <v>0.53041850000000001</v>
      </c>
      <c r="O391" s="4" t="s">
        <v>3421</v>
      </c>
      <c r="P391" s="1">
        <v>1.22</v>
      </c>
      <c r="Q391" s="7" t="s">
        <v>1960</v>
      </c>
      <c r="R391" s="2">
        <v>0.27200000000000002</v>
      </c>
      <c r="S391" s="2">
        <f>27549/100000</f>
        <v>0.27549000000000001</v>
      </c>
      <c r="T391" s="2">
        <v>0.56620890000000001</v>
      </c>
    </row>
    <row r="392" spans="1:20">
      <c r="A392" s="3" t="s">
        <v>3422</v>
      </c>
      <c r="B392" s="1" t="s">
        <v>3413</v>
      </c>
      <c r="C392" s="3" t="s">
        <v>3414</v>
      </c>
      <c r="D392" s="3" t="s">
        <v>3423</v>
      </c>
      <c r="E392" s="3" t="s">
        <v>3424</v>
      </c>
      <c r="F392" s="3" t="s">
        <v>3417</v>
      </c>
      <c r="G392" s="3" t="s">
        <v>3418</v>
      </c>
      <c r="H392" s="11" t="s">
        <v>8228</v>
      </c>
      <c r="I392" s="3" t="s">
        <v>3425</v>
      </c>
      <c r="J392" s="7">
        <v>0.99</v>
      </c>
      <c r="K392" s="1" t="s">
        <v>1980</v>
      </c>
      <c r="L392" s="2">
        <v>0.95499999999999996</v>
      </c>
      <c r="M392" s="2">
        <f>100000/100000</f>
        <v>1</v>
      </c>
      <c r="N392" s="2">
        <v>0.82929589999999997</v>
      </c>
      <c r="O392" s="4" t="s">
        <v>3426</v>
      </c>
      <c r="P392" s="1">
        <v>0.93</v>
      </c>
      <c r="Q392" s="7" t="s">
        <v>3427</v>
      </c>
      <c r="R392" s="2">
        <v>0.67300000000000004</v>
      </c>
      <c r="S392" s="2">
        <f>68758/100000</f>
        <v>0.68757999999999997</v>
      </c>
      <c r="T392" s="2">
        <v>0.81339530000000004</v>
      </c>
    </row>
    <row r="393" spans="1:20">
      <c r="A393" s="3" t="s">
        <v>3428</v>
      </c>
      <c r="B393" s="1" t="s">
        <v>3429</v>
      </c>
      <c r="C393" s="3" t="s">
        <v>3430</v>
      </c>
      <c r="D393" s="3" t="s">
        <v>3431</v>
      </c>
      <c r="E393" s="3" t="s">
        <v>3432</v>
      </c>
      <c r="F393" s="3" t="s">
        <v>3433</v>
      </c>
      <c r="G393" s="3" t="s">
        <v>3434</v>
      </c>
      <c r="H393" s="11" t="s">
        <v>8104</v>
      </c>
      <c r="I393" s="3" t="s">
        <v>3435</v>
      </c>
      <c r="J393" s="7">
        <v>0.78</v>
      </c>
      <c r="K393" s="1" t="s">
        <v>3436</v>
      </c>
      <c r="L393" s="2">
        <v>0.48</v>
      </c>
      <c r="M393" s="2">
        <f>52702/100000</f>
        <v>0.52702000000000004</v>
      </c>
      <c r="N393" s="2">
        <v>0.74478149999999999</v>
      </c>
      <c r="O393" s="4" t="s">
        <v>3437</v>
      </c>
      <c r="P393" s="1">
        <v>1.47</v>
      </c>
      <c r="Q393" s="7" t="s">
        <v>3438</v>
      </c>
      <c r="R393" s="2">
        <v>0.105</v>
      </c>
      <c r="S393" s="2">
        <f>11668/100000</f>
        <v>0.11668000000000001</v>
      </c>
      <c r="T393" s="2">
        <v>0.38060929999999998</v>
      </c>
    </row>
    <row r="394" spans="1:20">
      <c r="A394" s="3" t="s">
        <v>3439</v>
      </c>
      <c r="B394" s="1" t="s">
        <v>3429</v>
      </c>
      <c r="C394" s="3" t="s">
        <v>3430</v>
      </c>
      <c r="D394" s="3" t="s">
        <v>3440</v>
      </c>
      <c r="E394" s="3" t="s">
        <v>3441</v>
      </c>
      <c r="F394" s="3" t="s">
        <v>3442</v>
      </c>
      <c r="G394" s="3" t="s">
        <v>3443</v>
      </c>
      <c r="H394" s="11" t="s">
        <v>8104</v>
      </c>
      <c r="I394" s="3" t="s">
        <v>3444</v>
      </c>
      <c r="J394" s="7">
        <v>1.23</v>
      </c>
      <c r="K394" s="1" t="s">
        <v>3445</v>
      </c>
      <c r="L394" s="2">
        <v>0.14199999999999999</v>
      </c>
      <c r="M394" s="2">
        <f>14191/100000</f>
        <v>0.14191000000000001</v>
      </c>
      <c r="N394" s="2">
        <v>0.4138309</v>
      </c>
      <c r="O394" s="4" t="s">
        <v>3446</v>
      </c>
      <c r="P394" s="1">
        <v>0.62</v>
      </c>
      <c r="Q394" s="7" t="s">
        <v>3447</v>
      </c>
      <c r="R394" s="2">
        <v>3.1800000000000002E-2</v>
      </c>
      <c r="S394" s="2">
        <f>3696/100000</f>
        <v>3.696E-2</v>
      </c>
      <c r="T394" s="2">
        <v>0.20452029999999999</v>
      </c>
    </row>
    <row r="395" spans="1:20">
      <c r="A395" s="3" t="s">
        <v>3448</v>
      </c>
      <c r="B395" s="1" t="s">
        <v>3449</v>
      </c>
      <c r="C395" s="3" t="s">
        <v>3450</v>
      </c>
      <c r="D395" s="3" t="s">
        <v>3451</v>
      </c>
      <c r="E395" s="3" t="s">
        <v>3452</v>
      </c>
      <c r="F395" s="3" t="s">
        <v>3453</v>
      </c>
      <c r="G395" s="3" t="s">
        <v>3454</v>
      </c>
      <c r="H395" s="11" t="s">
        <v>8048</v>
      </c>
      <c r="I395" s="3" t="s">
        <v>3455</v>
      </c>
      <c r="J395" s="7">
        <v>0.98</v>
      </c>
      <c r="K395" s="1" t="s">
        <v>3062</v>
      </c>
      <c r="L395" s="2">
        <v>0.95</v>
      </c>
      <c r="M395" s="2">
        <f>100000/100000</f>
        <v>1</v>
      </c>
      <c r="N395" s="2">
        <v>0.82929589999999997</v>
      </c>
      <c r="O395" s="4" t="s">
        <v>3456</v>
      </c>
      <c r="P395" s="1">
        <v>0.86</v>
      </c>
      <c r="Q395" s="7" t="s">
        <v>3457</v>
      </c>
      <c r="R395" s="2">
        <v>0.57199999999999995</v>
      </c>
      <c r="S395" s="2">
        <f>60857/100000</f>
        <v>0.60857000000000006</v>
      </c>
      <c r="T395" s="2">
        <v>0.78810860000000005</v>
      </c>
    </row>
    <row r="396" spans="1:20">
      <c r="A396" s="3" t="s">
        <v>3458</v>
      </c>
      <c r="B396" s="1" t="s">
        <v>3449</v>
      </c>
      <c r="C396" s="3" t="s">
        <v>3450</v>
      </c>
      <c r="D396" s="3" t="s">
        <v>3459</v>
      </c>
      <c r="E396" s="3" t="s">
        <v>3460</v>
      </c>
      <c r="F396" s="3" t="s">
        <v>3453</v>
      </c>
      <c r="G396" s="3" t="s">
        <v>3454</v>
      </c>
      <c r="H396" s="11" t="s">
        <v>8229</v>
      </c>
      <c r="I396" s="3" t="s">
        <v>3461</v>
      </c>
      <c r="J396" s="7">
        <v>1.34</v>
      </c>
      <c r="K396" s="1" t="s">
        <v>3462</v>
      </c>
      <c r="L396" s="2">
        <v>0.26200000000000001</v>
      </c>
      <c r="M396" s="2">
        <f>29046/100000</f>
        <v>0.29046</v>
      </c>
      <c r="N396" s="2">
        <v>0.57823020000000003</v>
      </c>
      <c r="O396" s="4" t="s">
        <v>3463</v>
      </c>
      <c r="P396" s="1">
        <v>0.99</v>
      </c>
      <c r="Q396" s="7" t="s">
        <v>3464</v>
      </c>
      <c r="R396" s="2">
        <v>0.96599999999999997</v>
      </c>
      <c r="S396" s="2">
        <f>100000/100000</f>
        <v>1</v>
      </c>
      <c r="T396" s="2">
        <v>0.82929589999999997</v>
      </c>
    </row>
    <row r="397" spans="1:20">
      <c r="A397" s="3" t="s">
        <v>3465</v>
      </c>
      <c r="B397" s="1" t="s">
        <v>3466</v>
      </c>
      <c r="C397" s="3" t="s">
        <v>3467</v>
      </c>
      <c r="D397" s="3" t="s">
        <v>3468</v>
      </c>
      <c r="E397" s="3" t="s">
        <v>3469</v>
      </c>
      <c r="F397" s="3" t="s">
        <v>3470</v>
      </c>
      <c r="G397" s="3" t="s">
        <v>3471</v>
      </c>
      <c r="H397" s="11" t="s">
        <v>8105</v>
      </c>
      <c r="I397" s="3" t="s">
        <v>3472</v>
      </c>
      <c r="J397" s="7">
        <v>0.64</v>
      </c>
      <c r="K397" s="1" t="s">
        <v>3473</v>
      </c>
      <c r="L397" s="2">
        <v>0.17</v>
      </c>
      <c r="M397" s="2">
        <f>18244/100000</f>
        <v>0.18243999999999999</v>
      </c>
      <c r="N397" s="2">
        <v>0.47057909999999997</v>
      </c>
      <c r="O397" s="4" t="s">
        <v>3474</v>
      </c>
      <c r="P397" s="1">
        <v>1.91</v>
      </c>
      <c r="Q397" s="7" t="s">
        <v>3475</v>
      </c>
      <c r="R397" s="2">
        <v>1.11E-2</v>
      </c>
      <c r="S397" s="2">
        <f>1463/100000</f>
        <v>1.4630000000000001E-2</v>
      </c>
      <c r="T397" s="2">
        <v>0.1112329</v>
      </c>
    </row>
    <row r="398" spans="1:20">
      <c r="A398" s="3" t="s">
        <v>3476</v>
      </c>
      <c r="B398" s="1" t="s">
        <v>3466</v>
      </c>
      <c r="C398" s="3" t="s">
        <v>3467</v>
      </c>
      <c r="D398" s="3" t="s">
        <v>3477</v>
      </c>
      <c r="E398" s="3" t="s">
        <v>3478</v>
      </c>
      <c r="F398" s="3" t="s">
        <v>3479</v>
      </c>
      <c r="G398" s="3" t="s">
        <v>3480</v>
      </c>
      <c r="H398" s="11" t="s">
        <v>8105</v>
      </c>
      <c r="I398" s="3" t="s">
        <v>2286</v>
      </c>
      <c r="J398" s="7">
        <v>0.97</v>
      </c>
      <c r="K398" s="1" t="s">
        <v>2287</v>
      </c>
      <c r="L398" s="2">
        <v>0.91800000000000004</v>
      </c>
      <c r="M398" s="2">
        <f>100000/100000</f>
        <v>1</v>
      </c>
      <c r="N398" s="2">
        <v>0.82929589999999997</v>
      </c>
      <c r="O398" s="4" t="s">
        <v>3481</v>
      </c>
      <c r="P398" s="1">
        <v>1.2</v>
      </c>
      <c r="Q398" s="7" t="s">
        <v>3482</v>
      </c>
      <c r="R398" s="2">
        <v>0.60699999999999998</v>
      </c>
      <c r="S398" s="2">
        <f>70673/100000</f>
        <v>0.70672999999999997</v>
      </c>
      <c r="T398" s="2">
        <v>0.82137769999999999</v>
      </c>
    </row>
    <row r="399" spans="1:20">
      <c r="A399" s="3" t="s">
        <v>3483</v>
      </c>
      <c r="B399" s="1" t="s">
        <v>3466</v>
      </c>
      <c r="C399" s="3" t="s">
        <v>3467</v>
      </c>
      <c r="D399" s="3" t="s">
        <v>3484</v>
      </c>
      <c r="E399" s="3" t="s">
        <v>3485</v>
      </c>
      <c r="F399" s="3" t="s">
        <v>3479</v>
      </c>
      <c r="G399" s="3" t="s">
        <v>3480</v>
      </c>
      <c r="H399" s="11" t="s">
        <v>8106</v>
      </c>
      <c r="I399" s="3" t="s">
        <v>294</v>
      </c>
      <c r="J399" s="7">
        <v>1.68</v>
      </c>
      <c r="K399" s="1" t="s">
        <v>295</v>
      </c>
      <c r="L399" s="2">
        <v>9.4699999999999993E-3</v>
      </c>
      <c r="M399" s="2">
        <f>1287/100000</f>
        <v>1.2869999999999999E-2</v>
      </c>
      <c r="N399" s="2">
        <v>0.1022245</v>
      </c>
      <c r="O399" s="4" t="s">
        <v>3486</v>
      </c>
      <c r="P399" s="1">
        <v>0.76</v>
      </c>
      <c r="Q399" s="7" t="s">
        <v>3487</v>
      </c>
      <c r="R399" s="2">
        <v>0.432</v>
      </c>
      <c r="S399" s="2">
        <f>45202/100000</f>
        <v>0.45201999999999998</v>
      </c>
      <c r="T399" s="2">
        <v>0.69868149999999996</v>
      </c>
    </row>
    <row r="400" spans="1:20">
      <c r="A400" s="3" t="s">
        <v>3488</v>
      </c>
      <c r="B400" s="1" t="s">
        <v>3489</v>
      </c>
      <c r="C400" s="3" t="s">
        <v>3490</v>
      </c>
      <c r="D400" s="3" t="s">
        <v>2741</v>
      </c>
      <c r="E400" s="3" t="s">
        <v>2742</v>
      </c>
      <c r="F400" s="3" t="s">
        <v>2743</v>
      </c>
      <c r="G400" s="3" t="s">
        <v>2744</v>
      </c>
      <c r="H400" s="11" t="s">
        <v>8198</v>
      </c>
      <c r="I400" s="3" t="s">
        <v>2745</v>
      </c>
      <c r="J400" s="7">
        <v>1.1599999999999999</v>
      </c>
      <c r="K400" s="1" t="s">
        <v>2746</v>
      </c>
      <c r="L400" s="2">
        <v>0.65700000000000003</v>
      </c>
      <c r="M400" s="2">
        <f>72682/100000</f>
        <v>0.72682000000000002</v>
      </c>
      <c r="N400" s="2">
        <v>0.82137769999999999</v>
      </c>
      <c r="O400" s="4" t="s">
        <v>2747</v>
      </c>
      <c r="P400" s="1">
        <v>1.22</v>
      </c>
      <c r="Q400" s="7" t="s">
        <v>2748</v>
      </c>
      <c r="R400" s="2">
        <v>0.53300000000000003</v>
      </c>
      <c r="S400" s="2">
        <f>60880/100000</f>
        <v>0.60880000000000001</v>
      </c>
      <c r="T400" s="2">
        <v>0.78810860000000005</v>
      </c>
    </row>
    <row r="401" spans="1:20">
      <c r="A401" s="3" t="s">
        <v>3491</v>
      </c>
      <c r="B401" s="1" t="s">
        <v>3489</v>
      </c>
      <c r="C401" s="3" t="s">
        <v>3490</v>
      </c>
      <c r="D401" s="3" t="s">
        <v>2750</v>
      </c>
      <c r="E401" s="3" t="s">
        <v>2751</v>
      </c>
      <c r="F401" s="3" t="s">
        <v>2743</v>
      </c>
      <c r="G401" s="3" t="s">
        <v>2744</v>
      </c>
      <c r="H401" s="11" t="s">
        <v>8094</v>
      </c>
      <c r="I401" s="3" t="s">
        <v>2752</v>
      </c>
      <c r="J401" s="7">
        <v>0.63</v>
      </c>
      <c r="K401" s="1" t="s">
        <v>2753</v>
      </c>
      <c r="L401" s="2">
        <v>0.19900000000000001</v>
      </c>
      <c r="M401" s="2">
        <f>23959/100000</f>
        <v>0.23959</v>
      </c>
      <c r="N401" s="2">
        <v>0.54005259999999999</v>
      </c>
      <c r="O401" s="4" t="s">
        <v>2754</v>
      </c>
      <c r="P401" s="1">
        <v>1.72</v>
      </c>
      <c r="Q401" s="7" t="s">
        <v>2755</v>
      </c>
      <c r="R401" s="2">
        <v>7.1900000000000002E-3</v>
      </c>
      <c r="S401" s="2">
        <f>887/100000</f>
        <v>8.8699999999999994E-3</v>
      </c>
      <c r="T401" s="2">
        <v>8.047253E-2</v>
      </c>
    </row>
    <row r="402" spans="1:20">
      <c r="A402" s="3" t="s">
        <v>3492</v>
      </c>
      <c r="B402" s="1" t="s">
        <v>3493</v>
      </c>
      <c r="C402" s="3" t="s">
        <v>3494</v>
      </c>
      <c r="D402" s="3" t="s">
        <v>3495</v>
      </c>
      <c r="E402" s="3" t="s">
        <v>3496</v>
      </c>
      <c r="F402" s="3" t="s">
        <v>3497</v>
      </c>
      <c r="G402" s="3" t="s">
        <v>3498</v>
      </c>
      <c r="H402" s="11" t="s">
        <v>8230</v>
      </c>
      <c r="I402" s="3" t="s">
        <v>3499</v>
      </c>
      <c r="J402" s="7">
        <v>1.34</v>
      </c>
      <c r="K402" s="1" t="s">
        <v>3094</v>
      </c>
      <c r="L402" s="2">
        <v>0.17699999999999999</v>
      </c>
      <c r="M402" s="2">
        <f>21624/100000</f>
        <v>0.21623999999999999</v>
      </c>
      <c r="N402" s="2">
        <v>0.50878900000000005</v>
      </c>
      <c r="O402" s="4" t="s">
        <v>3500</v>
      </c>
      <c r="P402" s="1">
        <v>0.9</v>
      </c>
      <c r="Q402" s="7" t="s">
        <v>1487</v>
      </c>
      <c r="R402" s="2">
        <v>0.67</v>
      </c>
      <c r="S402" s="2">
        <f>72267/100000</f>
        <v>0.72267000000000003</v>
      </c>
      <c r="T402" s="2">
        <v>0.82137769999999999</v>
      </c>
    </row>
    <row r="403" spans="1:20">
      <c r="A403" s="3" t="s">
        <v>3501</v>
      </c>
      <c r="B403" s="1" t="s">
        <v>3493</v>
      </c>
      <c r="C403" s="3" t="s">
        <v>3494</v>
      </c>
      <c r="D403" s="3" t="s">
        <v>3502</v>
      </c>
      <c r="E403" s="3" t="s">
        <v>3503</v>
      </c>
      <c r="F403" s="3" t="s">
        <v>3504</v>
      </c>
      <c r="G403" s="3" t="s">
        <v>3505</v>
      </c>
      <c r="H403" s="11" t="s">
        <v>8230</v>
      </c>
      <c r="I403" s="3" t="s">
        <v>3506</v>
      </c>
      <c r="J403" s="7">
        <v>1.36</v>
      </c>
      <c r="K403" s="1" t="s">
        <v>3507</v>
      </c>
      <c r="L403" s="2">
        <v>0.218</v>
      </c>
      <c r="M403" s="2">
        <f>24514/100000</f>
        <v>0.24514</v>
      </c>
      <c r="N403" s="2">
        <v>0.54509320000000006</v>
      </c>
      <c r="O403" s="4" t="s">
        <v>3508</v>
      </c>
      <c r="P403" s="1">
        <v>1.1399999999999999</v>
      </c>
      <c r="Q403" s="7" t="s">
        <v>2622</v>
      </c>
      <c r="R403" s="2">
        <v>0.63200000000000001</v>
      </c>
      <c r="S403" s="2">
        <f>67322/100000</f>
        <v>0.67322000000000004</v>
      </c>
      <c r="T403" s="2">
        <v>0.80518520000000005</v>
      </c>
    </row>
    <row r="404" spans="1:20">
      <c r="A404" s="3" t="s">
        <v>3509</v>
      </c>
      <c r="B404" s="1" t="s">
        <v>3510</v>
      </c>
      <c r="C404" s="3" t="s">
        <v>3511</v>
      </c>
      <c r="D404" s="3" t="s">
        <v>3512</v>
      </c>
      <c r="E404" s="3" t="s">
        <v>3513</v>
      </c>
      <c r="F404" s="3" t="s">
        <v>3514</v>
      </c>
      <c r="G404" s="3" t="s">
        <v>3515</v>
      </c>
      <c r="H404" s="11" t="s">
        <v>8107</v>
      </c>
      <c r="I404" s="3" t="s">
        <v>3516</v>
      </c>
      <c r="J404" s="7">
        <v>0.9</v>
      </c>
      <c r="K404" s="1" t="s">
        <v>2162</v>
      </c>
      <c r="L404" s="2">
        <v>0.48299999999999998</v>
      </c>
      <c r="M404" s="2">
        <f>52587/100000</f>
        <v>0.52586999999999995</v>
      </c>
      <c r="N404" s="2">
        <v>0.74478149999999999</v>
      </c>
      <c r="O404" s="4" t="s">
        <v>3517</v>
      </c>
      <c r="P404" s="1">
        <v>1.19</v>
      </c>
      <c r="Q404" s="7" t="s">
        <v>2274</v>
      </c>
      <c r="R404" s="2">
        <v>0.17799999999999999</v>
      </c>
      <c r="S404" s="2">
        <f>18475/100000</f>
        <v>0.18475</v>
      </c>
      <c r="T404" s="2">
        <v>0.47215459999999998</v>
      </c>
    </row>
    <row r="405" spans="1:20">
      <c r="A405" s="3" t="s">
        <v>3518</v>
      </c>
      <c r="B405" s="1" t="s">
        <v>3510</v>
      </c>
      <c r="C405" s="3" t="s">
        <v>3511</v>
      </c>
      <c r="D405" s="3" t="s">
        <v>3519</v>
      </c>
      <c r="E405" s="3" t="s">
        <v>3520</v>
      </c>
      <c r="F405" s="3" t="s">
        <v>3514</v>
      </c>
      <c r="G405" s="3" t="s">
        <v>3515</v>
      </c>
      <c r="H405" s="11" t="s">
        <v>8107</v>
      </c>
      <c r="I405" s="3" t="s">
        <v>3521</v>
      </c>
      <c r="J405" s="7">
        <v>0.81</v>
      </c>
      <c r="K405" s="1" t="s">
        <v>3522</v>
      </c>
      <c r="L405" s="2">
        <v>0.14299999999999999</v>
      </c>
      <c r="M405" s="2">
        <f>14532/100000</f>
        <v>0.14532</v>
      </c>
      <c r="N405" s="2">
        <v>0.41642899999999999</v>
      </c>
      <c r="O405" s="4" t="s">
        <v>3523</v>
      </c>
      <c r="P405" s="1">
        <v>1.57</v>
      </c>
      <c r="Q405" s="7" t="s">
        <v>3524</v>
      </c>
      <c r="R405" s="2">
        <v>2.73E-5</v>
      </c>
      <c r="S405" s="2">
        <f>2/100000</f>
        <v>2.0000000000000002E-5</v>
      </c>
      <c r="T405" s="2">
        <v>6.5833329999999998E-4</v>
      </c>
    </row>
    <row r="406" spans="1:20">
      <c r="A406" s="3" t="s">
        <v>3525</v>
      </c>
      <c r="B406" s="1" t="s">
        <v>3510</v>
      </c>
      <c r="C406" s="3" t="s">
        <v>3511</v>
      </c>
      <c r="D406" s="3" t="s">
        <v>3526</v>
      </c>
      <c r="E406" s="3" t="s">
        <v>3527</v>
      </c>
      <c r="F406" s="3" t="s">
        <v>3514</v>
      </c>
      <c r="G406" s="3" t="s">
        <v>3515</v>
      </c>
      <c r="H406" s="11" t="s">
        <v>8107</v>
      </c>
      <c r="I406" s="3" t="s">
        <v>3528</v>
      </c>
      <c r="J406" s="7">
        <v>0.74</v>
      </c>
      <c r="K406" s="1" t="s">
        <v>3529</v>
      </c>
      <c r="L406" s="2">
        <v>6.8400000000000002E-2</v>
      </c>
      <c r="M406" s="2">
        <f>7448/100000</f>
        <v>7.4480000000000005E-2</v>
      </c>
      <c r="N406" s="2">
        <v>0.3054017</v>
      </c>
      <c r="O406" s="4" t="s">
        <v>3530</v>
      </c>
      <c r="P406" s="1">
        <v>1.29</v>
      </c>
      <c r="Q406" s="7" t="s">
        <v>3531</v>
      </c>
      <c r="R406" s="2">
        <v>2.4799999999999999E-2</v>
      </c>
      <c r="S406" s="2">
        <f>2783/100000</f>
        <v>2.7830000000000001E-2</v>
      </c>
      <c r="T406" s="2">
        <v>0.17199159999999999</v>
      </c>
    </row>
    <row r="407" spans="1:20">
      <c r="A407" s="3" t="s">
        <v>3532</v>
      </c>
      <c r="B407" s="1" t="s">
        <v>3533</v>
      </c>
      <c r="C407" s="3" t="s">
        <v>3534</v>
      </c>
      <c r="D407" s="3" t="s">
        <v>3535</v>
      </c>
      <c r="E407" s="3" t="s">
        <v>3536</v>
      </c>
      <c r="F407" s="3" t="s">
        <v>3537</v>
      </c>
      <c r="G407" s="3" t="s">
        <v>3538</v>
      </c>
      <c r="H407" s="11" t="s">
        <v>8078</v>
      </c>
      <c r="I407" s="3" t="s">
        <v>3539</v>
      </c>
      <c r="J407" s="7">
        <v>0.51</v>
      </c>
      <c r="K407" s="1" t="s">
        <v>3540</v>
      </c>
      <c r="L407" s="2">
        <v>0.251</v>
      </c>
      <c r="M407" s="2">
        <f>28444/100000</f>
        <v>0.28444000000000003</v>
      </c>
      <c r="N407" s="2">
        <v>0.57234689999999999</v>
      </c>
      <c r="O407" s="4" t="s">
        <v>3541</v>
      </c>
      <c r="P407" s="1">
        <v>1.62</v>
      </c>
      <c r="Q407" s="7" t="s">
        <v>3542</v>
      </c>
      <c r="R407" s="2">
        <v>0.112</v>
      </c>
      <c r="S407" s="2">
        <f>12947/100000</f>
        <v>0.12947</v>
      </c>
      <c r="T407" s="2">
        <v>0.3957079</v>
      </c>
    </row>
    <row r="408" spans="1:20">
      <c r="A408" s="3" t="s">
        <v>3543</v>
      </c>
      <c r="B408" s="1" t="s">
        <v>3533</v>
      </c>
      <c r="C408" s="3" t="s">
        <v>3534</v>
      </c>
      <c r="D408" s="3" t="s">
        <v>3544</v>
      </c>
      <c r="E408" s="3" t="s">
        <v>3545</v>
      </c>
      <c r="F408" s="3" t="s">
        <v>3546</v>
      </c>
      <c r="G408" s="3" t="s">
        <v>3547</v>
      </c>
      <c r="H408" s="11" t="s">
        <v>8108</v>
      </c>
      <c r="I408" s="3" t="s">
        <v>3548</v>
      </c>
      <c r="J408" s="7">
        <v>0.79</v>
      </c>
      <c r="K408" s="1" t="s">
        <v>3549</v>
      </c>
      <c r="L408" s="2">
        <v>0.44</v>
      </c>
      <c r="M408" s="2">
        <f>49756/100000</f>
        <v>0.49756</v>
      </c>
      <c r="N408" s="2">
        <v>0.73504449999999999</v>
      </c>
      <c r="O408" s="4" t="s">
        <v>3550</v>
      </c>
      <c r="P408" s="1">
        <v>1.04</v>
      </c>
      <c r="Q408" s="7" t="s">
        <v>3551</v>
      </c>
      <c r="R408" s="2">
        <v>0.92</v>
      </c>
      <c r="S408" s="2">
        <f>100000/100000</f>
        <v>1</v>
      </c>
      <c r="T408" s="2">
        <v>0.82929589999999997</v>
      </c>
    </row>
    <row r="409" spans="1:20">
      <c r="A409" s="3" t="s">
        <v>3552</v>
      </c>
      <c r="B409" s="1" t="s">
        <v>3533</v>
      </c>
      <c r="C409" s="3" t="s">
        <v>3534</v>
      </c>
      <c r="D409" s="3" t="s">
        <v>3553</v>
      </c>
      <c r="E409" s="3" t="s">
        <v>3554</v>
      </c>
      <c r="F409" s="3" t="s">
        <v>3546</v>
      </c>
      <c r="G409" s="3" t="s">
        <v>3547</v>
      </c>
      <c r="H409" s="11" t="s">
        <v>8108</v>
      </c>
      <c r="I409" s="3" t="s">
        <v>3555</v>
      </c>
      <c r="J409" s="7">
        <v>0.88</v>
      </c>
      <c r="K409" s="1" t="s">
        <v>3556</v>
      </c>
      <c r="L409" s="2">
        <v>0.67700000000000005</v>
      </c>
      <c r="M409" s="2">
        <f>76848/100000</f>
        <v>0.76848000000000005</v>
      </c>
      <c r="N409" s="2">
        <v>0.82929589999999997</v>
      </c>
      <c r="O409" s="4" t="s">
        <v>3557</v>
      </c>
      <c r="P409" s="1">
        <v>2.09</v>
      </c>
      <c r="Q409" s="7" t="s">
        <v>3558</v>
      </c>
      <c r="R409" s="2">
        <v>3.3500000000000001E-4</v>
      </c>
      <c r="S409" s="2">
        <f>86/100000</f>
        <v>8.5999999999999998E-4</v>
      </c>
      <c r="T409" s="2">
        <v>1.481913E-2</v>
      </c>
    </row>
    <row r="410" spans="1:20">
      <c r="A410" s="3" t="s">
        <v>3559</v>
      </c>
      <c r="B410" s="1" t="s">
        <v>3533</v>
      </c>
      <c r="C410" s="3" t="s">
        <v>3534</v>
      </c>
      <c r="D410" s="3" t="s">
        <v>3560</v>
      </c>
      <c r="E410" s="3" t="s">
        <v>3561</v>
      </c>
      <c r="F410" s="3" t="s">
        <v>3546</v>
      </c>
      <c r="G410" s="3" t="s">
        <v>3547</v>
      </c>
      <c r="H410" s="11" t="s">
        <v>8108</v>
      </c>
      <c r="I410" s="3" t="s">
        <v>3562</v>
      </c>
      <c r="J410" s="7">
        <v>1.68</v>
      </c>
      <c r="K410" s="1" t="s">
        <v>3563</v>
      </c>
      <c r="L410" s="2">
        <v>1.7600000000000001E-5</v>
      </c>
      <c r="M410" s="2">
        <f>3/100000</f>
        <v>3.0000000000000001E-5</v>
      </c>
      <c r="N410" s="2">
        <v>9.1696430000000003E-4</v>
      </c>
      <c r="O410" s="4" t="s">
        <v>3564</v>
      </c>
      <c r="P410" s="1">
        <v>0.86</v>
      </c>
      <c r="Q410" s="7" t="s">
        <v>3565</v>
      </c>
      <c r="R410" s="2">
        <v>0.28000000000000003</v>
      </c>
      <c r="S410" s="2">
        <f>30739/100000</f>
        <v>0.30739</v>
      </c>
      <c r="T410" s="2">
        <v>0.59488490000000005</v>
      </c>
    </row>
    <row r="411" spans="1:20">
      <c r="A411" s="3" t="s">
        <v>3566</v>
      </c>
      <c r="B411" s="1" t="s">
        <v>3533</v>
      </c>
      <c r="C411" s="3" t="s">
        <v>3534</v>
      </c>
      <c r="D411" s="3" t="s">
        <v>3567</v>
      </c>
      <c r="E411" s="3" t="s">
        <v>3568</v>
      </c>
      <c r="F411" s="3" t="s">
        <v>3569</v>
      </c>
      <c r="G411" s="3" t="s">
        <v>3570</v>
      </c>
      <c r="H411" s="11" t="s">
        <v>8108</v>
      </c>
      <c r="I411" s="3" t="s">
        <v>3571</v>
      </c>
      <c r="J411" s="7">
        <v>0.66</v>
      </c>
      <c r="K411" s="1" t="s">
        <v>3572</v>
      </c>
      <c r="L411" s="2">
        <v>0.36</v>
      </c>
      <c r="M411" s="2">
        <f>44702/100000</f>
        <v>0.44701999999999997</v>
      </c>
      <c r="N411" s="2">
        <v>0.69724940000000002</v>
      </c>
      <c r="O411" s="4" t="s">
        <v>3573</v>
      </c>
      <c r="P411" s="1">
        <v>2.29</v>
      </c>
      <c r="Q411" s="7" t="s">
        <v>3574</v>
      </c>
      <c r="R411" s="2">
        <v>1.35E-2</v>
      </c>
      <c r="S411" s="2">
        <f>1952/100000</f>
        <v>1.9519999999999999E-2</v>
      </c>
      <c r="T411" s="2">
        <v>0.13642029999999999</v>
      </c>
    </row>
    <row r="412" spans="1:20">
      <c r="A412" s="3" t="s">
        <v>3575</v>
      </c>
      <c r="B412" s="1" t="s">
        <v>3533</v>
      </c>
      <c r="C412" s="3" t="s">
        <v>3534</v>
      </c>
      <c r="D412" s="3" t="s">
        <v>3576</v>
      </c>
      <c r="E412" s="3" t="s">
        <v>3577</v>
      </c>
      <c r="F412" s="3" t="s">
        <v>3569</v>
      </c>
      <c r="G412" s="3" t="s">
        <v>3570</v>
      </c>
      <c r="H412" s="11" t="s">
        <v>8108</v>
      </c>
      <c r="I412" s="3" t="s">
        <v>3578</v>
      </c>
      <c r="J412" s="7">
        <v>0.85</v>
      </c>
      <c r="K412" s="1" t="s">
        <v>3579</v>
      </c>
      <c r="L412" s="2">
        <v>0.625</v>
      </c>
      <c r="M412" s="2">
        <f>65483/100000</f>
        <v>0.65483000000000002</v>
      </c>
      <c r="N412" s="2">
        <v>0.80511429999999995</v>
      </c>
      <c r="O412" s="4" t="s">
        <v>3580</v>
      </c>
      <c r="P412" s="1">
        <v>0.76</v>
      </c>
      <c r="Q412" s="7" t="s">
        <v>3581</v>
      </c>
      <c r="R412" s="2">
        <v>0.44800000000000001</v>
      </c>
      <c r="S412" s="2">
        <f>52074/100000</f>
        <v>0.52073999999999998</v>
      </c>
      <c r="T412" s="2">
        <v>0.74478149999999999</v>
      </c>
    </row>
    <row r="413" spans="1:20">
      <c r="A413" s="3" t="s">
        <v>3582</v>
      </c>
      <c r="B413" s="1" t="s">
        <v>3533</v>
      </c>
      <c r="C413" s="3" t="s">
        <v>3534</v>
      </c>
      <c r="D413" s="3" t="s">
        <v>3583</v>
      </c>
      <c r="E413" s="3" t="s">
        <v>3584</v>
      </c>
      <c r="F413" s="3" t="s">
        <v>3537</v>
      </c>
      <c r="G413" s="3" t="s">
        <v>3538</v>
      </c>
      <c r="H413" s="11" t="s">
        <v>8078</v>
      </c>
      <c r="I413" s="3" t="s">
        <v>3585</v>
      </c>
      <c r="J413" s="7">
        <v>0.83</v>
      </c>
      <c r="K413" s="1" t="s">
        <v>3586</v>
      </c>
      <c r="L413" s="2">
        <v>0.51300000000000001</v>
      </c>
      <c r="M413" s="2">
        <f>52738/100000</f>
        <v>0.52737999999999996</v>
      </c>
      <c r="N413" s="2">
        <v>0.74478149999999999</v>
      </c>
      <c r="O413" s="4" t="s">
        <v>3587</v>
      </c>
      <c r="P413" s="1">
        <v>0.7</v>
      </c>
      <c r="Q413" s="7" t="s">
        <v>3588</v>
      </c>
      <c r="R413" s="2">
        <v>0.16200000000000001</v>
      </c>
      <c r="S413" s="2">
        <f>18277/100000</f>
        <v>0.18276999999999999</v>
      </c>
      <c r="T413" s="2">
        <v>0.47079409999999999</v>
      </c>
    </row>
    <row r="414" spans="1:20">
      <c r="A414" s="3" t="s">
        <v>3589</v>
      </c>
      <c r="B414" s="1" t="s">
        <v>3533</v>
      </c>
      <c r="C414" s="3" t="s">
        <v>3534</v>
      </c>
      <c r="D414" s="3" t="s">
        <v>3590</v>
      </c>
      <c r="E414" s="3" t="s">
        <v>3591</v>
      </c>
      <c r="F414" s="3" t="s">
        <v>3537</v>
      </c>
      <c r="G414" s="3" t="s">
        <v>3538</v>
      </c>
      <c r="H414" s="11" t="s">
        <v>8078</v>
      </c>
      <c r="I414" s="3" t="s">
        <v>3592</v>
      </c>
      <c r="J414" s="7">
        <v>1.52</v>
      </c>
      <c r="K414" s="1" t="s">
        <v>3593</v>
      </c>
      <c r="L414" s="2">
        <v>0.25900000000000001</v>
      </c>
      <c r="M414" s="2">
        <f>25942/100000</f>
        <v>0.25941999999999998</v>
      </c>
      <c r="N414" s="2">
        <v>0.56259099999999995</v>
      </c>
      <c r="O414" s="4" t="s">
        <v>3594</v>
      </c>
      <c r="P414" s="1">
        <v>0.42</v>
      </c>
      <c r="Q414" s="7" t="s">
        <v>3595</v>
      </c>
      <c r="R414" s="2">
        <v>1.9099999999999999E-2</v>
      </c>
      <c r="S414" s="2">
        <f>2537/100000</f>
        <v>2.537E-2</v>
      </c>
      <c r="T414" s="2">
        <v>0.16102350000000001</v>
      </c>
    </row>
    <row r="415" spans="1:20">
      <c r="A415" s="3" t="s">
        <v>3596</v>
      </c>
      <c r="B415" s="1" t="s">
        <v>3533</v>
      </c>
      <c r="C415" s="3" t="s">
        <v>3534</v>
      </c>
      <c r="D415" s="3" t="s">
        <v>3597</v>
      </c>
      <c r="E415" s="3" t="s">
        <v>3598</v>
      </c>
      <c r="F415" s="3" t="s">
        <v>3599</v>
      </c>
      <c r="G415" s="3" t="s">
        <v>3600</v>
      </c>
      <c r="H415" s="11" t="s">
        <v>8108</v>
      </c>
      <c r="I415" s="3" t="s">
        <v>3601</v>
      </c>
      <c r="J415" s="7">
        <v>2.1</v>
      </c>
      <c r="K415" s="1" t="s">
        <v>3602</v>
      </c>
      <c r="L415" s="2">
        <v>8.6900000000000005E-2</v>
      </c>
      <c r="M415" s="2">
        <f>12749/100000</f>
        <v>0.12748999999999999</v>
      </c>
      <c r="N415" s="2">
        <v>0.39428360000000001</v>
      </c>
      <c r="O415" s="4" t="s">
        <v>3603</v>
      </c>
      <c r="P415" s="1">
        <v>0.85</v>
      </c>
      <c r="Q415" s="7" t="s">
        <v>3604</v>
      </c>
      <c r="R415" s="2">
        <v>0.753</v>
      </c>
      <c r="S415" s="2">
        <f>81853/100000</f>
        <v>0.81852999999999998</v>
      </c>
      <c r="T415" s="2">
        <v>0.82929589999999997</v>
      </c>
    </row>
    <row r="416" spans="1:20">
      <c r="A416" s="3" t="s">
        <v>3605</v>
      </c>
      <c r="B416" s="1" t="s">
        <v>3533</v>
      </c>
      <c r="C416" s="3" t="s">
        <v>3534</v>
      </c>
      <c r="D416" s="3" t="s">
        <v>3606</v>
      </c>
      <c r="E416" s="3" t="s">
        <v>3607</v>
      </c>
      <c r="F416" s="3" t="s">
        <v>3599</v>
      </c>
      <c r="G416" s="3" t="s">
        <v>3600</v>
      </c>
      <c r="H416" s="11" t="s">
        <v>8108</v>
      </c>
      <c r="I416" s="3" t="s">
        <v>3608</v>
      </c>
      <c r="J416" s="7">
        <v>1.65</v>
      </c>
      <c r="K416" s="1" t="s">
        <v>3609</v>
      </c>
      <c r="L416" s="2">
        <v>7.7299999999999994E-2</v>
      </c>
      <c r="M416" s="2">
        <f>8149/100000</f>
        <v>8.1490000000000007E-2</v>
      </c>
      <c r="N416" s="2">
        <v>0.32242100000000001</v>
      </c>
      <c r="O416" s="4" t="s">
        <v>3610</v>
      </c>
      <c r="P416" s="1">
        <v>0.35</v>
      </c>
      <c r="Q416" s="7" t="s">
        <v>3611</v>
      </c>
      <c r="R416" s="2">
        <v>6.0999999999999999E-2</v>
      </c>
      <c r="S416" s="2">
        <f>6599/100000</f>
        <v>6.5989999999999993E-2</v>
      </c>
      <c r="T416" s="2">
        <v>0.28575889999999998</v>
      </c>
    </row>
    <row r="417" spans="1:20">
      <c r="A417" s="3" t="s">
        <v>3612</v>
      </c>
      <c r="B417" s="1" t="s">
        <v>3533</v>
      </c>
      <c r="C417" s="3" t="s">
        <v>3534</v>
      </c>
      <c r="D417" s="3" t="s">
        <v>3613</v>
      </c>
      <c r="E417" s="3" t="s">
        <v>3614</v>
      </c>
      <c r="F417" s="3" t="s">
        <v>3599</v>
      </c>
      <c r="G417" s="3" t="s">
        <v>3600</v>
      </c>
      <c r="H417" s="11" t="s">
        <v>8108</v>
      </c>
      <c r="I417" s="3" t="s">
        <v>3615</v>
      </c>
      <c r="J417" s="7">
        <v>1.5</v>
      </c>
      <c r="K417" s="1" t="s">
        <v>3616</v>
      </c>
      <c r="L417" s="2">
        <v>6.3500000000000004E-4</v>
      </c>
      <c r="M417" s="2">
        <f>95/100000</f>
        <v>9.5E-4</v>
      </c>
      <c r="N417" s="2">
        <v>1.583847E-2</v>
      </c>
      <c r="O417" s="4" t="s">
        <v>3617</v>
      </c>
      <c r="P417" s="1">
        <v>0.51</v>
      </c>
      <c r="Q417" s="7" t="s">
        <v>3618</v>
      </c>
      <c r="R417" s="2">
        <v>2.0400000000000001E-3</v>
      </c>
      <c r="S417" s="2">
        <f>197/100000</f>
        <v>1.97E-3</v>
      </c>
      <c r="T417" s="2">
        <v>2.7047990000000001E-2</v>
      </c>
    </row>
    <row r="418" spans="1:20">
      <c r="A418" s="3" t="s">
        <v>3619</v>
      </c>
      <c r="B418" s="1" t="s">
        <v>3533</v>
      </c>
      <c r="C418" s="3" t="s">
        <v>3534</v>
      </c>
      <c r="D418" s="3" t="s">
        <v>3620</v>
      </c>
      <c r="E418" s="3" t="s">
        <v>3621</v>
      </c>
      <c r="F418" s="3" t="s">
        <v>3622</v>
      </c>
      <c r="G418" s="3" t="s">
        <v>3623</v>
      </c>
      <c r="H418" s="11" t="s">
        <v>8078</v>
      </c>
      <c r="I418" s="3" t="s">
        <v>3624</v>
      </c>
      <c r="J418" s="7">
        <v>1.82</v>
      </c>
      <c r="K418" s="1" t="s">
        <v>3625</v>
      </c>
      <c r="L418" s="2">
        <v>2.4199999999999999E-2</v>
      </c>
      <c r="M418" s="2">
        <f>2812/100000</f>
        <v>2.8119999999999999E-2</v>
      </c>
      <c r="N418" s="2">
        <v>0.1730138</v>
      </c>
      <c r="O418" s="4" t="s">
        <v>3626</v>
      </c>
      <c r="P418" s="1">
        <v>1.4</v>
      </c>
      <c r="Q418" s="7" t="s">
        <v>3627</v>
      </c>
      <c r="R418" s="2">
        <v>0.27200000000000002</v>
      </c>
      <c r="S418" s="2">
        <f>28929/100000</f>
        <v>0.28928999999999999</v>
      </c>
      <c r="T418" s="2">
        <v>0.57823020000000003</v>
      </c>
    </row>
    <row r="419" spans="1:20">
      <c r="A419" s="3" t="s">
        <v>3628</v>
      </c>
      <c r="B419" s="1" t="s">
        <v>3533</v>
      </c>
      <c r="C419" s="3" t="s">
        <v>3534</v>
      </c>
      <c r="D419" s="3" t="s">
        <v>3629</v>
      </c>
      <c r="E419" s="3" t="s">
        <v>3630</v>
      </c>
      <c r="F419" s="3" t="s">
        <v>3622</v>
      </c>
      <c r="G419" s="3" t="s">
        <v>3623</v>
      </c>
      <c r="H419" s="11" t="s">
        <v>8078</v>
      </c>
      <c r="I419" s="3" t="s">
        <v>3631</v>
      </c>
      <c r="J419" s="7">
        <v>0.8</v>
      </c>
      <c r="K419" s="1" t="s">
        <v>3632</v>
      </c>
      <c r="L419" s="2">
        <v>0.249</v>
      </c>
      <c r="M419" s="2">
        <f>25037/100000</f>
        <v>0.25036999999999998</v>
      </c>
      <c r="N419" s="2">
        <v>0.55238810000000005</v>
      </c>
      <c r="O419" s="4" t="s">
        <v>3633</v>
      </c>
      <c r="P419" s="1">
        <v>1.19</v>
      </c>
      <c r="Q419" s="7" t="s">
        <v>3634</v>
      </c>
      <c r="R419" s="2">
        <v>0.224</v>
      </c>
      <c r="S419" s="2">
        <f>24505/100000</f>
        <v>0.24504999999999999</v>
      </c>
      <c r="T419" s="2">
        <v>0.54509320000000006</v>
      </c>
    </row>
    <row r="420" spans="1:20">
      <c r="A420" s="3" t="s">
        <v>3635</v>
      </c>
      <c r="B420" s="1" t="s">
        <v>3533</v>
      </c>
      <c r="C420" s="3" t="s">
        <v>3534</v>
      </c>
      <c r="D420" s="3" t="s">
        <v>3636</v>
      </c>
      <c r="E420" s="3" t="s">
        <v>3637</v>
      </c>
      <c r="F420" s="3" t="s">
        <v>3622</v>
      </c>
      <c r="G420" s="3" t="s">
        <v>3623</v>
      </c>
      <c r="H420" s="11" t="s">
        <v>8078</v>
      </c>
      <c r="I420" s="3" t="s">
        <v>3638</v>
      </c>
      <c r="J420" s="7">
        <v>0.9</v>
      </c>
      <c r="K420" s="1" t="s">
        <v>3639</v>
      </c>
      <c r="L420" s="2">
        <v>0.41299999999999998</v>
      </c>
      <c r="M420" s="2">
        <f>43814/100000</f>
        <v>0.43813999999999997</v>
      </c>
      <c r="N420" s="2">
        <v>0.68822830000000002</v>
      </c>
      <c r="O420" s="4" t="s">
        <v>3640</v>
      </c>
      <c r="P420" s="1">
        <v>1.02</v>
      </c>
      <c r="Q420" s="7" t="s">
        <v>3641</v>
      </c>
      <c r="R420" s="2">
        <v>0.86599999999999999</v>
      </c>
      <c r="S420" s="2">
        <f>90846/100000</f>
        <v>0.90846000000000005</v>
      </c>
      <c r="T420" s="2">
        <v>0.82929589999999997</v>
      </c>
    </row>
    <row r="421" spans="1:20">
      <c r="A421" s="3" t="s">
        <v>3642</v>
      </c>
      <c r="B421" s="1" t="s">
        <v>3643</v>
      </c>
      <c r="C421" s="3" t="s">
        <v>3644</v>
      </c>
      <c r="D421" s="3" t="s">
        <v>3645</v>
      </c>
      <c r="E421" s="3" t="s">
        <v>3646</v>
      </c>
      <c r="F421" s="3" t="s">
        <v>3647</v>
      </c>
      <c r="G421" s="3" t="s">
        <v>3648</v>
      </c>
      <c r="H421" s="11" t="s">
        <v>8120</v>
      </c>
      <c r="I421" s="3" t="s">
        <v>3649</v>
      </c>
      <c r="J421" s="7">
        <v>0.94</v>
      </c>
      <c r="K421" s="1" t="s">
        <v>3650</v>
      </c>
      <c r="L421" s="2">
        <v>0.67200000000000004</v>
      </c>
      <c r="M421" s="2">
        <f>70666/100000</f>
        <v>0.70665999999999995</v>
      </c>
      <c r="N421" s="2">
        <v>0.82137769999999999</v>
      </c>
      <c r="O421" s="4" t="s">
        <v>3651</v>
      </c>
      <c r="P421" s="1">
        <v>0.95</v>
      </c>
      <c r="Q421" s="7" t="s">
        <v>3652</v>
      </c>
      <c r="R421" s="2">
        <v>0.65</v>
      </c>
      <c r="S421" s="2">
        <f>67743/100000</f>
        <v>0.67742999999999998</v>
      </c>
      <c r="T421" s="2">
        <v>0.80846399999999996</v>
      </c>
    </row>
    <row r="422" spans="1:20">
      <c r="A422" s="3" t="s">
        <v>3653</v>
      </c>
      <c r="B422" s="1" t="s">
        <v>3654</v>
      </c>
      <c r="C422" s="3" t="s">
        <v>3655</v>
      </c>
      <c r="D422" s="3" t="s">
        <v>3656</v>
      </c>
      <c r="E422" s="3" t="s">
        <v>3657</v>
      </c>
      <c r="F422" s="3" t="s">
        <v>3658</v>
      </c>
      <c r="G422" s="3" t="s">
        <v>3659</v>
      </c>
      <c r="H422" s="11" t="s">
        <v>8111</v>
      </c>
      <c r="I422" s="3" t="s">
        <v>3660</v>
      </c>
      <c r="J422" s="7">
        <v>1.17</v>
      </c>
      <c r="K422" s="1" t="s">
        <v>3661</v>
      </c>
      <c r="L422" s="2">
        <v>0.443</v>
      </c>
      <c r="M422" s="2">
        <f>49657/100000</f>
        <v>0.49657000000000001</v>
      </c>
      <c r="N422" s="2">
        <v>0.73504449999999999</v>
      </c>
      <c r="O422" s="4" t="s">
        <v>3662</v>
      </c>
      <c r="P422" s="1">
        <v>1.34</v>
      </c>
      <c r="Q422" s="7" t="s">
        <v>3663</v>
      </c>
      <c r="R422" s="2">
        <v>0.152</v>
      </c>
      <c r="S422" s="2">
        <f>15962/100000</f>
        <v>0.15962000000000001</v>
      </c>
      <c r="T422" s="2">
        <v>0.44219589999999998</v>
      </c>
    </row>
    <row r="423" spans="1:20">
      <c r="A423" s="3" t="s">
        <v>3664</v>
      </c>
      <c r="B423" s="1" t="s">
        <v>3665</v>
      </c>
      <c r="C423" s="3" t="s">
        <v>3666</v>
      </c>
      <c r="D423" s="3" t="s">
        <v>3667</v>
      </c>
      <c r="E423" s="3" t="s">
        <v>3668</v>
      </c>
      <c r="F423" s="3" t="s">
        <v>3669</v>
      </c>
      <c r="G423" s="3" t="s">
        <v>3670</v>
      </c>
      <c r="H423" s="11" t="s">
        <v>8231</v>
      </c>
      <c r="I423" s="3" t="s">
        <v>3671</v>
      </c>
      <c r="J423" s="7">
        <v>1.01</v>
      </c>
      <c r="K423" s="1" t="s">
        <v>3672</v>
      </c>
      <c r="L423" s="2">
        <v>0.97699999999999998</v>
      </c>
      <c r="M423" s="2">
        <f>100000/100000</f>
        <v>1</v>
      </c>
      <c r="N423" s="2">
        <v>0.82929589999999997</v>
      </c>
      <c r="O423" s="4" t="s">
        <v>3673</v>
      </c>
      <c r="P423" s="1">
        <v>1.23</v>
      </c>
      <c r="Q423" s="7" t="s">
        <v>3674</v>
      </c>
      <c r="R423" s="2">
        <v>0.33400000000000002</v>
      </c>
      <c r="S423" s="2">
        <f>35444/100000</f>
        <v>0.35443999999999998</v>
      </c>
      <c r="T423" s="2">
        <v>0.6316157</v>
      </c>
    </row>
    <row r="424" spans="1:20">
      <c r="A424" s="3" t="s">
        <v>3675</v>
      </c>
      <c r="B424" s="1" t="s">
        <v>3665</v>
      </c>
      <c r="C424" s="3" t="s">
        <v>3666</v>
      </c>
      <c r="D424" s="3" t="s">
        <v>3676</v>
      </c>
      <c r="E424" s="3" t="s">
        <v>3677</v>
      </c>
      <c r="F424" s="3" t="s">
        <v>3669</v>
      </c>
      <c r="G424" s="3" t="s">
        <v>3670</v>
      </c>
      <c r="H424" s="11" t="s">
        <v>8231</v>
      </c>
      <c r="I424" s="3" t="s">
        <v>3678</v>
      </c>
      <c r="J424" s="7">
        <v>0.96</v>
      </c>
      <c r="K424" s="1" t="s">
        <v>3679</v>
      </c>
      <c r="L424" s="2">
        <v>0.88900000000000001</v>
      </c>
      <c r="M424" s="2">
        <f>100000/100000</f>
        <v>1</v>
      </c>
      <c r="N424" s="2">
        <v>0.82929589999999997</v>
      </c>
      <c r="O424" s="4" t="s">
        <v>3680</v>
      </c>
      <c r="P424" s="1">
        <v>1.1599999999999999</v>
      </c>
      <c r="Q424" s="7" t="s">
        <v>3681</v>
      </c>
      <c r="R424" s="2">
        <v>0.58699999999999997</v>
      </c>
      <c r="S424" s="2">
        <f>66738/100000</f>
        <v>0.66737999999999997</v>
      </c>
      <c r="T424" s="2">
        <v>0.80511429999999995</v>
      </c>
    </row>
    <row r="425" spans="1:20">
      <c r="A425" s="3" t="s">
        <v>3682</v>
      </c>
      <c r="B425" s="1" t="s">
        <v>3665</v>
      </c>
      <c r="C425" s="3" t="s">
        <v>3666</v>
      </c>
      <c r="D425" s="3" t="s">
        <v>3683</v>
      </c>
      <c r="E425" s="3" t="s">
        <v>3684</v>
      </c>
      <c r="F425" s="3" t="s">
        <v>3685</v>
      </c>
      <c r="G425" s="3" t="s">
        <v>3686</v>
      </c>
      <c r="H425" s="11" t="s">
        <v>8231</v>
      </c>
      <c r="I425" s="3" t="s">
        <v>3687</v>
      </c>
      <c r="J425" s="7">
        <v>1.05</v>
      </c>
      <c r="K425" s="1" t="s">
        <v>3688</v>
      </c>
      <c r="L425" s="2">
        <v>0.86799999999999999</v>
      </c>
      <c r="M425" s="2">
        <f>88428/100000</f>
        <v>0.88427999999999995</v>
      </c>
      <c r="N425" s="2">
        <v>0.82929589999999997</v>
      </c>
      <c r="O425" s="4" t="s">
        <v>3689</v>
      </c>
      <c r="P425" s="1">
        <v>1.53</v>
      </c>
      <c r="Q425" s="7" t="s">
        <v>3690</v>
      </c>
      <c r="R425" s="2">
        <v>0.104</v>
      </c>
      <c r="S425" s="2">
        <f>11364/100000</f>
        <v>0.11364</v>
      </c>
      <c r="T425" s="2">
        <v>0.37913859999999999</v>
      </c>
    </row>
    <row r="426" spans="1:20">
      <c r="A426" s="3" t="s">
        <v>3691</v>
      </c>
      <c r="B426" s="1" t="s">
        <v>3665</v>
      </c>
      <c r="C426" s="3" t="s">
        <v>3666</v>
      </c>
      <c r="D426" s="3" t="s">
        <v>3692</v>
      </c>
      <c r="E426" s="3" t="s">
        <v>3693</v>
      </c>
      <c r="F426" s="3" t="s">
        <v>3685</v>
      </c>
      <c r="G426" s="3" t="s">
        <v>3686</v>
      </c>
      <c r="H426" s="11" t="s">
        <v>8231</v>
      </c>
      <c r="I426" s="3" t="s">
        <v>3694</v>
      </c>
      <c r="J426" s="7">
        <v>1.31</v>
      </c>
      <c r="K426" s="1" t="s">
        <v>3695</v>
      </c>
      <c r="L426" s="2">
        <v>0.34699999999999998</v>
      </c>
      <c r="M426" s="2">
        <f>41910/100000</f>
        <v>0.41909999999999997</v>
      </c>
      <c r="N426" s="2">
        <v>0.67565790000000003</v>
      </c>
      <c r="O426" s="4" t="s">
        <v>3696</v>
      </c>
      <c r="P426" s="1">
        <v>1.32</v>
      </c>
      <c r="Q426" s="7" t="s">
        <v>3697</v>
      </c>
      <c r="R426" s="2">
        <v>0.33700000000000002</v>
      </c>
      <c r="S426" s="2">
        <f>41278/100000</f>
        <v>0.41277999999999998</v>
      </c>
      <c r="T426" s="2">
        <v>0.67240169999999999</v>
      </c>
    </row>
    <row r="427" spans="1:20">
      <c r="A427" s="3" t="s">
        <v>3698</v>
      </c>
      <c r="B427" s="1" t="s">
        <v>3699</v>
      </c>
      <c r="C427" s="3" t="s">
        <v>3700</v>
      </c>
      <c r="D427" s="3" t="s">
        <v>3701</v>
      </c>
      <c r="E427" s="3" t="s">
        <v>3702</v>
      </c>
      <c r="F427" s="3" t="s">
        <v>3703</v>
      </c>
      <c r="G427" s="3" t="s">
        <v>3704</v>
      </c>
      <c r="H427" s="11" t="s">
        <v>8232</v>
      </c>
      <c r="I427" s="3" t="s">
        <v>3705</v>
      </c>
      <c r="J427" s="7">
        <v>1.66</v>
      </c>
      <c r="K427" s="1" t="s">
        <v>3706</v>
      </c>
      <c r="L427" s="2">
        <v>3.4799999999999999E-10</v>
      </c>
      <c r="M427" s="2" t="s">
        <v>500</v>
      </c>
      <c r="N427" s="2">
        <v>3.517123E-4</v>
      </c>
      <c r="O427" s="4" t="s">
        <v>3707</v>
      </c>
      <c r="P427" s="1">
        <v>0.93</v>
      </c>
      <c r="Q427" s="7" t="s">
        <v>3708</v>
      </c>
      <c r="R427" s="2">
        <v>0.496</v>
      </c>
      <c r="S427" s="2">
        <f>49628/100000</f>
        <v>0.49628</v>
      </c>
      <c r="T427" s="2">
        <v>0.73484130000000003</v>
      </c>
    </row>
    <row r="428" spans="1:20">
      <c r="A428" s="3" t="s">
        <v>3709</v>
      </c>
      <c r="B428" s="1" t="s">
        <v>3710</v>
      </c>
      <c r="C428" s="3" t="s">
        <v>3711</v>
      </c>
      <c r="D428" s="3" t="s">
        <v>3701</v>
      </c>
      <c r="E428" s="3" t="s">
        <v>3702</v>
      </c>
      <c r="F428" s="3" t="s">
        <v>3703</v>
      </c>
      <c r="G428" s="3" t="s">
        <v>3704</v>
      </c>
      <c r="H428" s="11" t="s">
        <v>8232</v>
      </c>
      <c r="I428" s="3" t="s">
        <v>3705</v>
      </c>
      <c r="J428" s="7">
        <v>1.66</v>
      </c>
      <c r="K428" s="1" t="s">
        <v>3706</v>
      </c>
      <c r="L428" s="2">
        <v>3.4799999999999999E-10</v>
      </c>
      <c r="M428" s="2" t="s">
        <v>500</v>
      </c>
      <c r="N428" s="2">
        <v>3.517123E-4</v>
      </c>
      <c r="O428" s="4" t="s">
        <v>3707</v>
      </c>
      <c r="P428" s="1">
        <v>0.93</v>
      </c>
      <c r="Q428" s="7" t="s">
        <v>3708</v>
      </c>
      <c r="R428" s="2">
        <v>0.496</v>
      </c>
      <c r="S428" s="2">
        <f>49628/100000</f>
        <v>0.49628</v>
      </c>
      <c r="T428" s="2">
        <v>0.73484130000000003</v>
      </c>
    </row>
    <row r="429" spans="1:20">
      <c r="A429" s="3" t="s">
        <v>3712</v>
      </c>
      <c r="B429" s="1" t="s">
        <v>3713</v>
      </c>
      <c r="C429" s="3" t="s">
        <v>3714</v>
      </c>
      <c r="D429" s="3" t="s">
        <v>3715</v>
      </c>
      <c r="E429" s="3" t="s">
        <v>3716</v>
      </c>
      <c r="F429" s="3" t="s">
        <v>3717</v>
      </c>
      <c r="G429" s="3" t="s">
        <v>3718</v>
      </c>
      <c r="H429" s="11" t="s">
        <v>8233</v>
      </c>
      <c r="I429" s="3" t="s">
        <v>3719</v>
      </c>
      <c r="J429" s="7">
        <v>0.8</v>
      </c>
      <c r="K429" s="1" t="s">
        <v>3720</v>
      </c>
      <c r="L429" s="2">
        <v>0.55700000000000005</v>
      </c>
      <c r="M429" s="2">
        <f>60731/100000</f>
        <v>0.60731000000000002</v>
      </c>
      <c r="N429" s="2">
        <v>0.78810860000000005</v>
      </c>
      <c r="O429" s="4" t="s">
        <v>3721</v>
      </c>
      <c r="P429" s="1">
        <v>1.47</v>
      </c>
      <c r="Q429" s="7" t="s">
        <v>3722</v>
      </c>
      <c r="R429" s="2">
        <v>0.153</v>
      </c>
      <c r="S429" s="2">
        <f>20174/100000</f>
        <v>0.20174</v>
      </c>
      <c r="T429" s="2">
        <v>0.49066700000000002</v>
      </c>
    </row>
    <row r="430" spans="1:20">
      <c r="A430" s="3" t="s">
        <v>3723</v>
      </c>
      <c r="B430" s="1" t="s">
        <v>3724</v>
      </c>
      <c r="C430" s="3" t="s">
        <v>3725</v>
      </c>
      <c r="D430" s="3" t="s">
        <v>3726</v>
      </c>
      <c r="E430" s="3" t="s">
        <v>3727</v>
      </c>
      <c r="F430" s="3" t="s">
        <v>3728</v>
      </c>
      <c r="G430" s="3" t="s">
        <v>3729</v>
      </c>
      <c r="H430" s="11" t="s">
        <v>8234</v>
      </c>
      <c r="I430" s="3" t="s">
        <v>3730</v>
      </c>
      <c r="J430" s="7">
        <v>1.47</v>
      </c>
      <c r="K430" s="1" t="s">
        <v>3731</v>
      </c>
      <c r="L430" s="2">
        <v>3.5000000000000003E-2</v>
      </c>
      <c r="M430" s="2">
        <f>4181/100000</f>
        <v>4.181E-2</v>
      </c>
      <c r="N430" s="2">
        <v>0.21725</v>
      </c>
      <c r="O430" s="4" t="s">
        <v>3732</v>
      </c>
      <c r="P430" s="1">
        <v>0.86</v>
      </c>
      <c r="Q430" s="7" t="s">
        <v>509</v>
      </c>
      <c r="R430" s="2">
        <v>0.52200000000000002</v>
      </c>
      <c r="S430" s="2">
        <f>56766/100000</f>
        <v>0.56766000000000005</v>
      </c>
      <c r="T430" s="2">
        <v>0.76153519999999997</v>
      </c>
    </row>
    <row r="431" spans="1:20">
      <c r="A431" s="3" t="s">
        <v>3733</v>
      </c>
      <c r="B431" s="1" t="s">
        <v>3724</v>
      </c>
      <c r="C431" s="3" t="s">
        <v>3725</v>
      </c>
      <c r="D431" s="3" t="s">
        <v>3734</v>
      </c>
      <c r="E431" s="3" t="s">
        <v>3735</v>
      </c>
      <c r="F431" s="3" t="s">
        <v>3736</v>
      </c>
      <c r="G431" s="3" t="s">
        <v>3737</v>
      </c>
      <c r="H431" s="11" t="s">
        <v>8234</v>
      </c>
      <c r="I431" s="3" t="s">
        <v>3738</v>
      </c>
      <c r="J431" s="7">
        <v>1.26</v>
      </c>
      <c r="K431" s="1" t="s">
        <v>3739</v>
      </c>
      <c r="L431" s="2">
        <v>0.33</v>
      </c>
      <c r="M431" s="2">
        <f>34838/100000</f>
        <v>0.34838000000000002</v>
      </c>
      <c r="N431" s="2">
        <v>0.62525540000000002</v>
      </c>
      <c r="O431" s="4" t="s">
        <v>3740</v>
      </c>
      <c r="P431" s="1">
        <v>0.69</v>
      </c>
      <c r="Q431" s="7" t="s">
        <v>3741</v>
      </c>
      <c r="R431" s="2">
        <v>0.20799999999999999</v>
      </c>
      <c r="S431" s="2">
        <f>25327/100000</f>
        <v>0.25327</v>
      </c>
      <c r="T431" s="2">
        <v>0.55424700000000005</v>
      </c>
    </row>
    <row r="432" spans="1:20">
      <c r="A432" s="3" t="s">
        <v>3742</v>
      </c>
      <c r="B432" s="1" t="s">
        <v>3743</v>
      </c>
      <c r="C432" s="3" t="s">
        <v>3744</v>
      </c>
      <c r="D432" s="3" t="s">
        <v>3745</v>
      </c>
      <c r="E432" s="3" t="s">
        <v>3746</v>
      </c>
      <c r="F432" s="3" t="s">
        <v>3747</v>
      </c>
      <c r="G432" s="3" t="s">
        <v>3748</v>
      </c>
      <c r="H432" s="11" t="s">
        <v>8109</v>
      </c>
      <c r="I432" s="3" t="s">
        <v>3749</v>
      </c>
      <c r="J432" s="7">
        <v>0.9</v>
      </c>
      <c r="K432" s="1" t="s">
        <v>3750</v>
      </c>
      <c r="L432" s="2">
        <v>0.71299999999999997</v>
      </c>
      <c r="M432" s="2">
        <f>78761/100000</f>
        <v>0.78761000000000003</v>
      </c>
      <c r="N432" s="2">
        <v>0.82929589999999997</v>
      </c>
      <c r="O432" s="4" t="s">
        <v>3751</v>
      </c>
      <c r="P432" s="1">
        <v>0.98</v>
      </c>
      <c r="Q432" s="7" t="s">
        <v>3752</v>
      </c>
      <c r="R432" s="2">
        <v>0.96199999999999997</v>
      </c>
      <c r="S432" s="2">
        <f>100000/100000</f>
        <v>1</v>
      </c>
      <c r="T432" s="2">
        <v>0.82929589999999997</v>
      </c>
    </row>
    <row r="433" spans="1:20">
      <c r="A433" s="3" t="s">
        <v>3753</v>
      </c>
      <c r="B433" s="1" t="s">
        <v>3743</v>
      </c>
      <c r="C433" s="3" t="s">
        <v>3744</v>
      </c>
      <c r="D433" s="3" t="s">
        <v>3754</v>
      </c>
      <c r="E433" s="3" t="s">
        <v>3755</v>
      </c>
      <c r="F433" s="3" t="s">
        <v>3756</v>
      </c>
      <c r="G433" s="3" t="s">
        <v>3757</v>
      </c>
      <c r="H433" s="11" t="s">
        <v>8109</v>
      </c>
      <c r="I433" s="3" t="s">
        <v>3758</v>
      </c>
      <c r="J433" s="7">
        <v>0.36</v>
      </c>
      <c r="K433" s="1" t="s">
        <v>3759</v>
      </c>
      <c r="L433" s="2">
        <v>3.6799999999999999E-2</v>
      </c>
      <c r="M433" s="2">
        <f>3849/100000</f>
        <v>3.8490000000000003E-2</v>
      </c>
      <c r="N433" s="2">
        <v>0.20679649999999999</v>
      </c>
      <c r="O433" s="4" t="s">
        <v>3760</v>
      </c>
      <c r="P433" s="1">
        <v>1.32</v>
      </c>
      <c r="Q433" s="7" t="s">
        <v>3761</v>
      </c>
      <c r="R433" s="2">
        <v>0.311</v>
      </c>
      <c r="S433" s="2">
        <f>34143/100000</f>
        <v>0.34143000000000001</v>
      </c>
      <c r="T433" s="2">
        <v>0.61526179999999997</v>
      </c>
    </row>
    <row r="434" spans="1:20">
      <c r="A434" s="3" t="s">
        <v>3762</v>
      </c>
      <c r="B434" s="1" t="s">
        <v>3743</v>
      </c>
      <c r="C434" s="3" t="s">
        <v>3744</v>
      </c>
      <c r="D434" s="3" t="s">
        <v>3763</v>
      </c>
      <c r="E434" s="3" t="s">
        <v>3764</v>
      </c>
      <c r="F434" s="3" t="s">
        <v>3765</v>
      </c>
      <c r="G434" s="3" t="s">
        <v>3766</v>
      </c>
      <c r="H434" s="11" t="s">
        <v>8109</v>
      </c>
      <c r="I434" s="3" t="s">
        <v>3767</v>
      </c>
      <c r="J434" s="7">
        <v>1.41</v>
      </c>
      <c r="K434" s="1" t="s">
        <v>3768</v>
      </c>
      <c r="L434" s="2">
        <v>0.254</v>
      </c>
      <c r="M434" s="2">
        <f>29141/100000</f>
        <v>0.29141</v>
      </c>
      <c r="N434" s="2">
        <v>0.57823020000000003</v>
      </c>
      <c r="O434" s="4" t="s">
        <v>3769</v>
      </c>
      <c r="P434" s="1">
        <v>0.83</v>
      </c>
      <c r="Q434" s="7" t="s">
        <v>3770</v>
      </c>
      <c r="R434" s="2">
        <v>0.60099999999999998</v>
      </c>
      <c r="S434" s="2">
        <f>62770/100000</f>
        <v>0.62770000000000004</v>
      </c>
      <c r="T434" s="2">
        <v>0.79869500000000004</v>
      </c>
    </row>
    <row r="435" spans="1:20">
      <c r="A435" s="3" t="s">
        <v>3771</v>
      </c>
      <c r="B435" s="1" t="s">
        <v>3743</v>
      </c>
      <c r="C435" s="3" t="s">
        <v>3744</v>
      </c>
      <c r="D435" s="3" t="s">
        <v>3772</v>
      </c>
      <c r="E435" s="3" t="s">
        <v>3773</v>
      </c>
      <c r="F435" s="3" t="s">
        <v>3774</v>
      </c>
      <c r="G435" s="3" t="s">
        <v>3775</v>
      </c>
      <c r="H435" s="11" t="s">
        <v>8109</v>
      </c>
      <c r="I435" s="3" t="s">
        <v>3776</v>
      </c>
      <c r="J435" s="7">
        <v>1.22</v>
      </c>
      <c r="K435" s="1" t="s">
        <v>3777</v>
      </c>
      <c r="L435" s="2">
        <v>0.52100000000000002</v>
      </c>
      <c r="M435" s="2">
        <f>60918/100000</f>
        <v>0.60918000000000005</v>
      </c>
      <c r="N435" s="2">
        <v>0.78810860000000005</v>
      </c>
      <c r="O435" s="4" t="s">
        <v>3778</v>
      </c>
      <c r="P435" s="1">
        <v>1.0900000000000001</v>
      </c>
      <c r="Q435" s="7" t="s">
        <v>3779</v>
      </c>
      <c r="R435" s="2">
        <v>0.77</v>
      </c>
      <c r="S435" s="2">
        <f>87699/100000</f>
        <v>0.87699000000000005</v>
      </c>
      <c r="T435" s="2">
        <v>0.82929589999999997</v>
      </c>
    </row>
    <row r="436" spans="1:20">
      <c r="A436" s="3" t="s">
        <v>3780</v>
      </c>
      <c r="B436" s="1" t="s">
        <v>3781</v>
      </c>
      <c r="C436" s="3" t="s">
        <v>3782</v>
      </c>
      <c r="D436" s="3" t="s">
        <v>3745</v>
      </c>
      <c r="E436" s="3" t="s">
        <v>3746</v>
      </c>
      <c r="F436" s="3" t="s">
        <v>3747</v>
      </c>
      <c r="G436" s="3" t="s">
        <v>3748</v>
      </c>
      <c r="H436" s="11" t="s">
        <v>8109</v>
      </c>
      <c r="I436" s="3" t="s">
        <v>3749</v>
      </c>
      <c r="J436" s="7">
        <v>0.9</v>
      </c>
      <c r="K436" s="1" t="s">
        <v>3750</v>
      </c>
      <c r="L436" s="2">
        <v>0.71299999999999997</v>
      </c>
      <c r="M436" s="2">
        <f>78761/100000</f>
        <v>0.78761000000000003</v>
      </c>
      <c r="N436" s="2">
        <v>0.82929589999999997</v>
      </c>
      <c r="O436" s="4" t="s">
        <v>3751</v>
      </c>
      <c r="P436" s="1">
        <v>0.98</v>
      </c>
      <c r="Q436" s="7" t="s">
        <v>3752</v>
      </c>
      <c r="R436" s="2">
        <v>0.96199999999999997</v>
      </c>
      <c r="S436" s="2">
        <f>100000/100000</f>
        <v>1</v>
      </c>
      <c r="T436" s="2">
        <v>0.82929589999999997</v>
      </c>
    </row>
    <row r="437" spans="1:20">
      <c r="A437" s="3" t="s">
        <v>3783</v>
      </c>
      <c r="B437" s="1" t="s">
        <v>3781</v>
      </c>
      <c r="C437" s="3" t="s">
        <v>3782</v>
      </c>
      <c r="D437" s="3" t="s">
        <v>3754</v>
      </c>
      <c r="E437" s="3" t="s">
        <v>3755</v>
      </c>
      <c r="F437" s="3" t="s">
        <v>3756</v>
      </c>
      <c r="G437" s="3" t="s">
        <v>3757</v>
      </c>
      <c r="H437" s="11" t="s">
        <v>8109</v>
      </c>
      <c r="I437" s="3" t="s">
        <v>3758</v>
      </c>
      <c r="J437" s="7">
        <v>0.36</v>
      </c>
      <c r="K437" s="1" t="s">
        <v>3759</v>
      </c>
      <c r="L437" s="2">
        <v>3.6799999999999999E-2</v>
      </c>
      <c r="M437" s="2">
        <f>3849/100000</f>
        <v>3.8490000000000003E-2</v>
      </c>
      <c r="N437" s="2">
        <v>0.20679649999999999</v>
      </c>
      <c r="O437" s="4" t="s">
        <v>3760</v>
      </c>
      <c r="P437" s="1">
        <v>1.32</v>
      </c>
      <c r="Q437" s="7" t="s">
        <v>3761</v>
      </c>
      <c r="R437" s="2">
        <v>0.311</v>
      </c>
      <c r="S437" s="2">
        <f>34143/100000</f>
        <v>0.34143000000000001</v>
      </c>
      <c r="T437" s="2">
        <v>0.61526179999999997</v>
      </c>
    </row>
    <row r="438" spans="1:20">
      <c r="A438" s="3" t="s">
        <v>3784</v>
      </c>
      <c r="B438" s="1" t="s">
        <v>3781</v>
      </c>
      <c r="C438" s="3" t="s">
        <v>3782</v>
      </c>
      <c r="D438" s="3" t="s">
        <v>3763</v>
      </c>
      <c r="E438" s="3" t="s">
        <v>3764</v>
      </c>
      <c r="F438" s="3" t="s">
        <v>3765</v>
      </c>
      <c r="G438" s="3" t="s">
        <v>3766</v>
      </c>
      <c r="H438" s="11" t="s">
        <v>8109</v>
      </c>
      <c r="I438" s="3" t="s">
        <v>3767</v>
      </c>
      <c r="J438" s="7">
        <v>1.41</v>
      </c>
      <c r="K438" s="1" t="s">
        <v>3768</v>
      </c>
      <c r="L438" s="2">
        <v>0.254</v>
      </c>
      <c r="M438" s="2">
        <f>29141/100000</f>
        <v>0.29141</v>
      </c>
      <c r="N438" s="2">
        <v>0.57823020000000003</v>
      </c>
      <c r="O438" s="4" t="s">
        <v>3769</v>
      </c>
      <c r="P438" s="1">
        <v>0.83</v>
      </c>
      <c r="Q438" s="7" t="s">
        <v>3770</v>
      </c>
      <c r="R438" s="2">
        <v>0.60099999999999998</v>
      </c>
      <c r="S438" s="2">
        <f>62770/100000</f>
        <v>0.62770000000000004</v>
      </c>
      <c r="T438" s="2">
        <v>0.79869500000000004</v>
      </c>
    </row>
    <row r="439" spans="1:20">
      <c r="A439" s="3" t="s">
        <v>3785</v>
      </c>
      <c r="B439" s="1" t="s">
        <v>3781</v>
      </c>
      <c r="C439" s="3" t="s">
        <v>3782</v>
      </c>
      <c r="D439" s="3" t="s">
        <v>3772</v>
      </c>
      <c r="E439" s="3" t="s">
        <v>3773</v>
      </c>
      <c r="F439" s="3" t="s">
        <v>3774</v>
      </c>
      <c r="G439" s="3" t="s">
        <v>3775</v>
      </c>
      <c r="H439" s="11" t="s">
        <v>8109</v>
      </c>
      <c r="I439" s="3" t="s">
        <v>3776</v>
      </c>
      <c r="J439" s="7">
        <v>1.22</v>
      </c>
      <c r="K439" s="1" t="s">
        <v>3777</v>
      </c>
      <c r="L439" s="2">
        <v>0.52100000000000002</v>
      </c>
      <c r="M439" s="2">
        <f>60918/100000</f>
        <v>0.60918000000000005</v>
      </c>
      <c r="N439" s="2">
        <v>0.78810860000000005</v>
      </c>
      <c r="O439" s="4" t="s">
        <v>3778</v>
      </c>
      <c r="P439" s="1">
        <v>1.0900000000000001</v>
      </c>
      <c r="Q439" s="7" t="s">
        <v>3779</v>
      </c>
      <c r="R439" s="2">
        <v>0.77</v>
      </c>
      <c r="S439" s="2">
        <f>87699/100000</f>
        <v>0.87699000000000005</v>
      </c>
      <c r="T439" s="2">
        <v>0.82929589999999997</v>
      </c>
    </row>
    <row r="440" spans="1:20">
      <c r="A440" s="3" t="s">
        <v>3786</v>
      </c>
      <c r="B440" s="1" t="s">
        <v>3787</v>
      </c>
      <c r="C440" s="3" t="s">
        <v>3788</v>
      </c>
      <c r="D440" s="3" t="s">
        <v>3789</v>
      </c>
      <c r="E440" s="3" t="s">
        <v>3790</v>
      </c>
      <c r="F440" s="3" t="s">
        <v>3791</v>
      </c>
      <c r="G440" s="3" t="s">
        <v>3792</v>
      </c>
      <c r="H440" s="11" t="s">
        <v>8159</v>
      </c>
      <c r="I440" s="3" t="s">
        <v>3793</v>
      </c>
      <c r="J440" s="7">
        <v>1.05</v>
      </c>
      <c r="K440" s="1" t="s">
        <v>2557</v>
      </c>
      <c r="L440" s="2">
        <v>0.69599999999999995</v>
      </c>
      <c r="M440" s="2">
        <f>73749/100000</f>
        <v>0.73748999999999998</v>
      </c>
      <c r="N440" s="2">
        <v>0.82137769999999999</v>
      </c>
      <c r="O440" s="4" t="s">
        <v>3794</v>
      </c>
      <c r="P440" s="1">
        <v>0.82</v>
      </c>
      <c r="Q440" s="7" t="s">
        <v>3795</v>
      </c>
      <c r="R440" s="2">
        <v>0.14399999999999999</v>
      </c>
      <c r="S440" s="2">
        <f>15425/100000</f>
        <v>0.15425</v>
      </c>
      <c r="T440" s="2">
        <v>0.43024479999999998</v>
      </c>
    </row>
    <row r="441" spans="1:20">
      <c r="A441" s="3" t="s">
        <v>3796</v>
      </c>
      <c r="B441" s="1" t="s">
        <v>3797</v>
      </c>
      <c r="C441" s="3" t="s">
        <v>3798</v>
      </c>
      <c r="D441" s="3" t="s">
        <v>3799</v>
      </c>
      <c r="E441" s="3" t="s">
        <v>3800</v>
      </c>
      <c r="F441" s="3" t="s">
        <v>3801</v>
      </c>
      <c r="G441" s="3" t="s">
        <v>3802</v>
      </c>
      <c r="H441" s="11" t="s">
        <v>8235</v>
      </c>
      <c r="I441" s="3" t="s">
        <v>3803</v>
      </c>
      <c r="J441" s="7">
        <v>0.63</v>
      </c>
      <c r="K441" s="1" t="s">
        <v>3804</v>
      </c>
      <c r="L441" s="2">
        <v>5.7799999999999995E-4</v>
      </c>
      <c r="M441" s="2">
        <f>40/100000</f>
        <v>4.0000000000000002E-4</v>
      </c>
      <c r="N441" s="2">
        <v>8.3495930000000006E-3</v>
      </c>
      <c r="O441" s="4" t="s">
        <v>3805</v>
      </c>
      <c r="P441" s="1">
        <v>1.66</v>
      </c>
      <c r="Q441" s="7" t="s">
        <v>3806</v>
      </c>
      <c r="R441" s="2">
        <v>5.7800000000000001E-8</v>
      </c>
      <c r="S441" s="2" t="s">
        <v>500</v>
      </c>
      <c r="T441" s="2">
        <v>3.517123E-4</v>
      </c>
    </row>
    <row r="442" spans="1:20">
      <c r="A442" s="3" t="s">
        <v>3807</v>
      </c>
      <c r="B442" s="1" t="s">
        <v>3808</v>
      </c>
      <c r="C442" s="3" t="s">
        <v>3809</v>
      </c>
      <c r="D442" s="3" t="s">
        <v>3810</v>
      </c>
      <c r="E442" s="3" t="s">
        <v>3811</v>
      </c>
      <c r="F442" s="3" t="s">
        <v>3812</v>
      </c>
      <c r="G442" s="3" t="s">
        <v>3813</v>
      </c>
      <c r="H442" s="11" t="s">
        <v>8236</v>
      </c>
      <c r="I442" s="3" t="s">
        <v>3814</v>
      </c>
      <c r="J442" s="7">
        <v>0.96</v>
      </c>
      <c r="K442" s="1" t="s">
        <v>2500</v>
      </c>
      <c r="L442" s="2">
        <v>0.89500000000000002</v>
      </c>
      <c r="M442" s="2">
        <f>100000/100000</f>
        <v>1</v>
      </c>
      <c r="N442" s="2">
        <v>0.82929589999999997</v>
      </c>
      <c r="O442" s="4" t="s">
        <v>3815</v>
      </c>
      <c r="P442" s="1">
        <v>0.72</v>
      </c>
      <c r="Q442" s="7" t="s">
        <v>3816</v>
      </c>
      <c r="R442" s="2">
        <v>0.30299999999999999</v>
      </c>
      <c r="S442" s="2">
        <f>32704/100000</f>
        <v>0.32704</v>
      </c>
      <c r="T442" s="2">
        <v>0.61237960000000002</v>
      </c>
    </row>
    <row r="443" spans="1:20">
      <c r="A443" s="3" t="s">
        <v>3817</v>
      </c>
      <c r="B443" s="1" t="s">
        <v>3818</v>
      </c>
      <c r="C443" s="3" t="s">
        <v>3819</v>
      </c>
      <c r="D443" s="3" t="s">
        <v>3820</v>
      </c>
      <c r="E443" s="3" t="s">
        <v>3821</v>
      </c>
      <c r="F443" s="3" t="s">
        <v>3822</v>
      </c>
      <c r="G443" s="3" t="s">
        <v>3823</v>
      </c>
      <c r="H443" s="11" t="s">
        <v>8237</v>
      </c>
      <c r="I443" s="3" t="s">
        <v>3824</v>
      </c>
      <c r="J443" s="7">
        <v>0.83</v>
      </c>
      <c r="K443" s="1" t="s">
        <v>3825</v>
      </c>
      <c r="L443" s="2">
        <v>5.0799999999999998E-2</v>
      </c>
      <c r="M443" s="2">
        <f>5593/100000</f>
        <v>5.5930000000000001E-2</v>
      </c>
      <c r="N443" s="2">
        <v>0.2590672</v>
      </c>
      <c r="O443" s="4" t="s">
        <v>3826</v>
      </c>
      <c r="P443" s="1">
        <v>1.36</v>
      </c>
      <c r="Q443" s="7" t="s">
        <v>3827</v>
      </c>
      <c r="R443" s="2">
        <v>4.7700000000000001E-5</v>
      </c>
      <c r="S443" s="2">
        <f>6/100000</f>
        <v>6.0000000000000002E-5</v>
      </c>
      <c r="T443" s="2">
        <v>1.6564520000000001E-3</v>
      </c>
    </row>
    <row r="444" spans="1:20">
      <c r="A444" s="3" t="s">
        <v>3828</v>
      </c>
      <c r="B444" s="1" t="s">
        <v>3829</v>
      </c>
      <c r="C444" s="3" t="s">
        <v>3830</v>
      </c>
      <c r="D444" s="3" t="s">
        <v>3831</v>
      </c>
      <c r="E444" s="3" t="s">
        <v>3832</v>
      </c>
      <c r="F444" s="3" t="s">
        <v>3833</v>
      </c>
      <c r="G444" s="3" t="s">
        <v>3834</v>
      </c>
      <c r="H444" s="11" t="s">
        <v>8084</v>
      </c>
      <c r="I444" s="3" t="s">
        <v>3835</v>
      </c>
      <c r="J444" s="7">
        <v>0.76</v>
      </c>
      <c r="K444" s="1" t="s">
        <v>3836</v>
      </c>
      <c r="L444" s="2">
        <v>0.23899999999999999</v>
      </c>
      <c r="M444" s="2">
        <f>25939/100000</f>
        <v>0.25939000000000001</v>
      </c>
      <c r="N444" s="2">
        <v>0.56259099999999995</v>
      </c>
      <c r="O444" s="4" t="s">
        <v>3837</v>
      </c>
      <c r="P444" s="1">
        <v>2.21</v>
      </c>
      <c r="Q444" s="7" t="s">
        <v>3838</v>
      </c>
      <c r="R444" s="2">
        <v>5.63E-5</v>
      </c>
      <c r="S444" s="2">
        <f>34/100000</f>
        <v>3.4000000000000002E-4</v>
      </c>
      <c r="T444" s="2">
        <v>7.2745830000000003E-3</v>
      </c>
    </row>
    <row r="445" spans="1:20">
      <c r="A445" s="3" t="s">
        <v>3839</v>
      </c>
      <c r="B445" s="1" t="s">
        <v>3840</v>
      </c>
      <c r="C445" s="3" t="s">
        <v>3841</v>
      </c>
      <c r="D445" s="3" t="s">
        <v>3842</v>
      </c>
      <c r="E445" s="3" t="s">
        <v>3843</v>
      </c>
      <c r="F445" s="3" t="s">
        <v>3844</v>
      </c>
      <c r="G445" s="3" t="s">
        <v>3845</v>
      </c>
      <c r="H445" s="11" t="s">
        <v>8110</v>
      </c>
      <c r="I445" s="3" t="s">
        <v>3846</v>
      </c>
      <c r="J445" s="7">
        <v>1.37</v>
      </c>
      <c r="K445" s="1" t="s">
        <v>3847</v>
      </c>
      <c r="L445" s="2">
        <v>6.5600000000000006E-2</v>
      </c>
      <c r="M445" s="2">
        <f>6628/100000</f>
        <v>6.6280000000000006E-2</v>
      </c>
      <c r="N445" s="2">
        <v>0.28657450000000001</v>
      </c>
      <c r="O445" s="4" t="s">
        <v>3848</v>
      </c>
      <c r="P445" s="1">
        <v>1</v>
      </c>
      <c r="Q445" s="7" t="s">
        <v>3849</v>
      </c>
      <c r="R445" s="2">
        <v>0.99099999999999999</v>
      </c>
      <c r="S445" s="2">
        <f>100000/100000</f>
        <v>1</v>
      </c>
      <c r="T445" s="2">
        <v>0.82929589999999997</v>
      </c>
    </row>
    <row r="446" spans="1:20">
      <c r="A446" s="3" t="s">
        <v>3850</v>
      </c>
      <c r="B446" s="1" t="s">
        <v>3840</v>
      </c>
      <c r="C446" s="3" t="s">
        <v>3841</v>
      </c>
      <c r="D446" s="3" t="s">
        <v>3851</v>
      </c>
      <c r="E446" s="3" t="s">
        <v>3852</v>
      </c>
      <c r="F446" s="3" t="s">
        <v>3844</v>
      </c>
      <c r="G446" s="3" t="s">
        <v>3845</v>
      </c>
      <c r="H446" s="11" t="s">
        <v>8110</v>
      </c>
      <c r="I446" s="3" t="s">
        <v>3853</v>
      </c>
      <c r="J446" s="7">
        <v>0.98</v>
      </c>
      <c r="K446" s="1" t="s">
        <v>3854</v>
      </c>
      <c r="L446" s="2">
        <v>0.94799999999999995</v>
      </c>
      <c r="M446" s="2">
        <f>100000/100000</f>
        <v>1</v>
      </c>
      <c r="N446" s="2">
        <v>0.82929589999999997</v>
      </c>
      <c r="O446" s="4" t="s">
        <v>3855</v>
      </c>
      <c r="P446" s="1">
        <v>1.73</v>
      </c>
      <c r="Q446" s="7" t="s">
        <v>3856</v>
      </c>
      <c r="R446" s="2">
        <v>3.1199999999999999E-2</v>
      </c>
      <c r="S446" s="2">
        <f>3667/100000</f>
        <v>3.6670000000000001E-2</v>
      </c>
      <c r="T446" s="2">
        <v>0.2039551</v>
      </c>
    </row>
    <row r="447" spans="1:20">
      <c r="A447" s="3" t="s">
        <v>3857</v>
      </c>
      <c r="B447" s="1" t="s">
        <v>3858</v>
      </c>
      <c r="C447" s="3" t="s">
        <v>3859</v>
      </c>
      <c r="D447" s="3" t="s">
        <v>3860</v>
      </c>
      <c r="E447" s="3" t="s">
        <v>3861</v>
      </c>
      <c r="F447" s="3" t="s">
        <v>3862</v>
      </c>
      <c r="G447" s="3" t="s">
        <v>3863</v>
      </c>
      <c r="H447" s="11" t="s">
        <v>8238</v>
      </c>
      <c r="I447" s="3" t="s">
        <v>3864</v>
      </c>
      <c r="J447" s="7">
        <v>1.07</v>
      </c>
      <c r="K447" s="1" t="s">
        <v>3865</v>
      </c>
      <c r="L447" s="2">
        <v>0.81499999999999995</v>
      </c>
      <c r="M447" s="2">
        <f>87601/100000</f>
        <v>0.87600999999999996</v>
      </c>
      <c r="N447" s="2">
        <v>0.82929589999999997</v>
      </c>
      <c r="O447" s="4" t="s">
        <v>3866</v>
      </c>
      <c r="P447" s="1">
        <v>0.89</v>
      </c>
      <c r="Q447" s="7" t="s">
        <v>3867</v>
      </c>
      <c r="R447" s="2">
        <v>0.72799999999999998</v>
      </c>
      <c r="S447" s="2">
        <f>76205/100000</f>
        <v>0.76205000000000001</v>
      </c>
      <c r="T447" s="2">
        <v>0.82929589999999997</v>
      </c>
    </row>
    <row r="448" spans="1:20">
      <c r="A448" s="3" t="s">
        <v>3868</v>
      </c>
      <c r="B448" s="1" t="s">
        <v>3869</v>
      </c>
      <c r="C448" s="3" t="s">
        <v>3870</v>
      </c>
      <c r="D448" s="3" t="s">
        <v>3871</v>
      </c>
      <c r="E448" s="3" t="s">
        <v>3872</v>
      </c>
      <c r="F448" s="3" t="s">
        <v>3873</v>
      </c>
      <c r="G448" s="3" t="s">
        <v>3874</v>
      </c>
      <c r="H448" s="11" t="s">
        <v>8112</v>
      </c>
      <c r="I448" s="3" t="s">
        <v>3875</v>
      </c>
      <c r="J448" s="7">
        <v>0.92</v>
      </c>
      <c r="K448" s="1" t="s">
        <v>3876</v>
      </c>
      <c r="L448" s="2">
        <v>0.63700000000000001</v>
      </c>
      <c r="M448" s="2">
        <f>65224/100000</f>
        <v>0.65224000000000004</v>
      </c>
      <c r="N448" s="2">
        <v>0.80365339999999996</v>
      </c>
      <c r="O448" s="4" t="s">
        <v>3877</v>
      </c>
      <c r="P448" s="1">
        <v>1.44</v>
      </c>
      <c r="Q448" s="7" t="s">
        <v>3878</v>
      </c>
      <c r="R448" s="2">
        <v>3.4500000000000003E-2</v>
      </c>
      <c r="S448" s="2">
        <f>4051/100000</f>
        <v>4.0509999999999997E-2</v>
      </c>
      <c r="T448" s="2">
        <v>0.21413370000000001</v>
      </c>
    </row>
    <row r="449" spans="1:20">
      <c r="A449" s="3" t="s">
        <v>3879</v>
      </c>
      <c r="B449" s="1" t="s">
        <v>3869</v>
      </c>
      <c r="C449" s="3" t="s">
        <v>3870</v>
      </c>
      <c r="D449" s="3" t="s">
        <v>3880</v>
      </c>
      <c r="E449" s="3" t="s">
        <v>3881</v>
      </c>
      <c r="F449" s="3" t="s">
        <v>3873</v>
      </c>
      <c r="G449" s="3" t="s">
        <v>3874</v>
      </c>
      <c r="H449" s="11" t="s">
        <v>8112</v>
      </c>
      <c r="I449" s="3" t="s">
        <v>3882</v>
      </c>
      <c r="J449" s="7">
        <v>1.1499999999999999</v>
      </c>
      <c r="K449" s="1" t="s">
        <v>3883</v>
      </c>
      <c r="L449" s="2">
        <v>0.44800000000000001</v>
      </c>
      <c r="M449" s="2">
        <f>48977/100000</f>
        <v>0.48976999999999998</v>
      </c>
      <c r="N449" s="2">
        <v>0.73186450000000003</v>
      </c>
      <c r="O449" s="4" t="s">
        <v>3884</v>
      </c>
      <c r="P449" s="1">
        <v>1.52</v>
      </c>
      <c r="Q449" s="7" t="s">
        <v>3885</v>
      </c>
      <c r="R449" s="2">
        <v>8.1099999999999998E-4</v>
      </c>
      <c r="S449" s="2">
        <f>92/100000</f>
        <v>9.2000000000000003E-4</v>
      </c>
      <c r="T449" s="2">
        <v>1.5540129999999999E-2</v>
      </c>
    </row>
    <row r="450" spans="1:20">
      <c r="A450" s="3" t="s">
        <v>3886</v>
      </c>
      <c r="B450" s="1" t="s">
        <v>3869</v>
      </c>
      <c r="C450" s="3" t="s">
        <v>3870</v>
      </c>
      <c r="D450" s="3" t="s">
        <v>3887</v>
      </c>
      <c r="E450" s="3" t="s">
        <v>3888</v>
      </c>
      <c r="F450" s="3" t="s">
        <v>3873</v>
      </c>
      <c r="G450" s="3" t="s">
        <v>3874</v>
      </c>
      <c r="H450" s="11" t="s">
        <v>8113</v>
      </c>
      <c r="I450" s="3" t="s">
        <v>3889</v>
      </c>
      <c r="J450" s="7">
        <v>0.92</v>
      </c>
      <c r="K450" s="1" t="s">
        <v>3890</v>
      </c>
      <c r="L450" s="2">
        <v>0.70099999999999996</v>
      </c>
      <c r="M450" s="2">
        <f>74284/100000</f>
        <v>0.74283999999999994</v>
      </c>
      <c r="N450" s="2">
        <v>0.82297350000000002</v>
      </c>
      <c r="O450" s="4" t="s">
        <v>3891</v>
      </c>
      <c r="P450" s="1">
        <v>1.58</v>
      </c>
      <c r="Q450" s="7" t="s">
        <v>3892</v>
      </c>
      <c r="R450" s="2">
        <v>1.16E-3</v>
      </c>
      <c r="S450" s="2">
        <f>171/100000</f>
        <v>1.7099999999999999E-3</v>
      </c>
      <c r="T450" s="2">
        <v>2.439125E-2</v>
      </c>
    </row>
    <row r="451" spans="1:20">
      <c r="A451" s="3" t="s">
        <v>3893</v>
      </c>
      <c r="B451" s="1" t="s">
        <v>3869</v>
      </c>
      <c r="C451" s="3" t="s">
        <v>3870</v>
      </c>
      <c r="D451" s="3" t="s">
        <v>3894</v>
      </c>
      <c r="E451" s="3" t="s">
        <v>3895</v>
      </c>
      <c r="F451" s="3" t="s">
        <v>3873</v>
      </c>
      <c r="G451" s="3" t="s">
        <v>3874</v>
      </c>
      <c r="H451" s="11" t="s">
        <v>8113</v>
      </c>
      <c r="I451" s="3" t="s">
        <v>3896</v>
      </c>
      <c r="J451" s="7">
        <v>0.91</v>
      </c>
      <c r="K451" s="1" t="s">
        <v>3897</v>
      </c>
      <c r="L451" s="2">
        <v>0.60699999999999998</v>
      </c>
      <c r="M451" s="2">
        <f>64643/100000</f>
        <v>0.64642999999999995</v>
      </c>
      <c r="N451" s="2">
        <v>0.79971309999999995</v>
      </c>
      <c r="O451" s="4" t="s">
        <v>3898</v>
      </c>
      <c r="P451" s="1">
        <v>1.4</v>
      </c>
      <c r="Q451" s="7" t="s">
        <v>3899</v>
      </c>
      <c r="R451" s="2">
        <v>6.7400000000000003E-3</v>
      </c>
      <c r="S451" s="2">
        <f>707/100000</f>
        <v>7.0699999999999999E-3</v>
      </c>
      <c r="T451" s="2">
        <v>6.8498959999999998E-2</v>
      </c>
    </row>
    <row r="452" spans="1:20">
      <c r="A452" s="3" t="s">
        <v>3900</v>
      </c>
      <c r="B452" s="1" t="s">
        <v>3901</v>
      </c>
      <c r="C452" s="3" t="s">
        <v>3902</v>
      </c>
      <c r="D452" s="3" t="s">
        <v>3903</v>
      </c>
      <c r="E452" s="3" t="s">
        <v>3904</v>
      </c>
      <c r="F452" s="3" t="s">
        <v>3905</v>
      </c>
      <c r="G452" s="3" t="s">
        <v>3906</v>
      </c>
      <c r="H452" s="11" t="s">
        <v>8239</v>
      </c>
      <c r="I452" s="3" t="s">
        <v>3907</v>
      </c>
      <c r="J452" s="7">
        <v>0.66</v>
      </c>
      <c r="K452" s="1" t="s">
        <v>3908</v>
      </c>
      <c r="L452" s="2">
        <v>0.23899999999999999</v>
      </c>
      <c r="M452" s="2">
        <f>29643/100000</f>
        <v>0.29643000000000003</v>
      </c>
      <c r="N452" s="2">
        <v>0.58146900000000001</v>
      </c>
      <c r="O452" s="4" t="s">
        <v>3909</v>
      </c>
      <c r="P452" s="1">
        <v>1.03</v>
      </c>
      <c r="Q452" s="7" t="s">
        <v>3910</v>
      </c>
      <c r="R452" s="2">
        <v>0.91800000000000004</v>
      </c>
      <c r="S452" s="2">
        <f>100000/100000</f>
        <v>1</v>
      </c>
      <c r="T452" s="2">
        <v>0.82929589999999997</v>
      </c>
    </row>
    <row r="453" spans="1:20">
      <c r="A453" s="3" t="s">
        <v>3911</v>
      </c>
      <c r="B453" s="1" t="s">
        <v>3901</v>
      </c>
      <c r="C453" s="3" t="s">
        <v>3902</v>
      </c>
      <c r="D453" s="3" t="s">
        <v>3912</v>
      </c>
      <c r="E453" s="3" t="s">
        <v>3913</v>
      </c>
      <c r="F453" s="3" t="s">
        <v>3914</v>
      </c>
      <c r="G453" s="3" t="s">
        <v>3915</v>
      </c>
      <c r="H453" s="11" t="s">
        <v>8239</v>
      </c>
      <c r="I453" s="3" t="s">
        <v>3916</v>
      </c>
      <c r="J453" s="7">
        <v>1.03</v>
      </c>
      <c r="K453" s="1" t="s">
        <v>3917</v>
      </c>
      <c r="L453" s="2">
        <v>0.90300000000000002</v>
      </c>
      <c r="M453" s="2">
        <f>100000/100000</f>
        <v>1</v>
      </c>
      <c r="N453" s="2">
        <v>0.82929589999999997</v>
      </c>
      <c r="O453" s="4" t="s">
        <v>3918</v>
      </c>
      <c r="P453" s="1">
        <v>1.23</v>
      </c>
      <c r="Q453" s="7" t="s">
        <v>3919</v>
      </c>
      <c r="R453" s="2">
        <v>0.39300000000000002</v>
      </c>
      <c r="S453" s="2">
        <f>41988/100000</f>
        <v>0.41987999999999998</v>
      </c>
      <c r="T453" s="2">
        <v>0.67565790000000003</v>
      </c>
    </row>
    <row r="454" spans="1:20">
      <c r="A454" s="3" t="s">
        <v>3920</v>
      </c>
      <c r="B454" s="1" t="s">
        <v>3921</v>
      </c>
      <c r="C454" s="3" t="s">
        <v>3922</v>
      </c>
      <c r="D454" s="3" t="s">
        <v>3923</v>
      </c>
      <c r="E454" s="3" t="s">
        <v>3924</v>
      </c>
      <c r="F454" s="3" t="s">
        <v>3925</v>
      </c>
      <c r="G454" s="3" t="s">
        <v>3926</v>
      </c>
      <c r="H454" s="11" t="s">
        <v>8240</v>
      </c>
      <c r="I454" s="3" t="s">
        <v>3927</v>
      </c>
      <c r="J454" s="7">
        <v>0.95</v>
      </c>
      <c r="K454" s="1" t="s">
        <v>3928</v>
      </c>
      <c r="L454" s="2">
        <v>0.88100000000000001</v>
      </c>
      <c r="M454" s="2">
        <f>100000/100000</f>
        <v>1</v>
      </c>
      <c r="N454" s="2">
        <v>0.82929589999999997</v>
      </c>
      <c r="O454" s="4" t="s">
        <v>3929</v>
      </c>
      <c r="P454" s="1">
        <v>0.3</v>
      </c>
      <c r="Q454" s="7" t="s">
        <v>264</v>
      </c>
      <c r="R454" s="2">
        <v>0.2</v>
      </c>
      <c r="S454" s="2">
        <f>25988/100000</f>
        <v>0.25988</v>
      </c>
      <c r="T454" s="2">
        <v>0.56285830000000003</v>
      </c>
    </row>
    <row r="455" spans="1:20">
      <c r="A455" s="3" t="s">
        <v>3930</v>
      </c>
      <c r="B455" s="1" t="s">
        <v>3931</v>
      </c>
      <c r="C455" s="3" t="s">
        <v>3932</v>
      </c>
      <c r="D455" s="3" t="s">
        <v>3933</v>
      </c>
      <c r="E455" s="3" t="s">
        <v>3934</v>
      </c>
      <c r="F455" s="3" t="s">
        <v>3935</v>
      </c>
      <c r="G455" s="3" t="s">
        <v>3936</v>
      </c>
      <c r="H455" s="11" t="s">
        <v>8241</v>
      </c>
      <c r="I455" s="3" t="s">
        <v>3937</v>
      </c>
      <c r="J455" s="7">
        <v>1.58</v>
      </c>
      <c r="K455" s="1" t="s">
        <v>3938</v>
      </c>
      <c r="L455" s="2">
        <v>1.49E-5</v>
      </c>
      <c r="M455" s="2">
        <f>2/100000</f>
        <v>2.0000000000000002E-5</v>
      </c>
      <c r="N455" s="2">
        <v>6.5833329999999998E-4</v>
      </c>
      <c r="O455" s="4" t="s">
        <v>3939</v>
      </c>
      <c r="P455" s="1">
        <v>0.94</v>
      </c>
      <c r="Q455" s="7" t="s">
        <v>3940</v>
      </c>
      <c r="R455" s="2">
        <v>0.70499999999999996</v>
      </c>
      <c r="S455" s="2">
        <f>75057/100000</f>
        <v>0.75056999999999996</v>
      </c>
      <c r="T455" s="2">
        <v>0.8286173</v>
      </c>
    </row>
    <row r="456" spans="1:20">
      <c r="A456" s="3" t="s">
        <v>3941</v>
      </c>
      <c r="B456" s="1" t="s">
        <v>3942</v>
      </c>
      <c r="C456" s="3" t="s">
        <v>3943</v>
      </c>
      <c r="D456" s="3" t="s">
        <v>3944</v>
      </c>
      <c r="E456" s="3" t="s">
        <v>3945</v>
      </c>
      <c r="F456" s="3" t="s">
        <v>3946</v>
      </c>
      <c r="G456" s="5" t="s">
        <v>3947</v>
      </c>
      <c r="H456" s="14" t="s">
        <v>8067</v>
      </c>
      <c r="I456" s="3" t="s">
        <v>3948</v>
      </c>
      <c r="J456" s="7">
        <v>0.66</v>
      </c>
      <c r="K456" s="1" t="s">
        <v>3949</v>
      </c>
      <c r="L456" s="2">
        <v>2.17E-7</v>
      </c>
      <c r="M456" s="2" t="s">
        <v>500</v>
      </c>
      <c r="N456" s="2">
        <v>3.517123E-4</v>
      </c>
      <c r="O456" s="4" t="s">
        <v>3950</v>
      </c>
      <c r="P456" s="1">
        <v>1.22</v>
      </c>
      <c r="Q456" s="7" t="s">
        <v>3951</v>
      </c>
      <c r="R456" s="2">
        <v>8.0700000000000008E-3</v>
      </c>
      <c r="S456" s="2">
        <f>780/100000</f>
        <v>7.7999999999999996E-3</v>
      </c>
      <c r="T456" s="2">
        <v>7.3626839999999999E-2</v>
      </c>
    </row>
    <row r="457" spans="1:20">
      <c r="A457" s="3" t="s">
        <v>3952</v>
      </c>
      <c r="B457" s="1" t="s">
        <v>3942</v>
      </c>
      <c r="C457" s="3" t="s">
        <v>3943</v>
      </c>
      <c r="D457" s="3" t="s">
        <v>3953</v>
      </c>
      <c r="E457" s="5" t="s">
        <v>3954</v>
      </c>
      <c r="F457" s="3" t="s">
        <v>3946</v>
      </c>
      <c r="G457" s="5" t="s">
        <v>3947</v>
      </c>
      <c r="H457" s="14" t="s">
        <v>8067</v>
      </c>
      <c r="I457" s="3" t="s">
        <v>3955</v>
      </c>
      <c r="J457" s="7">
        <v>1.04</v>
      </c>
      <c r="K457" s="1" t="s">
        <v>3956</v>
      </c>
      <c r="L457" s="2">
        <v>0.60899999999999999</v>
      </c>
      <c r="M457" s="2">
        <f>61226/100000</f>
        <v>0.61226000000000003</v>
      </c>
      <c r="N457" s="2">
        <v>0.78920639999999997</v>
      </c>
      <c r="O457" s="4" t="s">
        <v>3957</v>
      </c>
      <c r="P457" s="1">
        <v>0.79</v>
      </c>
      <c r="Q457" s="7" t="s">
        <v>3958</v>
      </c>
      <c r="R457" s="2">
        <v>5.7200000000000003E-3</v>
      </c>
      <c r="S457" s="2">
        <f>629/100000</f>
        <v>6.2899999999999996E-3</v>
      </c>
      <c r="T457" s="2">
        <v>6.2838809999999995E-2</v>
      </c>
    </row>
    <row r="458" spans="1:20">
      <c r="A458" s="3" t="s">
        <v>3959</v>
      </c>
      <c r="B458" s="1" t="s">
        <v>3960</v>
      </c>
      <c r="C458" s="3" t="s">
        <v>3961</v>
      </c>
      <c r="D458" s="3" t="s">
        <v>3962</v>
      </c>
      <c r="E458" s="3" t="s">
        <v>3963</v>
      </c>
      <c r="F458" s="3" t="s">
        <v>3964</v>
      </c>
      <c r="G458" s="3" t="s">
        <v>3965</v>
      </c>
      <c r="H458" s="14" t="s">
        <v>8055</v>
      </c>
      <c r="I458" s="3" t="s">
        <v>3966</v>
      </c>
      <c r="J458" s="7">
        <v>0.81</v>
      </c>
      <c r="K458" s="1" t="s">
        <v>3967</v>
      </c>
      <c r="L458" s="2">
        <v>0.432</v>
      </c>
      <c r="M458" s="2">
        <f>46500/100000</f>
        <v>0.46500000000000002</v>
      </c>
      <c r="N458" s="2">
        <v>0.71022459999999998</v>
      </c>
      <c r="O458" s="4" t="s">
        <v>3968</v>
      </c>
      <c r="P458" s="1">
        <v>1.67</v>
      </c>
      <c r="Q458" s="7" t="s">
        <v>3969</v>
      </c>
      <c r="R458" s="2">
        <v>7.7400000000000004E-3</v>
      </c>
      <c r="S458" s="2">
        <f>988/100000</f>
        <v>9.8799999999999999E-3</v>
      </c>
      <c r="T458" s="2">
        <v>8.5989499999999996E-2</v>
      </c>
    </row>
    <row r="459" spans="1:20">
      <c r="A459" s="3" t="s">
        <v>3970</v>
      </c>
      <c r="B459" s="1" t="s">
        <v>3960</v>
      </c>
      <c r="C459" s="3" t="s">
        <v>3961</v>
      </c>
      <c r="D459" s="3" t="s">
        <v>3971</v>
      </c>
      <c r="E459" s="3" t="s">
        <v>3972</v>
      </c>
      <c r="F459" s="3" t="s">
        <v>3973</v>
      </c>
      <c r="G459" s="3" t="s">
        <v>3974</v>
      </c>
      <c r="H459" s="11" t="s">
        <v>8056</v>
      </c>
      <c r="I459" s="3" t="s">
        <v>3975</v>
      </c>
      <c r="J459" s="7">
        <v>0.63</v>
      </c>
      <c r="K459" s="1" t="s">
        <v>2753</v>
      </c>
      <c r="L459" s="2">
        <v>0.193</v>
      </c>
      <c r="M459" s="2">
        <f>23500/100000</f>
        <v>0.23499999999999999</v>
      </c>
      <c r="N459" s="2">
        <v>0.53442210000000001</v>
      </c>
      <c r="O459" s="4" t="s">
        <v>3976</v>
      </c>
      <c r="P459" s="1">
        <v>1.66</v>
      </c>
      <c r="Q459" s="7" t="s">
        <v>3977</v>
      </c>
      <c r="R459" s="2">
        <v>2.5100000000000001E-2</v>
      </c>
      <c r="S459" s="2">
        <f>2715/100000</f>
        <v>2.7150000000000001E-2</v>
      </c>
      <c r="T459" s="2">
        <v>0.16930619999999999</v>
      </c>
    </row>
    <row r="460" spans="1:20">
      <c r="A460" s="3" t="s">
        <v>3978</v>
      </c>
      <c r="B460" s="1" t="s">
        <v>3960</v>
      </c>
      <c r="C460" s="3" t="s">
        <v>3961</v>
      </c>
      <c r="D460" s="3" t="s">
        <v>3979</v>
      </c>
      <c r="E460" s="3" t="s">
        <v>3980</v>
      </c>
      <c r="F460" s="3" t="s">
        <v>3964</v>
      </c>
      <c r="G460" s="3" t="s">
        <v>3965</v>
      </c>
      <c r="H460" s="11" t="s">
        <v>8242</v>
      </c>
      <c r="I460" s="3" t="s">
        <v>3981</v>
      </c>
      <c r="J460" s="7">
        <v>1.21</v>
      </c>
      <c r="K460" s="1" t="s">
        <v>3982</v>
      </c>
      <c r="L460" s="2">
        <v>0.45700000000000002</v>
      </c>
      <c r="M460" s="2">
        <f>48667/100000</f>
        <v>0.48666999999999999</v>
      </c>
      <c r="N460" s="2">
        <v>0.73078460000000001</v>
      </c>
      <c r="O460" s="4" t="s">
        <v>3983</v>
      </c>
      <c r="P460" s="1">
        <v>0.7</v>
      </c>
      <c r="Q460" s="7" t="s">
        <v>3984</v>
      </c>
      <c r="R460" s="2">
        <v>0.3</v>
      </c>
      <c r="S460" s="2">
        <f>30876/100000</f>
        <v>0.30875999999999998</v>
      </c>
      <c r="T460" s="2">
        <v>0.59561370000000002</v>
      </c>
    </row>
    <row r="461" spans="1:20">
      <c r="A461" s="3" t="s">
        <v>3985</v>
      </c>
      <c r="B461" s="1" t="s">
        <v>3960</v>
      </c>
      <c r="C461" s="3" t="s">
        <v>3961</v>
      </c>
      <c r="D461" s="3" t="s">
        <v>3986</v>
      </c>
      <c r="E461" s="3" t="s">
        <v>3987</v>
      </c>
      <c r="F461" s="3" t="s">
        <v>3964</v>
      </c>
      <c r="G461" s="3" t="s">
        <v>3965</v>
      </c>
      <c r="H461" s="11" t="s">
        <v>8243</v>
      </c>
      <c r="I461" s="3" t="s">
        <v>3988</v>
      </c>
      <c r="J461" s="7">
        <v>1.24</v>
      </c>
      <c r="K461" s="1" t="s">
        <v>3989</v>
      </c>
      <c r="L461" s="2">
        <v>0.10299999999999999</v>
      </c>
      <c r="M461" s="2">
        <f>11588/100000</f>
        <v>0.11588</v>
      </c>
      <c r="N461" s="2">
        <v>0.38060929999999998</v>
      </c>
      <c r="O461" s="4" t="s">
        <v>3990</v>
      </c>
      <c r="P461" s="1">
        <v>0.55000000000000004</v>
      </c>
      <c r="Q461" s="7" t="s">
        <v>3991</v>
      </c>
      <c r="R461" s="2">
        <v>3.4000000000000002E-4</v>
      </c>
      <c r="S461" s="2">
        <f>30/100000</f>
        <v>2.9999999999999997E-4</v>
      </c>
      <c r="T461" s="2">
        <v>6.4726890000000002E-3</v>
      </c>
    </row>
    <row r="462" spans="1:20">
      <c r="A462" s="3" t="s">
        <v>3992</v>
      </c>
      <c r="B462" s="1" t="s">
        <v>3960</v>
      </c>
      <c r="C462" s="3" t="s">
        <v>3961</v>
      </c>
      <c r="D462" s="3" t="s">
        <v>3993</v>
      </c>
      <c r="E462" s="3" t="s">
        <v>3994</v>
      </c>
      <c r="F462" s="3" t="s">
        <v>3964</v>
      </c>
      <c r="G462" s="3" t="s">
        <v>3965</v>
      </c>
      <c r="H462" s="11" t="s">
        <v>8244</v>
      </c>
      <c r="I462" s="3" t="s">
        <v>3995</v>
      </c>
      <c r="J462" s="7">
        <v>1.29</v>
      </c>
      <c r="K462" s="1" t="s">
        <v>3996</v>
      </c>
      <c r="L462" s="2">
        <v>6.1199999999999997E-2</v>
      </c>
      <c r="M462" s="2">
        <f>6448/100000</f>
        <v>6.4479999999999996E-2</v>
      </c>
      <c r="N462" s="2">
        <v>0.2821188</v>
      </c>
      <c r="O462" s="4" t="s">
        <v>3997</v>
      </c>
      <c r="P462" s="1">
        <v>0.34</v>
      </c>
      <c r="Q462" s="7" t="s">
        <v>3998</v>
      </c>
      <c r="R462" s="2">
        <v>9.1000000000000004E-9</v>
      </c>
      <c r="S462" s="2" t="s">
        <v>500</v>
      </c>
      <c r="T462" s="2">
        <v>3.517123E-4</v>
      </c>
    </row>
    <row r="463" spans="1:20">
      <c r="A463" s="3" t="s">
        <v>3999</v>
      </c>
      <c r="B463" s="1" t="s">
        <v>3960</v>
      </c>
      <c r="C463" s="3" t="s">
        <v>3961</v>
      </c>
      <c r="D463" s="3" t="s">
        <v>4000</v>
      </c>
      <c r="E463" s="3" t="s">
        <v>4001</v>
      </c>
      <c r="F463" s="3" t="s">
        <v>4002</v>
      </c>
      <c r="G463" s="3" t="s">
        <v>4003</v>
      </c>
      <c r="H463" s="11" t="s">
        <v>8056</v>
      </c>
      <c r="I463" s="3" t="s">
        <v>4004</v>
      </c>
      <c r="J463" s="7">
        <v>0.6</v>
      </c>
      <c r="K463" s="1" t="s">
        <v>4005</v>
      </c>
      <c r="L463" s="2">
        <v>8.6800000000000002E-2</v>
      </c>
      <c r="M463" s="2">
        <f>9330/100000</f>
        <v>9.3299999999999994E-2</v>
      </c>
      <c r="N463" s="2">
        <v>0.34738940000000001</v>
      </c>
      <c r="O463" s="4" t="s">
        <v>4006</v>
      </c>
      <c r="P463" s="1">
        <v>1.1599999999999999</v>
      </c>
      <c r="Q463" s="7" t="s">
        <v>4007</v>
      </c>
      <c r="R463" s="2">
        <v>0.65600000000000003</v>
      </c>
      <c r="S463" s="2">
        <f>72231/100000</f>
        <v>0.72231000000000001</v>
      </c>
      <c r="T463" s="2">
        <v>0.82137769999999999</v>
      </c>
    </row>
    <row r="464" spans="1:20">
      <c r="A464" s="3" t="s">
        <v>4008</v>
      </c>
      <c r="B464" s="1" t="s">
        <v>3960</v>
      </c>
      <c r="C464" s="3" t="s">
        <v>3961</v>
      </c>
      <c r="D464" s="3" t="s">
        <v>4009</v>
      </c>
      <c r="E464" s="3" t="s">
        <v>4010</v>
      </c>
      <c r="F464" s="3" t="s">
        <v>4002</v>
      </c>
      <c r="G464" s="3" t="s">
        <v>4003</v>
      </c>
      <c r="H464" s="11" t="s">
        <v>8056</v>
      </c>
      <c r="I464" s="3" t="s">
        <v>4011</v>
      </c>
      <c r="J464" s="7">
        <v>0.55000000000000004</v>
      </c>
      <c r="K464" s="1" t="s">
        <v>4012</v>
      </c>
      <c r="L464" s="2">
        <v>5.2499999999999998E-2</v>
      </c>
      <c r="M464" s="2">
        <f>5315/100000</f>
        <v>5.3150000000000003E-2</v>
      </c>
      <c r="N464" s="2">
        <v>0.25062570000000001</v>
      </c>
      <c r="O464" s="4" t="s">
        <v>4013</v>
      </c>
      <c r="P464" s="1">
        <v>1.1100000000000001</v>
      </c>
      <c r="Q464" s="7" t="s">
        <v>4014</v>
      </c>
      <c r="R464" s="2">
        <v>0.751</v>
      </c>
      <c r="S464" s="2">
        <f>86184/100000</f>
        <v>0.86184000000000005</v>
      </c>
      <c r="T464" s="2">
        <v>0.82929589999999997</v>
      </c>
    </row>
    <row r="465" spans="1:20">
      <c r="A465" s="3" t="s">
        <v>4015</v>
      </c>
      <c r="B465" s="1" t="s">
        <v>3960</v>
      </c>
      <c r="C465" s="3" t="s">
        <v>3961</v>
      </c>
      <c r="D465" s="3" t="s">
        <v>4016</v>
      </c>
      <c r="E465" s="3" t="s">
        <v>4017</v>
      </c>
      <c r="F465" s="3" t="s">
        <v>4018</v>
      </c>
      <c r="G465" s="3" t="s">
        <v>4019</v>
      </c>
      <c r="H465" s="11" t="s">
        <v>8056</v>
      </c>
      <c r="I465" s="3" t="s">
        <v>4020</v>
      </c>
      <c r="J465" s="7">
        <v>0.86</v>
      </c>
      <c r="K465" s="1" t="s">
        <v>2489</v>
      </c>
      <c r="L465" s="2">
        <v>0.66500000000000004</v>
      </c>
      <c r="M465" s="2">
        <f>74767/100000</f>
        <v>0.74766999999999995</v>
      </c>
      <c r="N465" s="2">
        <v>0.82672840000000003</v>
      </c>
      <c r="O465" s="4" t="s">
        <v>4021</v>
      </c>
      <c r="P465" s="1">
        <v>1.31</v>
      </c>
      <c r="Q465" s="7" t="s">
        <v>306</v>
      </c>
      <c r="R465" s="2">
        <v>0.35899999999999999</v>
      </c>
      <c r="S465" s="2">
        <f>41347/100000</f>
        <v>0.41347</v>
      </c>
      <c r="T465" s="2">
        <v>0.67240169999999999</v>
      </c>
    </row>
    <row r="466" spans="1:20">
      <c r="A466" s="3" t="s">
        <v>4022</v>
      </c>
      <c r="B466" s="1" t="s">
        <v>3960</v>
      </c>
      <c r="C466" s="3" t="s">
        <v>3961</v>
      </c>
      <c r="D466" s="3" t="s">
        <v>4023</v>
      </c>
      <c r="E466" s="3" t="s">
        <v>4024</v>
      </c>
      <c r="F466" s="3" t="s">
        <v>4018</v>
      </c>
      <c r="G466" s="3" t="s">
        <v>4019</v>
      </c>
      <c r="H466" s="11" t="s">
        <v>8056</v>
      </c>
      <c r="I466" s="3" t="s">
        <v>4025</v>
      </c>
      <c r="J466" s="7">
        <v>0.84</v>
      </c>
      <c r="K466" s="1" t="s">
        <v>4026</v>
      </c>
      <c r="L466" s="2">
        <v>0.54</v>
      </c>
      <c r="M466" s="2">
        <f>59450/100000</f>
        <v>0.59450000000000003</v>
      </c>
      <c r="N466" s="2">
        <v>0.77941959999999999</v>
      </c>
      <c r="O466" s="4" t="s">
        <v>4027</v>
      </c>
      <c r="P466" s="1">
        <v>1.36</v>
      </c>
      <c r="Q466" s="7" t="s">
        <v>4028</v>
      </c>
      <c r="R466" s="2">
        <v>0.16200000000000001</v>
      </c>
      <c r="S466" s="2">
        <f>16841/100000</f>
        <v>0.16841</v>
      </c>
      <c r="T466" s="2">
        <v>0.4540421</v>
      </c>
    </row>
    <row r="467" spans="1:20">
      <c r="A467" s="3" t="s">
        <v>4029</v>
      </c>
      <c r="B467" s="1" t="s">
        <v>3960</v>
      </c>
      <c r="C467" s="3" t="s">
        <v>3961</v>
      </c>
      <c r="D467" s="3" t="s">
        <v>4030</v>
      </c>
      <c r="E467" s="3" t="s">
        <v>4031</v>
      </c>
      <c r="F467" s="3" t="s">
        <v>3973</v>
      </c>
      <c r="G467" s="3" t="s">
        <v>3974</v>
      </c>
      <c r="H467" s="11" t="s">
        <v>8056</v>
      </c>
      <c r="I467" s="3" t="s">
        <v>4032</v>
      </c>
      <c r="J467" s="7">
        <v>0.55000000000000004</v>
      </c>
      <c r="K467" s="1" t="s">
        <v>4033</v>
      </c>
      <c r="L467" s="2">
        <v>0.12</v>
      </c>
      <c r="M467" s="2">
        <f>13457/100000</f>
        <v>0.13457</v>
      </c>
      <c r="N467" s="2">
        <v>0.40163670000000001</v>
      </c>
      <c r="O467" s="4" t="s">
        <v>4034</v>
      </c>
      <c r="P467" s="1">
        <v>1.1299999999999999</v>
      </c>
      <c r="Q467" s="7" t="s">
        <v>4035</v>
      </c>
      <c r="R467" s="2">
        <v>0.626</v>
      </c>
      <c r="S467" s="2">
        <f>68563/100000</f>
        <v>0.68562999999999996</v>
      </c>
      <c r="T467" s="2">
        <v>0.81339530000000004</v>
      </c>
    </row>
    <row r="468" spans="1:20">
      <c r="A468" s="3" t="s">
        <v>4036</v>
      </c>
      <c r="B468" s="1" t="s">
        <v>4037</v>
      </c>
      <c r="C468" s="3" t="s">
        <v>4038</v>
      </c>
      <c r="D468" s="3" t="s">
        <v>4039</v>
      </c>
      <c r="E468" s="3" t="s">
        <v>4040</v>
      </c>
      <c r="F468" s="3" t="s">
        <v>4041</v>
      </c>
      <c r="G468" s="3" t="s">
        <v>4042</v>
      </c>
      <c r="H468" s="11" t="s">
        <v>8245</v>
      </c>
      <c r="I468" s="3" t="s">
        <v>4043</v>
      </c>
      <c r="J468" s="7">
        <v>0.59</v>
      </c>
      <c r="K468" s="1" t="s">
        <v>4044</v>
      </c>
      <c r="L468" s="2">
        <v>1.45E-5</v>
      </c>
      <c r="M468" s="2" t="s">
        <v>500</v>
      </c>
      <c r="N468" s="2">
        <v>3.517123E-4</v>
      </c>
      <c r="O468" s="4" t="s">
        <v>4045</v>
      </c>
      <c r="P468" s="1">
        <v>1.1499999999999999</v>
      </c>
      <c r="Q468" s="7" t="s">
        <v>4046</v>
      </c>
      <c r="R468" s="2">
        <v>0.154</v>
      </c>
      <c r="S468" s="2">
        <f>15978/100000</f>
        <v>0.15978000000000001</v>
      </c>
      <c r="T468" s="2">
        <v>0.44219589999999998</v>
      </c>
    </row>
    <row r="469" spans="1:20">
      <c r="A469" s="3" t="s">
        <v>4047</v>
      </c>
      <c r="B469" s="1" t="s">
        <v>4037</v>
      </c>
      <c r="C469" s="3" t="s">
        <v>4038</v>
      </c>
      <c r="D469" s="3" t="s">
        <v>4048</v>
      </c>
      <c r="E469" s="3" t="s">
        <v>4049</v>
      </c>
      <c r="F469" s="3" t="s">
        <v>4050</v>
      </c>
      <c r="G469" s="3" t="s">
        <v>4051</v>
      </c>
      <c r="H469" s="11" t="s">
        <v>8245</v>
      </c>
      <c r="I469" s="3" t="s">
        <v>4052</v>
      </c>
      <c r="J469" s="7">
        <v>0.92</v>
      </c>
      <c r="K469" s="1" t="s">
        <v>4053</v>
      </c>
      <c r="L469" s="2">
        <v>0.48199999999999998</v>
      </c>
      <c r="M469" s="2">
        <f>48695/100000</f>
        <v>0.48694999999999999</v>
      </c>
      <c r="N469" s="2">
        <v>0.73078460000000001</v>
      </c>
      <c r="O469" s="4" t="s">
        <v>4054</v>
      </c>
      <c r="P469" s="1">
        <v>1.05</v>
      </c>
      <c r="Q469" s="7" t="s">
        <v>3395</v>
      </c>
      <c r="R469" s="2">
        <v>0.66700000000000004</v>
      </c>
      <c r="S469" s="2">
        <f>70009/100000</f>
        <v>0.70008999999999999</v>
      </c>
      <c r="T469" s="2">
        <v>0.81841989999999998</v>
      </c>
    </row>
    <row r="470" spans="1:20">
      <c r="A470" s="3" t="s">
        <v>4055</v>
      </c>
      <c r="B470" s="1" t="s">
        <v>4056</v>
      </c>
      <c r="C470" s="3" t="s">
        <v>4057</v>
      </c>
      <c r="D470" s="3" t="s">
        <v>4058</v>
      </c>
      <c r="E470" s="3" t="s">
        <v>4059</v>
      </c>
      <c r="F470" s="3" t="s">
        <v>4060</v>
      </c>
      <c r="G470" s="3" t="s">
        <v>4061</v>
      </c>
      <c r="H470" s="11" t="s">
        <v>8246</v>
      </c>
      <c r="I470" s="3" t="s">
        <v>4062</v>
      </c>
      <c r="J470" s="7">
        <v>0.99</v>
      </c>
      <c r="K470" s="1" t="s">
        <v>4063</v>
      </c>
      <c r="L470" s="2">
        <v>0.98299999999999998</v>
      </c>
      <c r="M470" s="2">
        <f>100000/100000</f>
        <v>1</v>
      </c>
      <c r="N470" s="2">
        <v>0.82929589999999997</v>
      </c>
      <c r="O470" s="4" t="s">
        <v>4064</v>
      </c>
      <c r="P470" s="1">
        <v>1.1000000000000001</v>
      </c>
      <c r="Q470" s="7" t="s">
        <v>4065</v>
      </c>
      <c r="R470" s="2">
        <v>0.72199999999999998</v>
      </c>
      <c r="S470" s="2">
        <f>77825/100000</f>
        <v>0.77825</v>
      </c>
      <c r="T470" s="2">
        <v>0.82929589999999997</v>
      </c>
    </row>
    <row r="471" spans="1:20">
      <c r="A471" s="3" t="s">
        <v>4066</v>
      </c>
      <c r="B471" s="1" t="s">
        <v>4056</v>
      </c>
      <c r="C471" s="3" t="s">
        <v>4057</v>
      </c>
      <c r="D471" s="3" t="s">
        <v>4067</v>
      </c>
      <c r="E471" s="3" t="s">
        <v>4068</v>
      </c>
      <c r="F471" s="3" t="s">
        <v>4069</v>
      </c>
      <c r="G471" s="3" t="s">
        <v>4070</v>
      </c>
      <c r="H471" s="11" t="s">
        <v>8246</v>
      </c>
      <c r="I471" s="3" t="s">
        <v>4071</v>
      </c>
      <c r="J471" s="7">
        <v>1.04</v>
      </c>
      <c r="K471" s="1" t="s">
        <v>3551</v>
      </c>
      <c r="L471" s="2">
        <v>0.92100000000000004</v>
      </c>
      <c r="M471" s="2">
        <f>100000/100000</f>
        <v>1</v>
      </c>
      <c r="N471" s="2">
        <v>0.82929589999999997</v>
      </c>
      <c r="O471" s="4" t="s">
        <v>4072</v>
      </c>
      <c r="P471" s="1">
        <v>0.81</v>
      </c>
      <c r="Q471" s="7" t="s">
        <v>4073</v>
      </c>
      <c r="R471" s="2">
        <v>0.61099999999999999</v>
      </c>
      <c r="S471" s="2">
        <f>70498/100000</f>
        <v>0.70498000000000005</v>
      </c>
      <c r="T471" s="2">
        <v>0.82137769999999999</v>
      </c>
    </row>
    <row r="472" spans="1:20">
      <c r="A472" s="3" t="s">
        <v>4074</v>
      </c>
      <c r="B472" s="1" t="s">
        <v>4056</v>
      </c>
      <c r="C472" s="3" t="s">
        <v>4057</v>
      </c>
      <c r="D472" s="3" t="s">
        <v>4075</v>
      </c>
      <c r="E472" s="3" t="s">
        <v>4076</v>
      </c>
      <c r="F472" s="3" t="s">
        <v>4077</v>
      </c>
      <c r="G472" s="3" t="s">
        <v>4078</v>
      </c>
      <c r="H472" s="14" t="s">
        <v>8246</v>
      </c>
      <c r="I472" s="3" t="s">
        <v>4079</v>
      </c>
      <c r="J472" s="7">
        <v>0.84</v>
      </c>
      <c r="K472" s="1" t="s">
        <v>4080</v>
      </c>
      <c r="L472" s="2">
        <v>0.74</v>
      </c>
      <c r="M472" s="2">
        <f>81906/100000</f>
        <v>0.81906000000000001</v>
      </c>
      <c r="N472" s="2">
        <v>0.82929589999999997</v>
      </c>
      <c r="O472" s="4" t="s">
        <v>4081</v>
      </c>
      <c r="P472" s="1">
        <v>0.83</v>
      </c>
      <c r="Q472" s="7" t="s">
        <v>4082</v>
      </c>
      <c r="R472" s="2">
        <v>0.69399999999999995</v>
      </c>
      <c r="S472" s="2">
        <f>83281/100000</f>
        <v>0.83281000000000005</v>
      </c>
      <c r="T472" s="2">
        <v>0.82929589999999997</v>
      </c>
    </row>
    <row r="473" spans="1:20">
      <c r="A473" s="3" t="s">
        <v>4083</v>
      </c>
      <c r="B473" s="1" t="s">
        <v>4084</v>
      </c>
      <c r="C473" s="3" t="s">
        <v>4085</v>
      </c>
      <c r="D473" s="3" t="s">
        <v>4086</v>
      </c>
      <c r="E473" s="3" t="s">
        <v>4087</v>
      </c>
      <c r="F473" s="3" t="s">
        <v>4088</v>
      </c>
      <c r="G473" s="3" t="s">
        <v>4089</v>
      </c>
      <c r="H473" s="14" t="s">
        <v>8114</v>
      </c>
      <c r="I473" s="3" t="s">
        <v>4090</v>
      </c>
      <c r="J473" s="7">
        <v>0.9</v>
      </c>
      <c r="K473" s="1" t="s">
        <v>4091</v>
      </c>
      <c r="L473" s="2">
        <v>0.7</v>
      </c>
      <c r="M473" s="2">
        <f>79418/100000</f>
        <v>0.79418</v>
      </c>
      <c r="N473" s="2">
        <v>0.82929589999999997</v>
      </c>
      <c r="O473" s="4" t="s">
        <v>4092</v>
      </c>
      <c r="P473" s="1">
        <v>1.23</v>
      </c>
      <c r="Q473" s="7" t="s">
        <v>4093</v>
      </c>
      <c r="R473" s="2">
        <v>0.41699999999999998</v>
      </c>
      <c r="S473" s="2">
        <f>48648/100000</f>
        <v>0.48648000000000002</v>
      </c>
      <c r="T473" s="2">
        <v>0.73078460000000001</v>
      </c>
    </row>
    <row r="474" spans="1:20">
      <c r="A474" s="3" t="s">
        <v>4094</v>
      </c>
      <c r="B474" s="1" t="s">
        <v>4084</v>
      </c>
      <c r="C474" s="3" t="s">
        <v>4085</v>
      </c>
      <c r="D474" s="3" t="s">
        <v>4095</v>
      </c>
      <c r="E474" s="3" t="s">
        <v>4096</v>
      </c>
      <c r="F474" s="3" t="s">
        <v>4097</v>
      </c>
      <c r="G474" s="3" t="s">
        <v>4098</v>
      </c>
      <c r="H474" s="14" t="s">
        <v>8114</v>
      </c>
      <c r="I474" s="3" t="s">
        <v>4099</v>
      </c>
      <c r="J474" s="7">
        <v>0.89</v>
      </c>
      <c r="K474" s="1" t="s">
        <v>4100</v>
      </c>
      <c r="L474" s="2">
        <v>0.621</v>
      </c>
      <c r="M474" s="2">
        <f>64514/100000</f>
        <v>0.64514000000000005</v>
      </c>
      <c r="N474" s="2">
        <v>0.7996318</v>
      </c>
      <c r="O474" s="4" t="s">
        <v>4101</v>
      </c>
      <c r="P474" s="1">
        <v>0.92</v>
      </c>
      <c r="Q474" s="7" t="s">
        <v>4102</v>
      </c>
      <c r="R474" s="2">
        <v>0.72599999999999998</v>
      </c>
      <c r="S474" s="2">
        <f>73482/100000</f>
        <v>0.73482000000000003</v>
      </c>
      <c r="T474" s="2">
        <v>0.82137769999999999</v>
      </c>
    </row>
    <row r="475" spans="1:20">
      <c r="A475" s="3" t="s">
        <v>4103</v>
      </c>
      <c r="B475" s="1" t="s">
        <v>4084</v>
      </c>
      <c r="C475" s="3" t="s">
        <v>4085</v>
      </c>
      <c r="D475" s="3" t="s">
        <v>4104</v>
      </c>
      <c r="E475" s="3" t="s">
        <v>4105</v>
      </c>
      <c r="F475" s="3" t="s">
        <v>4106</v>
      </c>
      <c r="G475" s="3" t="s">
        <v>4107</v>
      </c>
      <c r="H475" s="11" t="s">
        <v>8114</v>
      </c>
      <c r="I475" s="3" t="s">
        <v>4108</v>
      </c>
      <c r="J475" s="7">
        <v>1.27</v>
      </c>
      <c r="K475" s="1" t="s">
        <v>4109</v>
      </c>
      <c r="L475" s="2">
        <v>0.26200000000000001</v>
      </c>
      <c r="M475" s="2">
        <f>28444/100000</f>
        <v>0.28444000000000003</v>
      </c>
      <c r="N475" s="2">
        <v>0.57234689999999999</v>
      </c>
      <c r="O475" s="4" t="s">
        <v>4110</v>
      </c>
      <c r="P475" s="1">
        <v>1.23</v>
      </c>
      <c r="Q475" s="7" t="s">
        <v>4111</v>
      </c>
      <c r="R475" s="2">
        <v>0.28899999999999998</v>
      </c>
      <c r="S475" s="2">
        <f>29344/100000</f>
        <v>0.29343999999999998</v>
      </c>
      <c r="T475" s="2">
        <v>0.57823020000000003</v>
      </c>
    </row>
    <row r="476" spans="1:20">
      <c r="A476" s="3" t="s">
        <v>4112</v>
      </c>
      <c r="B476" s="1" t="s">
        <v>4084</v>
      </c>
      <c r="C476" s="3" t="s">
        <v>4085</v>
      </c>
      <c r="D476" s="3" t="s">
        <v>4113</v>
      </c>
      <c r="E476" s="3" t="s">
        <v>4114</v>
      </c>
      <c r="F476" s="3" t="s">
        <v>4115</v>
      </c>
      <c r="G476" s="3" t="s">
        <v>4116</v>
      </c>
      <c r="H476" s="11" t="s">
        <v>8114</v>
      </c>
      <c r="I476" s="3" t="s">
        <v>4117</v>
      </c>
      <c r="J476" s="7">
        <v>1.36</v>
      </c>
      <c r="K476" s="1" t="s">
        <v>4118</v>
      </c>
      <c r="L476" s="2">
        <v>9.0899999999999995E-2</v>
      </c>
      <c r="M476" s="2">
        <f>10105/100000</f>
        <v>0.10105</v>
      </c>
      <c r="N476" s="2">
        <v>0.35767929999999998</v>
      </c>
      <c r="O476" s="4" t="s">
        <v>4119</v>
      </c>
      <c r="P476" s="1">
        <v>1.6</v>
      </c>
      <c r="Q476" s="7" t="s">
        <v>4120</v>
      </c>
      <c r="R476" s="2">
        <v>8.2400000000000008E-3</v>
      </c>
      <c r="S476" s="2">
        <f>943/100000</f>
        <v>9.4299999999999991E-3</v>
      </c>
      <c r="T476" s="2">
        <v>8.3776900000000001E-2</v>
      </c>
    </row>
    <row r="477" spans="1:20">
      <c r="A477" s="3" t="s">
        <v>4121</v>
      </c>
      <c r="B477" s="1" t="s">
        <v>4122</v>
      </c>
      <c r="C477" s="3" t="s">
        <v>4123</v>
      </c>
      <c r="D477" s="3" t="s">
        <v>4124</v>
      </c>
      <c r="E477" s="3" t="s">
        <v>4125</v>
      </c>
      <c r="F477" s="3" t="s">
        <v>4126</v>
      </c>
      <c r="G477" s="3" t="s">
        <v>4127</v>
      </c>
      <c r="H477" s="11" t="s">
        <v>8158</v>
      </c>
      <c r="I477" s="3" t="s">
        <v>4128</v>
      </c>
      <c r="J477" s="7">
        <v>1.1499999999999999</v>
      </c>
      <c r="K477" s="1" t="s">
        <v>4129</v>
      </c>
      <c r="L477" s="2">
        <v>0.36199999999999999</v>
      </c>
      <c r="M477" s="2">
        <f>37320/100000</f>
        <v>0.37319999999999998</v>
      </c>
      <c r="N477" s="2">
        <v>0.64881420000000001</v>
      </c>
      <c r="O477" s="4" t="s">
        <v>4130</v>
      </c>
      <c r="P477" s="1">
        <v>0.99</v>
      </c>
      <c r="Q477" s="7" t="s">
        <v>4131</v>
      </c>
      <c r="R477" s="2">
        <v>0.98</v>
      </c>
      <c r="S477" s="2">
        <f>100000/100000</f>
        <v>1</v>
      </c>
      <c r="T477" s="2">
        <v>0.82929589999999997</v>
      </c>
    </row>
    <row r="478" spans="1:20">
      <c r="A478" s="3" t="s">
        <v>4132</v>
      </c>
      <c r="B478" s="1" t="s">
        <v>4133</v>
      </c>
      <c r="C478" s="3" t="s">
        <v>4134</v>
      </c>
      <c r="D478" s="3" t="s">
        <v>4135</v>
      </c>
      <c r="E478" s="5" t="s">
        <v>4136</v>
      </c>
      <c r="F478" s="3" t="s">
        <v>4137</v>
      </c>
      <c r="G478" s="5" t="s">
        <v>4138</v>
      </c>
      <c r="H478" s="11" t="s">
        <v>8247</v>
      </c>
      <c r="I478" s="3" t="s">
        <v>4139</v>
      </c>
      <c r="J478" s="7">
        <v>0.99</v>
      </c>
      <c r="K478" s="1" t="s">
        <v>4140</v>
      </c>
      <c r="L478" s="2">
        <v>0.97499999999999998</v>
      </c>
      <c r="M478" s="2">
        <f>100000/100000</f>
        <v>1</v>
      </c>
      <c r="N478" s="2">
        <v>0.82929589999999997</v>
      </c>
      <c r="O478" s="4" t="s">
        <v>4141</v>
      </c>
      <c r="P478" s="1">
        <v>0.82</v>
      </c>
      <c r="Q478" s="7" t="s">
        <v>4142</v>
      </c>
      <c r="R478" s="2">
        <v>0.46600000000000003</v>
      </c>
      <c r="S478" s="2">
        <f>53825/100000</f>
        <v>0.53825000000000001</v>
      </c>
      <c r="T478" s="2">
        <v>0.74478149999999999</v>
      </c>
    </row>
    <row r="479" spans="1:20">
      <c r="A479" s="3" t="s">
        <v>4143</v>
      </c>
      <c r="B479" s="1" t="s">
        <v>4133</v>
      </c>
      <c r="C479" s="3" t="s">
        <v>4134</v>
      </c>
      <c r="D479" s="3" t="s">
        <v>4144</v>
      </c>
      <c r="E479" s="5" t="s">
        <v>4145</v>
      </c>
      <c r="F479" s="3" t="s">
        <v>4137</v>
      </c>
      <c r="G479" s="5" t="s">
        <v>4138</v>
      </c>
      <c r="H479" s="11" t="s">
        <v>8159</v>
      </c>
      <c r="I479" s="3" t="s">
        <v>4146</v>
      </c>
      <c r="J479" s="7">
        <v>0.8</v>
      </c>
      <c r="K479" s="1" t="s">
        <v>4147</v>
      </c>
      <c r="L479" s="2">
        <v>0.27700000000000002</v>
      </c>
      <c r="M479" s="2">
        <f>30058/100000</f>
        <v>0.30058000000000001</v>
      </c>
      <c r="N479" s="2">
        <v>0.58724730000000003</v>
      </c>
      <c r="O479" s="4" t="s">
        <v>4148</v>
      </c>
      <c r="P479" s="1">
        <v>1.2</v>
      </c>
      <c r="Q479" s="7" t="s">
        <v>4149</v>
      </c>
      <c r="R479" s="2">
        <v>0.29599999999999999</v>
      </c>
      <c r="S479" s="2">
        <f>30758/100000</f>
        <v>0.30758000000000002</v>
      </c>
      <c r="T479" s="2">
        <v>0.59547439999999996</v>
      </c>
    </row>
    <row r="480" spans="1:20">
      <c r="A480" s="3" t="s">
        <v>4150</v>
      </c>
      <c r="B480" s="1" t="s">
        <v>4133</v>
      </c>
      <c r="C480" s="3" t="s">
        <v>4134</v>
      </c>
      <c r="D480" s="3" t="s">
        <v>4151</v>
      </c>
      <c r="E480" s="5" t="s">
        <v>4152</v>
      </c>
      <c r="F480" s="3" t="s">
        <v>4137</v>
      </c>
      <c r="G480" s="5" t="s">
        <v>4138</v>
      </c>
      <c r="H480" s="11" t="s">
        <v>8248</v>
      </c>
      <c r="I480" s="3" t="s">
        <v>4153</v>
      </c>
      <c r="J480" s="7">
        <v>0.61</v>
      </c>
      <c r="K480" s="1" t="s">
        <v>4154</v>
      </c>
      <c r="L480" s="2">
        <v>2.4199999999999998E-3</v>
      </c>
      <c r="M480" s="2">
        <f>316/100000</f>
        <v>3.16E-3</v>
      </c>
      <c r="N480" s="2">
        <v>3.8270279999999997E-2</v>
      </c>
      <c r="O480" s="4" t="s">
        <v>4155</v>
      </c>
      <c r="P480" s="1">
        <v>1.06</v>
      </c>
      <c r="Q480" s="7" t="s">
        <v>4156</v>
      </c>
      <c r="R480" s="2">
        <v>0.71199999999999997</v>
      </c>
      <c r="S480" s="2">
        <f>74761/100000</f>
        <v>0.74761</v>
      </c>
      <c r="T480" s="2">
        <v>0.82672840000000003</v>
      </c>
    </row>
    <row r="481" spans="1:20">
      <c r="A481" s="3" t="s">
        <v>4157</v>
      </c>
      <c r="B481" s="1" t="s">
        <v>4133</v>
      </c>
      <c r="C481" s="3" t="s">
        <v>4134</v>
      </c>
      <c r="D481" s="3" t="s">
        <v>4158</v>
      </c>
      <c r="E481" s="5" t="s">
        <v>4159</v>
      </c>
      <c r="F481" s="3" t="s">
        <v>4137</v>
      </c>
      <c r="G481" s="5" t="s">
        <v>4138</v>
      </c>
      <c r="H481" s="11" t="s">
        <v>8051</v>
      </c>
      <c r="I481" s="3" t="s">
        <v>4160</v>
      </c>
      <c r="J481" s="7">
        <v>0.38</v>
      </c>
      <c r="K481" s="1" t="s">
        <v>4161</v>
      </c>
      <c r="L481" s="2">
        <v>1.46E-2</v>
      </c>
      <c r="M481" s="2">
        <f>1435/100000</f>
        <v>1.435E-2</v>
      </c>
      <c r="N481" s="2">
        <v>0.111027</v>
      </c>
      <c r="O481" s="4" t="s">
        <v>4162</v>
      </c>
      <c r="P481" s="1">
        <v>1.43</v>
      </c>
      <c r="Q481" s="7" t="s">
        <v>4163</v>
      </c>
      <c r="R481" s="2">
        <v>0.11</v>
      </c>
      <c r="S481" s="2">
        <f>11388/100000</f>
        <v>0.11388</v>
      </c>
      <c r="T481" s="2">
        <v>0.37913859999999999</v>
      </c>
    </row>
    <row r="482" spans="1:20">
      <c r="A482" s="3" t="s">
        <v>4164</v>
      </c>
      <c r="B482" s="1" t="s">
        <v>4165</v>
      </c>
      <c r="C482" s="3" t="s">
        <v>4166</v>
      </c>
      <c r="D482" s="3" t="s">
        <v>4167</v>
      </c>
      <c r="E482" s="3" t="s">
        <v>4168</v>
      </c>
      <c r="F482" s="3" t="s">
        <v>4169</v>
      </c>
      <c r="G482" s="3" t="s">
        <v>4170</v>
      </c>
      <c r="H482" s="11" t="s">
        <v>8150</v>
      </c>
      <c r="I482" s="3" t="s">
        <v>4171</v>
      </c>
      <c r="J482" s="7">
        <v>1.07</v>
      </c>
      <c r="K482" s="1" t="s">
        <v>4172</v>
      </c>
      <c r="L482" s="2">
        <v>0.71799999999999997</v>
      </c>
      <c r="M482" s="2">
        <f>76898/100000</f>
        <v>0.76898</v>
      </c>
      <c r="N482" s="2">
        <v>0.82929589999999997</v>
      </c>
      <c r="O482" s="4" t="s">
        <v>4173</v>
      </c>
      <c r="P482" s="1">
        <v>1.33</v>
      </c>
      <c r="Q482" s="7" t="s">
        <v>4174</v>
      </c>
      <c r="R482" s="2">
        <v>0.13200000000000001</v>
      </c>
      <c r="S482" s="2">
        <f>13388/100000</f>
        <v>0.13388</v>
      </c>
      <c r="T482" s="2">
        <v>0.40098479999999997</v>
      </c>
    </row>
    <row r="483" spans="1:20">
      <c r="A483" s="3" t="s">
        <v>4175</v>
      </c>
      <c r="B483" s="1" t="s">
        <v>4176</v>
      </c>
      <c r="C483" s="3" t="s">
        <v>4177</v>
      </c>
      <c r="D483" s="3" t="s">
        <v>4178</v>
      </c>
      <c r="E483" s="3" t="s">
        <v>4179</v>
      </c>
      <c r="F483" s="3" t="s">
        <v>4180</v>
      </c>
      <c r="G483" s="3" t="s">
        <v>4181</v>
      </c>
      <c r="H483" s="11" t="s">
        <v>8249</v>
      </c>
      <c r="I483" s="3" t="s">
        <v>4182</v>
      </c>
      <c r="J483" s="7">
        <v>0.98</v>
      </c>
      <c r="K483" s="1" t="s">
        <v>4183</v>
      </c>
      <c r="L483" s="2">
        <v>0.95</v>
      </c>
      <c r="M483" s="2">
        <f>100000/100000</f>
        <v>1</v>
      </c>
      <c r="N483" s="2">
        <v>0.82929589999999997</v>
      </c>
      <c r="O483" s="4" t="s">
        <v>4184</v>
      </c>
      <c r="P483" s="1">
        <v>1.2</v>
      </c>
      <c r="Q483" s="7" t="s">
        <v>4185</v>
      </c>
      <c r="R483" s="2">
        <v>0.47899999999999998</v>
      </c>
      <c r="S483" s="2">
        <f>49005/100000</f>
        <v>0.49004999999999999</v>
      </c>
      <c r="T483" s="2">
        <v>0.73186450000000003</v>
      </c>
    </row>
    <row r="484" spans="1:20">
      <c r="A484" s="3" t="s">
        <v>4186</v>
      </c>
      <c r="B484" s="1" t="s">
        <v>4187</v>
      </c>
      <c r="C484" s="3" t="s">
        <v>4188</v>
      </c>
      <c r="D484" s="3" t="s">
        <v>4189</v>
      </c>
      <c r="E484" s="3" t="s">
        <v>4190</v>
      </c>
      <c r="F484" s="3" t="s">
        <v>4191</v>
      </c>
      <c r="G484" s="3" t="s">
        <v>4192</v>
      </c>
      <c r="H484" s="11" t="s">
        <v>8250</v>
      </c>
      <c r="I484" s="3" t="s">
        <v>4193</v>
      </c>
      <c r="J484" s="7">
        <v>0.78</v>
      </c>
      <c r="K484" s="1" t="s">
        <v>4194</v>
      </c>
      <c r="L484" s="2">
        <v>0.52600000000000002</v>
      </c>
      <c r="M484" s="2">
        <f>60283/100000</f>
        <v>0.60282999999999998</v>
      </c>
      <c r="N484" s="2">
        <v>0.78509249999999997</v>
      </c>
      <c r="O484" s="4" t="s">
        <v>4195</v>
      </c>
      <c r="P484" s="1">
        <v>0.91</v>
      </c>
      <c r="Q484" s="7" t="s">
        <v>4196</v>
      </c>
      <c r="R484" s="2">
        <v>0.81499999999999995</v>
      </c>
      <c r="S484" s="2">
        <f>84697/100000</f>
        <v>0.84697</v>
      </c>
      <c r="T484" s="2">
        <v>0.82929589999999997</v>
      </c>
    </row>
    <row r="485" spans="1:20">
      <c r="A485" s="3" t="s">
        <v>4197</v>
      </c>
      <c r="B485" s="1" t="s">
        <v>4198</v>
      </c>
      <c r="C485" s="3" t="s">
        <v>4199</v>
      </c>
      <c r="D485" s="3" t="s">
        <v>4200</v>
      </c>
      <c r="E485" s="3" t="s">
        <v>4201</v>
      </c>
      <c r="F485" s="3" t="s">
        <v>4202</v>
      </c>
      <c r="G485" s="3" t="s">
        <v>4203</v>
      </c>
      <c r="H485" s="11" t="s">
        <v>8251</v>
      </c>
      <c r="I485" s="3" t="s">
        <v>4204</v>
      </c>
      <c r="J485" s="7">
        <v>0.71</v>
      </c>
      <c r="K485" s="1" t="s">
        <v>4205</v>
      </c>
      <c r="L485" s="2">
        <v>0.26300000000000001</v>
      </c>
      <c r="M485" s="2">
        <f>28912/100000</f>
        <v>0.28911999999999999</v>
      </c>
      <c r="N485" s="2">
        <v>0.57823020000000003</v>
      </c>
      <c r="O485" s="4" t="s">
        <v>4206</v>
      </c>
      <c r="P485" s="1">
        <v>0.73</v>
      </c>
      <c r="Q485" s="7" t="s">
        <v>4207</v>
      </c>
      <c r="R485" s="2">
        <v>0.21299999999999999</v>
      </c>
      <c r="S485" s="2">
        <f>22927/100000</f>
        <v>0.22927</v>
      </c>
      <c r="T485" s="2">
        <v>0.52684359999999997</v>
      </c>
    </row>
    <row r="486" spans="1:20">
      <c r="A486" s="3" t="s">
        <v>4208</v>
      </c>
      <c r="B486" s="1" t="s">
        <v>4209</v>
      </c>
      <c r="C486" s="3" t="s">
        <v>4210</v>
      </c>
      <c r="D486" s="3" t="s">
        <v>4211</v>
      </c>
      <c r="E486" s="3" t="s">
        <v>4212</v>
      </c>
      <c r="F486" s="3" t="s">
        <v>4213</v>
      </c>
      <c r="G486" s="3" t="s">
        <v>4214</v>
      </c>
      <c r="H486" s="11" t="s">
        <v>8252</v>
      </c>
      <c r="I486" s="3" t="s">
        <v>4215</v>
      </c>
      <c r="J486" s="7">
        <v>1.28</v>
      </c>
      <c r="K486" s="1" t="s">
        <v>4216</v>
      </c>
      <c r="L486" s="2">
        <v>8.4699999999999998E-2</v>
      </c>
      <c r="M486" s="2">
        <f>8677/100000</f>
        <v>8.677E-2</v>
      </c>
      <c r="N486" s="2">
        <v>0.33527620000000002</v>
      </c>
      <c r="O486" s="4" t="s">
        <v>4217</v>
      </c>
      <c r="P486" s="1">
        <v>1.21</v>
      </c>
      <c r="Q486" s="7" t="s">
        <v>4218</v>
      </c>
      <c r="R486" s="2">
        <v>0.29699999999999999</v>
      </c>
      <c r="S486" s="2">
        <f>32098/100000</f>
        <v>0.32097999999999999</v>
      </c>
      <c r="T486" s="2">
        <v>0.60689800000000005</v>
      </c>
    </row>
    <row r="487" spans="1:20">
      <c r="A487" s="3" t="s">
        <v>4219</v>
      </c>
      <c r="B487" s="1" t="s">
        <v>4220</v>
      </c>
      <c r="C487" s="3" t="s">
        <v>4221</v>
      </c>
      <c r="D487" s="3" t="s">
        <v>4222</v>
      </c>
      <c r="E487" s="3" t="s">
        <v>4223</v>
      </c>
      <c r="F487" s="3" t="s">
        <v>4224</v>
      </c>
      <c r="G487" s="3" t="s">
        <v>4225</v>
      </c>
      <c r="H487" s="11" t="s">
        <v>8121</v>
      </c>
      <c r="I487" s="3" t="s">
        <v>4226</v>
      </c>
      <c r="J487" s="7">
        <v>1.22</v>
      </c>
      <c r="K487" s="1" t="s">
        <v>4227</v>
      </c>
      <c r="L487" s="2">
        <v>0.44</v>
      </c>
      <c r="M487" s="2">
        <f>48949/100000</f>
        <v>0.48948999999999998</v>
      </c>
      <c r="N487" s="2">
        <v>0.73186450000000003</v>
      </c>
      <c r="O487" s="4" t="s">
        <v>4228</v>
      </c>
      <c r="P487" s="1">
        <v>1.21</v>
      </c>
      <c r="Q487" s="7" t="s">
        <v>4229</v>
      </c>
      <c r="R487" s="2">
        <v>0.48</v>
      </c>
      <c r="S487" s="2">
        <f>55290/100000</f>
        <v>0.55289999999999995</v>
      </c>
      <c r="T487" s="2">
        <v>0.75402420000000003</v>
      </c>
    </row>
    <row r="488" spans="1:20">
      <c r="A488" s="3" t="s">
        <v>4230</v>
      </c>
      <c r="B488" s="1" t="s">
        <v>4231</v>
      </c>
      <c r="C488" s="3" t="s">
        <v>4232</v>
      </c>
      <c r="D488" s="3" t="s">
        <v>4233</v>
      </c>
      <c r="E488" s="3" t="s">
        <v>2850</v>
      </c>
      <c r="F488" s="3" t="s">
        <v>4234</v>
      </c>
      <c r="G488" s="3" t="s">
        <v>4235</v>
      </c>
      <c r="H488" s="11" t="s">
        <v>8253</v>
      </c>
      <c r="I488" s="3" t="s">
        <v>4236</v>
      </c>
      <c r="J488" s="7">
        <v>1.47</v>
      </c>
      <c r="K488" s="1" t="s">
        <v>4237</v>
      </c>
      <c r="L488" s="2">
        <v>0.46300000000000002</v>
      </c>
      <c r="M488" s="2">
        <f>52741/100000</f>
        <v>0.52741000000000005</v>
      </c>
      <c r="N488" s="2">
        <v>0.74478149999999999</v>
      </c>
      <c r="O488" s="4" t="s">
        <v>4238</v>
      </c>
      <c r="P488" s="1">
        <v>0.78</v>
      </c>
      <c r="Q488" s="7" t="s">
        <v>4239</v>
      </c>
      <c r="R488" s="2">
        <v>0.67</v>
      </c>
      <c r="S488" s="2">
        <f>79833/100000</f>
        <v>0.79832999999999998</v>
      </c>
      <c r="T488" s="2">
        <v>0.82929589999999997</v>
      </c>
    </row>
    <row r="489" spans="1:20">
      <c r="A489" s="3" t="s">
        <v>4240</v>
      </c>
      <c r="B489" s="1" t="s">
        <v>4231</v>
      </c>
      <c r="C489" s="3" t="s">
        <v>4232</v>
      </c>
      <c r="D489" s="3" t="s">
        <v>4241</v>
      </c>
      <c r="E489" s="3" t="s">
        <v>4242</v>
      </c>
      <c r="F489" s="3" t="s">
        <v>4233</v>
      </c>
      <c r="G489" s="3" t="s">
        <v>2850</v>
      </c>
      <c r="H489" s="11" t="s">
        <v>8116</v>
      </c>
      <c r="I489" s="3" t="s">
        <v>4243</v>
      </c>
      <c r="J489" s="7">
        <v>0.51</v>
      </c>
      <c r="K489" s="1" t="s">
        <v>4244</v>
      </c>
      <c r="L489" s="2">
        <v>0.33700000000000002</v>
      </c>
      <c r="M489" s="2">
        <f>43517/100000</f>
        <v>0.43517</v>
      </c>
      <c r="N489" s="2">
        <v>0.68730000000000002</v>
      </c>
      <c r="O489" s="4" t="s">
        <v>4245</v>
      </c>
      <c r="P489" s="1">
        <v>2.1</v>
      </c>
      <c r="Q489" s="7" t="s">
        <v>4246</v>
      </c>
      <c r="R489" s="2">
        <v>3.56E-2</v>
      </c>
      <c r="S489" s="2">
        <f>4773/100000</f>
        <v>4.7730000000000002E-2</v>
      </c>
      <c r="T489" s="2">
        <v>0.2355187</v>
      </c>
    </row>
    <row r="490" spans="1:20">
      <c r="A490" s="3" t="s">
        <v>4247</v>
      </c>
      <c r="B490" s="1" t="s">
        <v>4231</v>
      </c>
      <c r="C490" s="3" t="s">
        <v>4232</v>
      </c>
      <c r="D490" s="3" t="s">
        <v>4248</v>
      </c>
      <c r="E490" s="3" t="s">
        <v>4249</v>
      </c>
      <c r="F490" s="3" t="s">
        <v>4233</v>
      </c>
      <c r="G490" s="3" t="s">
        <v>2850</v>
      </c>
      <c r="H490" s="11" t="s">
        <v>8116</v>
      </c>
      <c r="I490" s="3" t="s">
        <v>4250</v>
      </c>
      <c r="J490" s="7">
        <v>1.37</v>
      </c>
      <c r="K490" s="1" t="s">
        <v>4251</v>
      </c>
      <c r="L490" s="2">
        <v>0.46400000000000002</v>
      </c>
      <c r="M490" s="2">
        <f>62556/100000</f>
        <v>0.62556</v>
      </c>
      <c r="N490" s="2">
        <v>0.79869500000000004</v>
      </c>
      <c r="O490" s="4" t="s">
        <v>4252</v>
      </c>
      <c r="P490" s="1">
        <v>1.06</v>
      </c>
      <c r="Q490" s="7" t="s">
        <v>4253</v>
      </c>
      <c r="R490" s="2">
        <v>0.89600000000000002</v>
      </c>
      <c r="S490" s="2">
        <f>100000/100000</f>
        <v>1</v>
      </c>
      <c r="T490" s="2">
        <v>0.82929589999999997</v>
      </c>
    </row>
    <row r="491" spans="1:20">
      <c r="A491" s="3" t="s">
        <v>4254</v>
      </c>
      <c r="B491" s="1" t="s">
        <v>4255</v>
      </c>
      <c r="C491" s="3" t="s">
        <v>4256</v>
      </c>
      <c r="D491" s="3" t="s">
        <v>4257</v>
      </c>
      <c r="E491" s="3" t="s">
        <v>4258</v>
      </c>
      <c r="F491" s="3" t="s">
        <v>4259</v>
      </c>
      <c r="G491" s="3" t="s">
        <v>4260</v>
      </c>
      <c r="H491" s="11" t="s">
        <v>8117</v>
      </c>
      <c r="I491" s="3" t="s">
        <v>4261</v>
      </c>
      <c r="J491" s="7">
        <v>1.41</v>
      </c>
      <c r="K491" s="1" t="s">
        <v>4262</v>
      </c>
      <c r="L491" s="2">
        <v>3.4799999999999998E-2</v>
      </c>
      <c r="M491" s="2">
        <f>4067/100000</f>
        <v>4.0669999999999998E-2</v>
      </c>
      <c r="N491" s="2">
        <v>0.21413370000000001</v>
      </c>
      <c r="O491" s="4" t="s">
        <v>4263</v>
      </c>
      <c r="P491" s="1">
        <v>0.8</v>
      </c>
      <c r="Q491" s="7" t="s">
        <v>4264</v>
      </c>
      <c r="R491" s="2">
        <v>0.22900000000000001</v>
      </c>
      <c r="S491" s="2">
        <f>24004/100000</f>
        <v>0.24004</v>
      </c>
      <c r="T491" s="2">
        <v>0.54005259999999999</v>
      </c>
    </row>
    <row r="492" spans="1:20">
      <c r="A492" s="3" t="s">
        <v>4265</v>
      </c>
      <c r="B492" s="1" t="s">
        <v>4255</v>
      </c>
      <c r="C492" s="3" t="s">
        <v>4256</v>
      </c>
      <c r="D492" s="3" t="s">
        <v>4266</v>
      </c>
      <c r="E492" s="3" t="s">
        <v>4267</v>
      </c>
      <c r="F492" s="3" t="s">
        <v>4268</v>
      </c>
      <c r="G492" s="3" t="s">
        <v>4269</v>
      </c>
      <c r="H492" s="11" t="s">
        <v>8117</v>
      </c>
      <c r="I492" s="3" t="s">
        <v>4270</v>
      </c>
      <c r="J492" s="7">
        <v>1.31</v>
      </c>
      <c r="K492" s="1" t="s">
        <v>4271</v>
      </c>
      <c r="L492" s="2">
        <v>6.94E-3</v>
      </c>
      <c r="M492" s="2">
        <f>688/100000</f>
        <v>6.8799999999999998E-3</v>
      </c>
      <c r="N492" s="2">
        <v>6.7396880000000006E-2</v>
      </c>
      <c r="O492" s="4" t="s">
        <v>4272</v>
      </c>
      <c r="P492" s="1">
        <v>0.61</v>
      </c>
      <c r="Q492" s="7" t="s">
        <v>4273</v>
      </c>
      <c r="R492" s="2">
        <v>1.5100000000000001E-3</v>
      </c>
      <c r="S492" s="2">
        <f>203/100000</f>
        <v>2.0300000000000001E-3</v>
      </c>
      <c r="T492" s="2">
        <v>2.7556939999999999E-2</v>
      </c>
    </row>
    <row r="493" spans="1:20">
      <c r="A493" s="3" t="s">
        <v>4274</v>
      </c>
      <c r="B493" s="1" t="s">
        <v>4275</v>
      </c>
      <c r="C493" s="3" t="s">
        <v>4276</v>
      </c>
      <c r="D493" s="3" t="s">
        <v>4277</v>
      </c>
      <c r="E493" s="3" t="s">
        <v>4278</v>
      </c>
      <c r="F493" s="3" t="s">
        <v>4279</v>
      </c>
      <c r="G493" s="3" t="s">
        <v>4280</v>
      </c>
      <c r="H493" s="11" t="s">
        <v>8241</v>
      </c>
      <c r="I493" s="3" t="s">
        <v>4281</v>
      </c>
      <c r="J493" s="7">
        <v>1.4</v>
      </c>
      <c r="K493" s="1" t="s">
        <v>4282</v>
      </c>
      <c r="L493" s="2">
        <v>7.9500000000000001E-2</v>
      </c>
      <c r="M493" s="2">
        <f>9454/100000</f>
        <v>9.4539999999999999E-2</v>
      </c>
      <c r="N493" s="2">
        <v>0.34860449999999998</v>
      </c>
      <c r="O493" s="4" t="s">
        <v>4283</v>
      </c>
      <c r="P493" s="1">
        <v>0.85</v>
      </c>
      <c r="Q493" s="7" t="s">
        <v>4284</v>
      </c>
      <c r="R493" s="2">
        <v>0.47199999999999998</v>
      </c>
      <c r="S493" s="2">
        <f>52818/100000</f>
        <v>0.52817999999999998</v>
      </c>
      <c r="T493" s="2">
        <v>0.74478149999999999</v>
      </c>
    </row>
    <row r="494" spans="1:20">
      <c r="A494" s="3" t="s">
        <v>4285</v>
      </c>
      <c r="B494" s="1" t="s">
        <v>4286</v>
      </c>
      <c r="C494" s="3" t="s">
        <v>4287</v>
      </c>
      <c r="D494" s="3" t="s">
        <v>4288</v>
      </c>
      <c r="E494" s="3" t="s">
        <v>4289</v>
      </c>
      <c r="F494" s="3" t="s">
        <v>4290</v>
      </c>
      <c r="G494" s="3" t="s">
        <v>4291</v>
      </c>
      <c r="H494" s="11" t="s">
        <v>8254</v>
      </c>
      <c r="I494" s="3" t="s">
        <v>4292</v>
      </c>
      <c r="J494" s="7">
        <v>1.45</v>
      </c>
      <c r="K494" s="1" t="s">
        <v>4293</v>
      </c>
      <c r="L494" s="2">
        <v>8.5900000000000004E-2</v>
      </c>
      <c r="M494" s="2">
        <f>9974/100000</f>
        <v>9.9739999999999995E-2</v>
      </c>
      <c r="N494" s="2">
        <v>0.3565972</v>
      </c>
      <c r="O494" s="4" t="s">
        <v>4294</v>
      </c>
      <c r="P494" s="1">
        <v>1.89</v>
      </c>
      <c r="Q494" s="7" t="s">
        <v>4295</v>
      </c>
      <c r="R494" s="2">
        <v>3.7200000000000002E-3</v>
      </c>
      <c r="S494" s="2">
        <f>518/100000</f>
        <v>5.1799999999999997E-3</v>
      </c>
      <c r="T494" s="2">
        <v>5.5629169999999999E-2</v>
      </c>
    </row>
    <row r="495" spans="1:20">
      <c r="A495" s="3" t="s">
        <v>4296</v>
      </c>
      <c r="B495" s="1" t="s">
        <v>4286</v>
      </c>
      <c r="C495" s="3" t="s">
        <v>4287</v>
      </c>
      <c r="D495" s="3" t="s">
        <v>4297</v>
      </c>
      <c r="E495" s="3" t="s">
        <v>4298</v>
      </c>
      <c r="F495" s="3" t="s">
        <v>4299</v>
      </c>
      <c r="G495" s="3" t="s">
        <v>4300</v>
      </c>
      <c r="H495" s="11" t="s">
        <v>8255</v>
      </c>
      <c r="I495" s="3" t="s">
        <v>4301</v>
      </c>
      <c r="J495" s="7">
        <v>1.1399999999999999</v>
      </c>
      <c r="K495" s="1" t="s">
        <v>4302</v>
      </c>
      <c r="L495" s="2">
        <v>0.317</v>
      </c>
      <c r="M495" s="2">
        <f>34076/100000</f>
        <v>0.34076000000000001</v>
      </c>
      <c r="N495" s="2">
        <v>0.61526179999999997</v>
      </c>
      <c r="O495" s="4" t="s">
        <v>4303</v>
      </c>
      <c r="P495" s="1">
        <v>0.57999999999999996</v>
      </c>
      <c r="Q495" s="7" t="s">
        <v>4304</v>
      </c>
      <c r="R495" s="2">
        <v>1.7099999999999999E-3</v>
      </c>
      <c r="S495" s="2">
        <f>228/100000</f>
        <v>2.2799999999999999E-3</v>
      </c>
      <c r="T495" s="2">
        <v>2.9416580000000001E-2</v>
      </c>
    </row>
    <row r="496" spans="1:20">
      <c r="A496" s="3" t="s">
        <v>4305</v>
      </c>
      <c r="B496" s="1" t="s">
        <v>4306</v>
      </c>
      <c r="C496" s="3" t="s">
        <v>4307</v>
      </c>
      <c r="D496" s="3" t="s">
        <v>4308</v>
      </c>
      <c r="E496" s="3" t="s">
        <v>4170</v>
      </c>
      <c r="F496" s="3" t="s">
        <v>4309</v>
      </c>
      <c r="G496" s="3" t="s">
        <v>2850</v>
      </c>
      <c r="H496" s="11" t="s">
        <v>8256</v>
      </c>
      <c r="I496" s="3" t="s">
        <v>4310</v>
      </c>
      <c r="J496" s="7">
        <v>1.46</v>
      </c>
      <c r="K496" s="1" t="s">
        <v>4311</v>
      </c>
      <c r="L496" s="2">
        <v>1.67E-3</v>
      </c>
      <c r="M496" s="2">
        <f>230/100000</f>
        <v>2.3E-3</v>
      </c>
      <c r="N496" s="2">
        <v>2.952625E-2</v>
      </c>
      <c r="O496" s="4" t="s">
        <v>4312</v>
      </c>
      <c r="P496" s="1">
        <v>0.87</v>
      </c>
      <c r="Q496" s="7" t="s">
        <v>4313</v>
      </c>
      <c r="R496" s="2">
        <v>0.187</v>
      </c>
      <c r="S496" s="2">
        <f>19259/100000</f>
        <v>0.19259000000000001</v>
      </c>
      <c r="T496" s="2">
        <v>0.48203059999999998</v>
      </c>
    </row>
    <row r="497" spans="1:20">
      <c r="A497" s="3" t="s">
        <v>4314</v>
      </c>
      <c r="B497" s="1" t="s">
        <v>4315</v>
      </c>
      <c r="C497" s="3" t="s">
        <v>4316</v>
      </c>
      <c r="D497" s="3" t="s">
        <v>4317</v>
      </c>
      <c r="E497" s="3" t="s">
        <v>4318</v>
      </c>
      <c r="F497" s="3" t="s">
        <v>4319</v>
      </c>
      <c r="G497" s="3" t="s">
        <v>4320</v>
      </c>
      <c r="H497" s="11" t="s">
        <v>8257</v>
      </c>
      <c r="I497" s="3" t="s">
        <v>4321</v>
      </c>
      <c r="J497" s="7">
        <v>1.39</v>
      </c>
      <c r="K497" s="1" t="s">
        <v>4322</v>
      </c>
      <c r="L497" s="2">
        <v>0.372</v>
      </c>
      <c r="M497" s="2">
        <f>38783/100000</f>
        <v>0.38783000000000001</v>
      </c>
      <c r="N497" s="2">
        <v>0.65409720000000005</v>
      </c>
      <c r="O497" s="4" t="s">
        <v>4323</v>
      </c>
      <c r="P497" s="1">
        <v>0.93</v>
      </c>
      <c r="Q497" s="7" t="s">
        <v>4324</v>
      </c>
      <c r="R497" s="2">
        <v>0.875</v>
      </c>
      <c r="S497" s="2">
        <f>100000/100000</f>
        <v>1</v>
      </c>
      <c r="T497" s="2">
        <v>0.82929589999999997</v>
      </c>
    </row>
    <row r="498" spans="1:20">
      <c r="A498" s="3" t="s">
        <v>4325</v>
      </c>
      <c r="B498" s="1" t="s">
        <v>4326</v>
      </c>
      <c r="C498" s="3" t="s">
        <v>4327</v>
      </c>
      <c r="D498" s="3" t="s">
        <v>4328</v>
      </c>
      <c r="E498" s="3" t="s">
        <v>4329</v>
      </c>
      <c r="F498" s="3" t="s">
        <v>4330</v>
      </c>
      <c r="G498" s="3" t="s">
        <v>4331</v>
      </c>
      <c r="H498" s="11" t="s">
        <v>8159</v>
      </c>
      <c r="I498" s="3" t="s">
        <v>4332</v>
      </c>
      <c r="J498" s="7">
        <v>0.74</v>
      </c>
      <c r="K498" s="1" t="s">
        <v>2067</v>
      </c>
      <c r="L498" s="2">
        <v>0.216</v>
      </c>
      <c r="M498" s="2">
        <f>24456/100000</f>
        <v>0.24456</v>
      </c>
      <c r="N498" s="2">
        <v>0.54509320000000006</v>
      </c>
      <c r="O498" s="4" t="s">
        <v>4333</v>
      </c>
      <c r="P498" s="1">
        <v>0.88</v>
      </c>
      <c r="Q498" s="7" t="s">
        <v>4334</v>
      </c>
      <c r="R498" s="2">
        <v>0.63600000000000001</v>
      </c>
      <c r="S498" s="2">
        <f>70192/100000</f>
        <v>0.70191999999999999</v>
      </c>
      <c r="T498" s="2">
        <v>0.82001139999999995</v>
      </c>
    </row>
    <row r="499" spans="1:20">
      <c r="A499" s="3" t="s">
        <v>4335</v>
      </c>
      <c r="B499" s="1" t="s">
        <v>4326</v>
      </c>
      <c r="C499" s="3" t="s">
        <v>4327</v>
      </c>
      <c r="D499" s="3" t="s">
        <v>4336</v>
      </c>
      <c r="E499" s="3" t="s">
        <v>4337</v>
      </c>
      <c r="F499" s="3" t="s">
        <v>4338</v>
      </c>
      <c r="G499" s="3" t="s">
        <v>4339</v>
      </c>
      <c r="H499" s="11" t="s">
        <v>8159</v>
      </c>
      <c r="I499" s="3" t="s">
        <v>4340</v>
      </c>
      <c r="J499" s="7">
        <v>0.76</v>
      </c>
      <c r="K499" s="1" t="s">
        <v>4341</v>
      </c>
      <c r="L499" s="2">
        <v>0.113</v>
      </c>
      <c r="M499" s="2">
        <f>11902/100000</f>
        <v>0.11902</v>
      </c>
      <c r="N499" s="2">
        <v>0.38335320000000001</v>
      </c>
      <c r="O499" s="4" t="s">
        <v>4342</v>
      </c>
      <c r="P499" s="1">
        <v>0.89</v>
      </c>
      <c r="Q499" s="7" t="s">
        <v>4343</v>
      </c>
      <c r="R499" s="2">
        <v>0.58299999999999996</v>
      </c>
      <c r="S499" s="2">
        <f>62210/100000</f>
        <v>0.62209999999999999</v>
      </c>
      <c r="T499" s="2">
        <v>0.79869500000000004</v>
      </c>
    </row>
    <row r="500" spans="1:20">
      <c r="A500" s="3" t="s">
        <v>4344</v>
      </c>
      <c r="B500" s="1" t="s">
        <v>4345</v>
      </c>
      <c r="C500" s="3" t="s">
        <v>4346</v>
      </c>
      <c r="D500" s="3" t="s">
        <v>4347</v>
      </c>
      <c r="E500" s="3" t="s">
        <v>4348</v>
      </c>
      <c r="F500" s="3" t="s">
        <v>4349</v>
      </c>
      <c r="G500" s="3" t="s">
        <v>4350</v>
      </c>
      <c r="H500" s="11" t="s">
        <v>8258</v>
      </c>
      <c r="I500" s="3" t="s">
        <v>4351</v>
      </c>
      <c r="J500" s="7">
        <v>0.81</v>
      </c>
      <c r="K500" s="1" t="s">
        <v>4352</v>
      </c>
      <c r="L500" s="2">
        <v>0.55900000000000005</v>
      </c>
      <c r="M500" s="2">
        <f>62309/100000</f>
        <v>0.62309000000000003</v>
      </c>
      <c r="N500" s="2">
        <v>0.79869500000000004</v>
      </c>
      <c r="O500" s="4" t="s">
        <v>4353</v>
      </c>
      <c r="P500" s="1">
        <v>1.2</v>
      </c>
      <c r="Q500" s="7" t="s">
        <v>3634</v>
      </c>
      <c r="R500" s="2">
        <v>0.21</v>
      </c>
      <c r="S500" s="2">
        <f>22248/100000</f>
        <v>0.22248000000000001</v>
      </c>
      <c r="T500" s="2">
        <v>0.51629080000000005</v>
      </c>
    </row>
    <row r="501" spans="1:20">
      <c r="A501" s="3" t="s">
        <v>4354</v>
      </c>
      <c r="B501" s="1" t="s">
        <v>4345</v>
      </c>
      <c r="C501" s="3" t="s">
        <v>4346</v>
      </c>
      <c r="D501" s="3" t="s">
        <v>4355</v>
      </c>
      <c r="E501" s="3" t="s">
        <v>4356</v>
      </c>
      <c r="F501" s="3" t="s">
        <v>4349</v>
      </c>
      <c r="G501" s="3" t="s">
        <v>4350</v>
      </c>
      <c r="H501" s="11" t="s">
        <v>8259</v>
      </c>
      <c r="I501" s="3" t="s">
        <v>4357</v>
      </c>
      <c r="J501" s="7">
        <v>1.21</v>
      </c>
      <c r="K501" s="1" t="s">
        <v>4358</v>
      </c>
      <c r="L501" s="2">
        <v>0.49</v>
      </c>
      <c r="M501" s="2">
        <f>54083/100000</f>
        <v>0.54083000000000003</v>
      </c>
      <c r="N501" s="2">
        <v>0.74478149999999999</v>
      </c>
      <c r="O501" s="4" t="s">
        <v>4359</v>
      </c>
      <c r="P501" s="1">
        <v>1.56</v>
      </c>
      <c r="Q501" s="7" t="s">
        <v>4360</v>
      </c>
      <c r="R501" s="2">
        <v>4.8099999999999998E-4</v>
      </c>
      <c r="S501" s="2">
        <f>85/100000</f>
        <v>8.4999999999999995E-4</v>
      </c>
      <c r="T501" s="2">
        <v>1.474578E-2</v>
      </c>
    </row>
    <row r="502" spans="1:20">
      <c r="A502" s="3" t="s">
        <v>4361</v>
      </c>
      <c r="B502" s="1" t="s">
        <v>4362</v>
      </c>
      <c r="C502" s="3" t="s">
        <v>4363</v>
      </c>
      <c r="D502" s="3" t="s">
        <v>4364</v>
      </c>
      <c r="E502" s="3" t="s">
        <v>4365</v>
      </c>
      <c r="F502" s="3" t="s">
        <v>4366</v>
      </c>
      <c r="G502" s="3" t="s">
        <v>4367</v>
      </c>
      <c r="H502" s="11" t="s">
        <v>8260</v>
      </c>
      <c r="I502" s="3" t="s">
        <v>4368</v>
      </c>
      <c r="J502" s="7">
        <v>1.38</v>
      </c>
      <c r="K502" s="1" t="s">
        <v>4369</v>
      </c>
      <c r="L502" s="2">
        <v>1.5599999999999999E-2</v>
      </c>
      <c r="M502" s="2">
        <f>1763/100000</f>
        <v>1.763E-2</v>
      </c>
      <c r="N502" s="2">
        <v>0.1276497</v>
      </c>
      <c r="O502" s="4" t="s">
        <v>4370</v>
      </c>
      <c r="P502" s="1">
        <v>1.22</v>
      </c>
      <c r="Q502" s="7" t="s">
        <v>4371</v>
      </c>
      <c r="R502" s="2">
        <v>0.16400000000000001</v>
      </c>
      <c r="S502" s="2">
        <f>18250/100000</f>
        <v>0.1825</v>
      </c>
      <c r="T502" s="2">
        <v>0.47079409999999999</v>
      </c>
    </row>
    <row r="503" spans="1:20">
      <c r="A503" s="3" t="s">
        <v>4372</v>
      </c>
      <c r="B503" s="1" t="s">
        <v>4362</v>
      </c>
      <c r="C503" s="3" t="s">
        <v>4363</v>
      </c>
      <c r="D503" s="3" t="s">
        <v>4373</v>
      </c>
      <c r="E503" s="3" t="s">
        <v>4374</v>
      </c>
      <c r="F503" s="3" t="s">
        <v>4366</v>
      </c>
      <c r="G503" s="3" t="s">
        <v>4367</v>
      </c>
      <c r="H503" s="11" t="s">
        <v>8261</v>
      </c>
      <c r="I503" s="3" t="s">
        <v>4375</v>
      </c>
      <c r="J503" s="7">
        <v>1.1399999999999999</v>
      </c>
      <c r="K503" s="1" t="s">
        <v>4376</v>
      </c>
      <c r="L503" s="2">
        <v>0.28799999999999998</v>
      </c>
      <c r="M503" s="2">
        <f>30757/100000</f>
        <v>0.30757000000000001</v>
      </c>
      <c r="N503" s="2">
        <v>0.59547439999999996</v>
      </c>
      <c r="O503" s="4" t="s">
        <v>4377</v>
      </c>
      <c r="P503" s="1">
        <v>1.06</v>
      </c>
      <c r="Q503" s="7" t="s">
        <v>4378</v>
      </c>
      <c r="R503" s="2">
        <v>0.66700000000000004</v>
      </c>
      <c r="S503" s="2">
        <f>68104/100000</f>
        <v>0.68103999999999998</v>
      </c>
      <c r="T503" s="2">
        <v>0.81135380000000001</v>
      </c>
    </row>
    <row r="504" spans="1:20">
      <c r="A504" s="3" t="s">
        <v>4379</v>
      </c>
      <c r="B504" s="1" t="s">
        <v>4362</v>
      </c>
      <c r="C504" s="3" t="s">
        <v>4363</v>
      </c>
      <c r="D504" s="3" t="s">
        <v>4366</v>
      </c>
      <c r="E504" s="3" t="s">
        <v>4367</v>
      </c>
      <c r="F504" s="3" t="s">
        <v>4380</v>
      </c>
      <c r="G504" s="3" t="s">
        <v>4381</v>
      </c>
      <c r="H504" s="11" t="s">
        <v>8150</v>
      </c>
      <c r="I504" s="3" t="s">
        <v>4382</v>
      </c>
      <c r="J504" s="7">
        <v>0.93</v>
      </c>
      <c r="K504" s="1" t="s">
        <v>4383</v>
      </c>
      <c r="L504" s="2">
        <v>0.69499999999999995</v>
      </c>
      <c r="M504" s="2">
        <f>70479/100000</f>
        <v>0.70479000000000003</v>
      </c>
      <c r="N504" s="2">
        <v>0.82137769999999999</v>
      </c>
      <c r="O504" s="4" t="s">
        <v>4384</v>
      </c>
      <c r="P504" s="1">
        <v>2.31</v>
      </c>
      <c r="Q504" s="7" t="s">
        <v>4385</v>
      </c>
      <c r="R504" s="2">
        <v>5.4099999999999999E-11</v>
      </c>
      <c r="S504" s="2" t="s">
        <v>500</v>
      </c>
      <c r="T504" s="2">
        <v>3.517123E-4</v>
      </c>
    </row>
    <row r="505" spans="1:20">
      <c r="A505" s="3" t="s">
        <v>4386</v>
      </c>
      <c r="B505" s="1" t="s">
        <v>4387</v>
      </c>
      <c r="C505" s="3" t="s">
        <v>4388</v>
      </c>
      <c r="D505" s="3" t="s">
        <v>4389</v>
      </c>
      <c r="E505" s="3" t="s">
        <v>4390</v>
      </c>
      <c r="F505" s="3" t="s">
        <v>4391</v>
      </c>
      <c r="G505" s="3" t="s">
        <v>4392</v>
      </c>
      <c r="H505" s="11" t="s">
        <v>8262</v>
      </c>
      <c r="I505" s="3" t="s">
        <v>4393</v>
      </c>
      <c r="J505" s="7">
        <v>1.08</v>
      </c>
      <c r="K505" s="1" t="s">
        <v>4394</v>
      </c>
      <c r="L505" s="2">
        <v>0.83799999999999997</v>
      </c>
      <c r="M505" s="2">
        <f>84896/100000</f>
        <v>0.84896000000000005</v>
      </c>
      <c r="N505" s="2">
        <v>0.82929589999999997</v>
      </c>
      <c r="O505" s="4" t="s">
        <v>4395</v>
      </c>
      <c r="P505" s="1">
        <v>0.49</v>
      </c>
      <c r="Q505" s="7" t="s">
        <v>4396</v>
      </c>
      <c r="R505" s="2">
        <v>0.221</v>
      </c>
      <c r="S505" s="2">
        <f>28625/100000</f>
        <v>0.28625</v>
      </c>
      <c r="T505" s="2">
        <v>0.57547409999999999</v>
      </c>
    </row>
    <row r="506" spans="1:20">
      <c r="A506" s="3" t="s">
        <v>4397</v>
      </c>
      <c r="B506" s="1" t="s">
        <v>4398</v>
      </c>
      <c r="C506" s="3" t="s">
        <v>4399</v>
      </c>
      <c r="D506" s="3" t="s">
        <v>4400</v>
      </c>
      <c r="E506" s="3" t="s">
        <v>4401</v>
      </c>
      <c r="F506" s="3" t="s">
        <v>4402</v>
      </c>
      <c r="G506" s="3" t="s">
        <v>4403</v>
      </c>
      <c r="H506" s="11" t="s">
        <v>8213</v>
      </c>
      <c r="I506" s="3" t="s">
        <v>4404</v>
      </c>
      <c r="J506" s="7">
        <v>0.9</v>
      </c>
      <c r="K506" s="1" t="s">
        <v>4405</v>
      </c>
      <c r="L506" s="2">
        <v>0.55600000000000005</v>
      </c>
      <c r="M506" s="2">
        <f>56465/100000</f>
        <v>0.56464999999999999</v>
      </c>
      <c r="N506" s="2">
        <v>0.76069089999999995</v>
      </c>
      <c r="O506" s="4" t="s">
        <v>4406</v>
      </c>
      <c r="P506" s="1">
        <v>0.85</v>
      </c>
      <c r="Q506" s="7" t="s">
        <v>4407</v>
      </c>
      <c r="R506" s="2">
        <v>0.106</v>
      </c>
      <c r="S506" s="2">
        <f>11008/100000</f>
        <v>0.11008</v>
      </c>
      <c r="T506" s="2">
        <v>0.37259229999999999</v>
      </c>
    </row>
    <row r="507" spans="1:20">
      <c r="A507" s="3" t="s">
        <v>4408</v>
      </c>
      <c r="B507" s="1" t="s">
        <v>4398</v>
      </c>
      <c r="C507" s="3" t="s">
        <v>4399</v>
      </c>
      <c r="D507" s="3" t="s">
        <v>4409</v>
      </c>
      <c r="E507" s="3" t="s">
        <v>4410</v>
      </c>
      <c r="F507" s="3" t="s">
        <v>4411</v>
      </c>
      <c r="G507" s="3" t="s">
        <v>4412</v>
      </c>
      <c r="H507" s="11" t="s">
        <v>8213</v>
      </c>
      <c r="I507" s="3" t="s">
        <v>4413</v>
      </c>
      <c r="J507" s="7">
        <v>0.89</v>
      </c>
      <c r="K507" s="1" t="s">
        <v>4414</v>
      </c>
      <c r="L507" s="2">
        <v>0.22</v>
      </c>
      <c r="M507" s="2">
        <f>24089/100000</f>
        <v>0.24088999999999999</v>
      </c>
      <c r="N507" s="2">
        <v>0.54088069999999999</v>
      </c>
      <c r="O507" s="4" t="s">
        <v>4415</v>
      </c>
      <c r="P507" s="1">
        <v>1.33</v>
      </c>
      <c r="Q507" s="7" t="s">
        <v>4416</v>
      </c>
      <c r="R507" s="2">
        <v>1.9699999999999999E-2</v>
      </c>
      <c r="S507" s="2">
        <f>2151/100000</f>
        <v>2.1510000000000001E-2</v>
      </c>
      <c r="T507" s="2">
        <v>0.14488519999999999</v>
      </c>
    </row>
    <row r="508" spans="1:20">
      <c r="A508" s="3" t="s">
        <v>4417</v>
      </c>
      <c r="B508" s="1" t="s">
        <v>4418</v>
      </c>
      <c r="C508" s="3" t="s">
        <v>4419</v>
      </c>
      <c r="D508" s="3" t="s">
        <v>4420</v>
      </c>
      <c r="E508" s="3" t="s">
        <v>4421</v>
      </c>
      <c r="F508" s="3" t="s">
        <v>4422</v>
      </c>
      <c r="G508" s="3" t="s">
        <v>4423</v>
      </c>
      <c r="H508" s="11" t="s">
        <v>8114</v>
      </c>
      <c r="I508" s="3" t="s">
        <v>4424</v>
      </c>
      <c r="J508" s="7">
        <v>1.59</v>
      </c>
      <c r="K508" s="1" t="s">
        <v>4425</v>
      </c>
      <c r="L508" s="2">
        <v>0.128</v>
      </c>
      <c r="M508" s="2">
        <f>13601/100000</f>
        <v>0.13600999999999999</v>
      </c>
      <c r="N508" s="2">
        <v>0.40274510000000002</v>
      </c>
      <c r="O508" s="4" t="s">
        <v>4426</v>
      </c>
      <c r="P508" s="1">
        <v>1.07</v>
      </c>
      <c r="Q508" s="7" t="s">
        <v>4427</v>
      </c>
      <c r="R508" s="2">
        <v>0.85199999999999998</v>
      </c>
      <c r="S508" s="2">
        <f>85737/100000</f>
        <v>0.85736999999999997</v>
      </c>
      <c r="T508" s="2">
        <v>0.82929589999999997</v>
      </c>
    </row>
    <row r="509" spans="1:20">
      <c r="A509" s="3" t="s">
        <v>4428</v>
      </c>
      <c r="B509" s="1" t="s">
        <v>4418</v>
      </c>
      <c r="C509" s="3" t="s">
        <v>4419</v>
      </c>
      <c r="D509" s="3" t="s">
        <v>4429</v>
      </c>
      <c r="E509" s="3" t="s">
        <v>4430</v>
      </c>
      <c r="F509" s="3" t="s">
        <v>4422</v>
      </c>
      <c r="G509" s="3" t="s">
        <v>4423</v>
      </c>
      <c r="H509" s="11" t="s">
        <v>8263</v>
      </c>
      <c r="I509" s="3" t="s">
        <v>4431</v>
      </c>
      <c r="J509" s="7">
        <v>1.27</v>
      </c>
      <c r="K509" s="1" t="s">
        <v>4432</v>
      </c>
      <c r="L509" s="2">
        <v>0.5</v>
      </c>
      <c r="M509" s="2">
        <f>55808/100000</f>
        <v>0.55808000000000002</v>
      </c>
      <c r="N509" s="2">
        <v>0.75882680000000002</v>
      </c>
      <c r="O509" s="4" t="s">
        <v>4433</v>
      </c>
      <c r="P509" s="1">
        <v>1.07</v>
      </c>
      <c r="Q509" s="7" t="s">
        <v>4434</v>
      </c>
      <c r="R509" s="2">
        <v>0.80400000000000005</v>
      </c>
      <c r="S509" s="2">
        <f>87943/100000</f>
        <v>0.87943000000000005</v>
      </c>
      <c r="T509" s="2">
        <v>0.82929589999999997</v>
      </c>
    </row>
    <row r="510" spans="1:20">
      <c r="A510" s="3" t="s">
        <v>4435</v>
      </c>
      <c r="B510" s="1" t="s">
        <v>4418</v>
      </c>
      <c r="C510" s="3" t="s">
        <v>4419</v>
      </c>
      <c r="D510" s="3" t="s">
        <v>4436</v>
      </c>
      <c r="E510" s="3" t="s">
        <v>4437</v>
      </c>
      <c r="F510" s="3" t="s">
        <v>4422</v>
      </c>
      <c r="G510" s="3" t="s">
        <v>4423</v>
      </c>
      <c r="H510" s="11" t="s">
        <v>8263</v>
      </c>
      <c r="I510" s="3" t="s">
        <v>4438</v>
      </c>
      <c r="J510" s="7">
        <v>1.52</v>
      </c>
      <c r="K510" s="1" t="s">
        <v>4439</v>
      </c>
      <c r="L510" s="2">
        <v>0.185</v>
      </c>
      <c r="M510" s="2">
        <f>25163/100000</f>
        <v>0.25163000000000002</v>
      </c>
      <c r="N510" s="2">
        <v>0.55394690000000002</v>
      </c>
      <c r="O510" s="4" t="s">
        <v>4440</v>
      </c>
      <c r="P510" s="1">
        <v>0.69</v>
      </c>
      <c r="Q510" s="7" t="s">
        <v>4441</v>
      </c>
      <c r="R510" s="2">
        <v>0.27</v>
      </c>
      <c r="S510" s="2">
        <f>30794/100000</f>
        <v>0.30793999999999999</v>
      </c>
      <c r="T510" s="2">
        <v>0.59547439999999996</v>
      </c>
    </row>
    <row r="511" spans="1:20">
      <c r="A511" s="3" t="s">
        <v>4442</v>
      </c>
      <c r="B511" s="1" t="s">
        <v>4443</v>
      </c>
      <c r="C511" s="3" t="s">
        <v>4444</v>
      </c>
      <c r="D511" s="3" t="s">
        <v>4445</v>
      </c>
      <c r="E511" s="3" t="s">
        <v>4446</v>
      </c>
      <c r="F511" s="3" t="s">
        <v>4447</v>
      </c>
      <c r="G511" s="3" t="s">
        <v>4448</v>
      </c>
      <c r="H511" s="11" t="s">
        <v>8264</v>
      </c>
      <c r="I511" s="3" t="s">
        <v>4449</v>
      </c>
      <c r="J511" s="7">
        <v>0.83</v>
      </c>
      <c r="K511" s="1" t="s">
        <v>4450</v>
      </c>
      <c r="L511" s="2">
        <v>0.11</v>
      </c>
      <c r="M511" s="2">
        <f>11844/100000</f>
        <v>0.11844</v>
      </c>
      <c r="N511" s="2">
        <v>0.38060929999999998</v>
      </c>
      <c r="O511" s="4" t="s">
        <v>4451</v>
      </c>
      <c r="P511" s="1">
        <v>1.04</v>
      </c>
      <c r="Q511" s="7" t="s">
        <v>4452</v>
      </c>
      <c r="R511" s="2">
        <v>0.70799999999999996</v>
      </c>
      <c r="S511" s="2">
        <f>71874/100000</f>
        <v>0.71874000000000005</v>
      </c>
      <c r="T511" s="2">
        <v>0.82137769999999999</v>
      </c>
    </row>
    <row r="512" spans="1:20">
      <c r="A512" s="3" t="s">
        <v>4453</v>
      </c>
      <c r="B512" s="1" t="s">
        <v>4443</v>
      </c>
      <c r="C512" s="3" t="s">
        <v>4444</v>
      </c>
      <c r="D512" s="3" t="s">
        <v>4454</v>
      </c>
      <c r="E512" s="3" t="s">
        <v>4455</v>
      </c>
      <c r="F512" s="3" t="s">
        <v>4447</v>
      </c>
      <c r="G512" s="3" t="s">
        <v>4448</v>
      </c>
      <c r="H512" s="11" t="s">
        <v>8265</v>
      </c>
      <c r="I512" s="3" t="s">
        <v>4456</v>
      </c>
      <c r="J512" s="7">
        <v>1.18</v>
      </c>
      <c r="K512" s="1" t="s">
        <v>4457</v>
      </c>
      <c r="L512" s="2">
        <v>0.109</v>
      </c>
      <c r="M512" s="2">
        <f>11574/100000</f>
        <v>0.11574</v>
      </c>
      <c r="N512" s="2">
        <v>0.38060929999999998</v>
      </c>
      <c r="O512" s="4" t="s">
        <v>4458</v>
      </c>
      <c r="P512" s="1">
        <v>0.88</v>
      </c>
      <c r="Q512" s="7" t="s">
        <v>4459</v>
      </c>
      <c r="R512" s="2">
        <v>0.21</v>
      </c>
      <c r="S512" s="2">
        <f>21677/100000</f>
        <v>0.21676999999999999</v>
      </c>
      <c r="T512" s="2">
        <v>0.51067600000000002</v>
      </c>
    </row>
    <row r="513" spans="1:20">
      <c r="A513" s="3" t="s">
        <v>4460</v>
      </c>
      <c r="B513" s="1" t="s">
        <v>4461</v>
      </c>
      <c r="C513" s="3" t="s">
        <v>4462</v>
      </c>
      <c r="D513" s="3" t="s">
        <v>4463</v>
      </c>
      <c r="E513" s="3" t="s">
        <v>4464</v>
      </c>
      <c r="F513" s="3" t="s">
        <v>4465</v>
      </c>
      <c r="G513" s="3" t="s">
        <v>4466</v>
      </c>
      <c r="H513" s="11" t="s">
        <v>8266</v>
      </c>
      <c r="I513" s="3" t="s">
        <v>4467</v>
      </c>
      <c r="J513" s="7">
        <v>1.58</v>
      </c>
      <c r="K513" s="1" t="s">
        <v>4468</v>
      </c>
      <c r="L513" s="2">
        <v>0.17100000000000001</v>
      </c>
      <c r="M513" s="2">
        <f>21874/100000</f>
        <v>0.21873999999999999</v>
      </c>
      <c r="N513" s="2">
        <v>0.51163099999999995</v>
      </c>
      <c r="O513" s="4" t="s">
        <v>4469</v>
      </c>
      <c r="P513" s="1">
        <v>1.36</v>
      </c>
      <c r="Q513" s="7" t="s">
        <v>4470</v>
      </c>
      <c r="R513" s="2">
        <v>0.441</v>
      </c>
      <c r="S513" s="2">
        <f>49100/100000</f>
        <v>0.49099999999999999</v>
      </c>
      <c r="T513" s="2">
        <v>0.73208039999999996</v>
      </c>
    </row>
    <row r="514" spans="1:20">
      <c r="A514" s="3" t="s">
        <v>4471</v>
      </c>
      <c r="B514" s="1" t="s">
        <v>4461</v>
      </c>
      <c r="C514" s="3" t="s">
        <v>4462</v>
      </c>
      <c r="D514" s="3" t="s">
        <v>4472</v>
      </c>
      <c r="E514" s="3" t="s">
        <v>4473</v>
      </c>
      <c r="F514" s="3" t="s">
        <v>4465</v>
      </c>
      <c r="G514" s="3" t="s">
        <v>4466</v>
      </c>
      <c r="H514" s="11" t="s">
        <v>8266</v>
      </c>
      <c r="I514" s="3" t="s">
        <v>4474</v>
      </c>
      <c r="J514" s="7">
        <v>1.24</v>
      </c>
      <c r="K514" s="1" t="s">
        <v>4475</v>
      </c>
      <c r="L514" s="2">
        <v>0.51800000000000002</v>
      </c>
      <c r="M514" s="2">
        <f>58372/100000</f>
        <v>0.58372000000000002</v>
      </c>
      <c r="N514" s="2">
        <v>0.77369449999999995</v>
      </c>
      <c r="O514" s="4" t="s">
        <v>4476</v>
      </c>
      <c r="P514" s="1">
        <v>0.77</v>
      </c>
      <c r="Q514" s="7" t="s">
        <v>4477</v>
      </c>
      <c r="R514" s="2">
        <v>0.40200000000000002</v>
      </c>
      <c r="S514" s="2">
        <f>41263/100000</f>
        <v>0.41263</v>
      </c>
      <c r="T514" s="2">
        <v>0.67240169999999999</v>
      </c>
    </row>
    <row r="515" spans="1:20">
      <c r="A515" s="3" t="s">
        <v>4478</v>
      </c>
      <c r="B515" s="1" t="s">
        <v>4461</v>
      </c>
      <c r="C515" s="3" t="s">
        <v>4462</v>
      </c>
      <c r="D515" s="3" t="s">
        <v>4479</v>
      </c>
      <c r="E515" s="3" t="s">
        <v>4480</v>
      </c>
      <c r="F515" s="3" t="s">
        <v>4465</v>
      </c>
      <c r="G515" s="3" t="s">
        <v>4466</v>
      </c>
      <c r="H515" s="11" t="s">
        <v>8266</v>
      </c>
      <c r="I515" s="3" t="s">
        <v>4481</v>
      </c>
      <c r="J515" s="7">
        <v>1.1299999999999999</v>
      </c>
      <c r="K515" s="1" t="s">
        <v>4482</v>
      </c>
      <c r="L515" s="2">
        <v>0.79</v>
      </c>
      <c r="M515" s="2">
        <f>79989/100000</f>
        <v>0.79988999999999999</v>
      </c>
      <c r="N515" s="2">
        <v>0.82929589999999997</v>
      </c>
      <c r="O515" s="4" t="s">
        <v>4483</v>
      </c>
      <c r="P515" s="1">
        <v>1.57</v>
      </c>
      <c r="Q515" s="7" t="s">
        <v>4484</v>
      </c>
      <c r="R515" s="2">
        <v>0.38800000000000001</v>
      </c>
      <c r="S515" s="2">
        <f>51819/100000</f>
        <v>0.51819000000000004</v>
      </c>
      <c r="T515" s="2">
        <v>0.74478149999999999</v>
      </c>
    </row>
    <row r="516" spans="1:20">
      <c r="A516" s="3" t="s">
        <v>4485</v>
      </c>
      <c r="B516" s="1" t="s">
        <v>4486</v>
      </c>
      <c r="C516" s="3" t="s">
        <v>4487</v>
      </c>
      <c r="D516" s="3" t="s">
        <v>4488</v>
      </c>
      <c r="E516" s="3" t="s">
        <v>4489</v>
      </c>
      <c r="F516" s="3" t="s">
        <v>4490</v>
      </c>
      <c r="G516" s="3" t="s">
        <v>4491</v>
      </c>
      <c r="H516" s="11" t="s">
        <v>8267</v>
      </c>
      <c r="I516" s="3" t="s">
        <v>996</v>
      </c>
      <c r="J516" s="7">
        <v>0.8</v>
      </c>
      <c r="K516" s="1" t="s">
        <v>997</v>
      </c>
      <c r="L516" s="2">
        <v>0.55700000000000005</v>
      </c>
      <c r="M516" s="2">
        <f>60543/100000</f>
        <v>0.60543000000000002</v>
      </c>
      <c r="N516" s="2">
        <v>0.7868984</v>
      </c>
      <c r="O516" s="4" t="s">
        <v>4492</v>
      </c>
      <c r="P516" s="1">
        <v>1.38</v>
      </c>
      <c r="Q516" s="7" t="s">
        <v>4493</v>
      </c>
      <c r="R516" s="2">
        <v>0.106</v>
      </c>
      <c r="S516" s="2">
        <f>11475/100000</f>
        <v>0.11475</v>
      </c>
      <c r="T516" s="2">
        <v>0.38000319999999999</v>
      </c>
    </row>
    <row r="517" spans="1:20">
      <c r="A517" s="3" t="s">
        <v>4494</v>
      </c>
      <c r="B517" s="1" t="s">
        <v>4495</v>
      </c>
      <c r="C517" s="3" t="s">
        <v>4496</v>
      </c>
      <c r="D517" s="3" t="s">
        <v>4497</v>
      </c>
      <c r="E517" s="3" t="s">
        <v>4498</v>
      </c>
      <c r="F517" s="3" t="s">
        <v>4499</v>
      </c>
      <c r="G517" s="3" t="s">
        <v>4500</v>
      </c>
      <c r="H517" s="11" t="s">
        <v>8268</v>
      </c>
      <c r="I517" s="3" t="s">
        <v>4501</v>
      </c>
      <c r="J517" s="7">
        <v>1.1299999999999999</v>
      </c>
      <c r="K517" s="1" t="s">
        <v>4502</v>
      </c>
      <c r="L517" s="2">
        <v>0.28799999999999998</v>
      </c>
      <c r="M517" s="2">
        <f>30977/100000</f>
        <v>0.30976999999999999</v>
      </c>
      <c r="N517" s="2">
        <v>0.59664539999999999</v>
      </c>
      <c r="O517" s="4" t="s">
        <v>4503</v>
      </c>
      <c r="P517" s="1">
        <v>0.82</v>
      </c>
      <c r="Q517" s="7" t="s">
        <v>4504</v>
      </c>
      <c r="R517" s="2">
        <v>0.105</v>
      </c>
      <c r="S517" s="2">
        <f>10643/100000</f>
        <v>0.10643</v>
      </c>
      <c r="T517" s="2">
        <v>0.364819</v>
      </c>
    </row>
    <row r="518" spans="1:20">
      <c r="A518" s="3" t="s">
        <v>4505</v>
      </c>
      <c r="B518" s="1" t="s">
        <v>4495</v>
      </c>
      <c r="C518" s="3" t="s">
        <v>4496</v>
      </c>
      <c r="D518" s="3" t="s">
        <v>4506</v>
      </c>
      <c r="E518" s="3" t="s">
        <v>4507</v>
      </c>
      <c r="F518" s="3" t="s">
        <v>4499</v>
      </c>
      <c r="G518" s="3" t="s">
        <v>4500</v>
      </c>
      <c r="H518" s="11" t="s">
        <v>8268</v>
      </c>
      <c r="I518" s="3" t="s">
        <v>4508</v>
      </c>
      <c r="J518" s="7">
        <v>1.19</v>
      </c>
      <c r="K518" s="1" t="s">
        <v>4509</v>
      </c>
      <c r="L518" s="2">
        <v>0.12</v>
      </c>
      <c r="M518" s="2">
        <f>13298/100000</f>
        <v>0.13297999999999999</v>
      </c>
      <c r="N518" s="2">
        <v>0.40098479999999997</v>
      </c>
      <c r="O518" s="4" t="s">
        <v>4510</v>
      </c>
      <c r="P518" s="1">
        <v>0.86</v>
      </c>
      <c r="Q518" s="7" t="s">
        <v>4511</v>
      </c>
      <c r="R518" s="2">
        <v>0.21</v>
      </c>
      <c r="S518" s="2">
        <f>21484/100000</f>
        <v>0.21484</v>
      </c>
      <c r="T518" s="2">
        <v>0.50736440000000005</v>
      </c>
    </row>
  </sheetData>
  <mergeCells count="10">
    <mergeCell ref="O1:T1"/>
    <mergeCell ref="I1:N1"/>
    <mergeCell ref="F1:F2"/>
    <mergeCell ref="G1:G2"/>
    <mergeCell ref="A1:A2"/>
    <mergeCell ref="B1:B2"/>
    <mergeCell ref="C1:C2"/>
    <mergeCell ref="D1:D2"/>
    <mergeCell ref="E1:E2"/>
    <mergeCell ref="H1:H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A1:T518"/>
  <sheetViews>
    <sheetView topLeftCell="D1" zoomScale="85" zoomScaleNormal="85" workbookViewId="0">
      <selection activeCell="T2" sqref="T2"/>
    </sheetView>
  </sheetViews>
  <sheetFormatPr defaultRowHeight="14.25"/>
  <cols>
    <col min="1" max="1" width="13.125" style="3" customWidth="1"/>
    <col min="2" max="2" width="15.375" style="1" customWidth="1"/>
    <col min="3" max="3" width="10.875" style="3" customWidth="1"/>
    <col min="4" max="4" width="7.625" style="3" customWidth="1"/>
    <col min="5" max="5" width="11.75" style="3" customWidth="1"/>
    <col min="6" max="6" width="8.375" style="3" customWidth="1"/>
    <col min="7" max="7" width="11.625" style="3" customWidth="1"/>
    <col min="8" max="8" width="13.75" style="3" bestFit="1" customWidth="1"/>
    <col min="9" max="9" width="9" style="3"/>
    <col min="10" max="10" width="9" style="7"/>
    <col min="11" max="11" width="10.125" style="1" customWidth="1"/>
    <col min="12" max="14" width="10.625" style="1" customWidth="1"/>
    <col min="15" max="15" width="9" style="3"/>
    <col min="16" max="16" width="9" style="7"/>
    <col min="17" max="17" width="10.125" style="1" customWidth="1"/>
    <col min="18" max="20" width="10.625" style="1" customWidth="1"/>
  </cols>
  <sheetData>
    <row r="1" spans="1:20">
      <c r="A1" s="16" t="s">
        <v>0</v>
      </c>
      <c r="B1" s="16" t="s">
        <v>1</v>
      </c>
      <c r="C1" s="16" t="s">
        <v>2</v>
      </c>
      <c r="D1" s="16" t="s">
        <v>3</v>
      </c>
      <c r="E1" s="16" t="s">
        <v>4</v>
      </c>
      <c r="F1" s="16" t="s">
        <v>5</v>
      </c>
      <c r="G1" s="16" t="s">
        <v>4</v>
      </c>
      <c r="H1" s="17" t="s">
        <v>8046</v>
      </c>
      <c r="I1" s="15" t="s">
        <v>11</v>
      </c>
      <c r="J1" s="16"/>
      <c r="K1" s="16"/>
      <c r="L1" s="16"/>
      <c r="M1" s="16"/>
      <c r="N1" s="16"/>
      <c r="O1" s="15" t="s">
        <v>12</v>
      </c>
      <c r="P1" s="16"/>
      <c r="Q1" s="16"/>
      <c r="R1" s="16"/>
      <c r="S1" s="16"/>
      <c r="T1" s="16"/>
    </row>
    <row r="2" spans="1:20" ht="42.75">
      <c r="A2" s="16"/>
      <c r="B2" s="16"/>
      <c r="C2" s="16"/>
      <c r="D2" s="16"/>
      <c r="E2" s="16"/>
      <c r="F2" s="16"/>
      <c r="G2" s="16"/>
      <c r="H2" s="18"/>
      <c r="I2" s="9" t="s">
        <v>6</v>
      </c>
      <c r="J2" s="6" t="s">
        <v>7</v>
      </c>
      <c r="K2" s="9" t="s">
        <v>8</v>
      </c>
      <c r="L2" s="10" t="s">
        <v>9</v>
      </c>
      <c r="M2" s="10" t="s">
        <v>10</v>
      </c>
      <c r="N2" s="10" t="s">
        <v>8269</v>
      </c>
      <c r="O2" s="9" t="s">
        <v>6</v>
      </c>
      <c r="P2" s="6" t="s">
        <v>7</v>
      </c>
      <c r="Q2" s="9" t="s">
        <v>8</v>
      </c>
      <c r="R2" s="10" t="s">
        <v>9</v>
      </c>
      <c r="S2" s="10" t="s">
        <v>10</v>
      </c>
      <c r="T2" s="10" t="s">
        <v>8269</v>
      </c>
    </row>
    <row r="3" spans="1:20">
      <c r="A3" s="3" t="s">
        <v>13</v>
      </c>
      <c r="B3" s="1" t="s">
        <v>14</v>
      </c>
      <c r="C3" s="3" t="s">
        <v>15</v>
      </c>
      <c r="D3" s="3" t="s">
        <v>16</v>
      </c>
      <c r="E3" s="3" t="s">
        <v>17</v>
      </c>
      <c r="F3" s="3" t="s">
        <v>18</v>
      </c>
      <c r="G3" s="3" t="s">
        <v>19</v>
      </c>
      <c r="H3" s="11" t="s">
        <v>8047</v>
      </c>
      <c r="I3" s="3" t="s">
        <v>4512</v>
      </c>
      <c r="J3" s="7">
        <v>1.77</v>
      </c>
      <c r="K3" s="2" t="s">
        <v>4513</v>
      </c>
      <c r="L3" s="2">
        <v>0.13700000000000001</v>
      </c>
      <c r="M3" s="2">
        <f>19665/100000</f>
        <v>0.19664999999999999</v>
      </c>
      <c r="N3" s="2">
        <v>0.48775069999999998</v>
      </c>
      <c r="O3" s="3" t="s">
        <v>4514</v>
      </c>
      <c r="P3" s="7">
        <v>1.43</v>
      </c>
      <c r="Q3" s="2" t="s">
        <v>4515</v>
      </c>
      <c r="R3" s="2">
        <v>0.35799999999999998</v>
      </c>
      <c r="S3" s="2">
        <f>35587/100000</f>
        <v>0.35587000000000002</v>
      </c>
      <c r="T3" s="2">
        <v>0.63342339999999997</v>
      </c>
    </row>
    <row r="4" spans="1:20">
      <c r="A4" s="3" t="s">
        <v>24</v>
      </c>
      <c r="B4" s="1" t="s">
        <v>25</v>
      </c>
      <c r="C4" s="3" t="s">
        <v>26</v>
      </c>
      <c r="D4" s="3" t="s">
        <v>27</v>
      </c>
      <c r="E4" s="3" t="s">
        <v>28</v>
      </c>
      <c r="F4" s="3" t="s">
        <v>29</v>
      </c>
      <c r="G4" s="3" t="s">
        <v>30</v>
      </c>
      <c r="H4" s="11" t="s">
        <v>8048</v>
      </c>
      <c r="I4" s="3" t="s">
        <v>4516</v>
      </c>
      <c r="J4" s="7">
        <v>0.76</v>
      </c>
      <c r="K4" s="2" t="s">
        <v>4517</v>
      </c>
      <c r="L4" s="2">
        <v>0.63200000000000001</v>
      </c>
      <c r="M4" s="2">
        <f>80247/100000</f>
        <v>0.80247000000000002</v>
      </c>
      <c r="N4" s="2">
        <v>0.82929589999999997</v>
      </c>
      <c r="O4" s="3" t="s">
        <v>4518</v>
      </c>
      <c r="P4" s="7">
        <v>1.54</v>
      </c>
      <c r="Q4" s="2" t="s">
        <v>4519</v>
      </c>
      <c r="R4" s="2">
        <v>0.26200000000000001</v>
      </c>
      <c r="S4" s="2">
        <f>33916/100000</f>
        <v>0.33916000000000002</v>
      </c>
      <c r="T4" s="2">
        <v>0.61526179999999997</v>
      </c>
    </row>
    <row r="5" spans="1:20">
      <c r="A5" s="3" t="s">
        <v>35</v>
      </c>
      <c r="B5" s="1" t="s">
        <v>36</v>
      </c>
      <c r="C5" s="3" t="s">
        <v>37</v>
      </c>
      <c r="D5" s="3" t="s">
        <v>38</v>
      </c>
      <c r="E5" s="3" t="s">
        <v>39</v>
      </c>
      <c r="F5" s="3" t="s">
        <v>40</v>
      </c>
      <c r="G5" s="3" t="s">
        <v>41</v>
      </c>
      <c r="H5" s="11" t="s">
        <v>8048</v>
      </c>
      <c r="I5" s="3" t="s">
        <v>4520</v>
      </c>
      <c r="J5" s="7">
        <v>1.1399999999999999</v>
      </c>
      <c r="K5" s="2" t="s">
        <v>4521</v>
      </c>
      <c r="L5" s="2">
        <v>0.69599999999999995</v>
      </c>
      <c r="M5" s="2">
        <f>71355/100000</f>
        <v>0.71355000000000002</v>
      </c>
      <c r="N5" s="2">
        <v>0.82137769999999999</v>
      </c>
      <c r="O5" s="3" t="s">
        <v>4522</v>
      </c>
      <c r="P5" s="7">
        <v>0.42</v>
      </c>
      <c r="Q5" s="2" t="s">
        <v>4523</v>
      </c>
      <c r="R5" s="2">
        <v>7.3099999999999998E-2</v>
      </c>
      <c r="S5" s="2">
        <f>8972/100000</f>
        <v>8.9719999999999994E-2</v>
      </c>
      <c r="T5" s="2">
        <v>0.3430975</v>
      </c>
    </row>
    <row r="6" spans="1:20">
      <c r="A6" s="3" t="s">
        <v>46</v>
      </c>
      <c r="B6" s="1" t="s">
        <v>47</v>
      </c>
      <c r="C6" s="3" t="s">
        <v>48</v>
      </c>
      <c r="D6" s="3" t="s">
        <v>49</v>
      </c>
      <c r="E6" s="3" t="s">
        <v>50</v>
      </c>
      <c r="F6" s="3" t="s">
        <v>51</v>
      </c>
      <c r="G6" s="3" t="s">
        <v>52</v>
      </c>
      <c r="H6" s="11" t="s">
        <v>8049</v>
      </c>
      <c r="I6" s="3" t="s">
        <v>4524</v>
      </c>
      <c r="J6" s="7">
        <v>0.82</v>
      </c>
      <c r="K6" s="2" t="s">
        <v>4525</v>
      </c>
      <c r="L6" s="2">
        <v>0.73099999999999998</v>
      </c>
      <c r="M6" s="2">
        <f>80524/100000</f>
        <v>0.80523999999999996</v>
      </c>
      <c r="N6" s="2">
        <v>0.82929589999999997</v>
      </c>
      <c r="O6" s="3" t="s">
        <v>4526</v>
      </c>
      <c r="P6" s="7">
        <v>1.29</v>
      </c>
      <c r="Q6" s="2" t="s">
        <v>4527</v>
      </c>
      <c r="R6" s="2">
        <v>0.53800000000000003</v>
      </c>
      <c r="S6" s="2">
        <f>63481/100000</f>
        <v>0.63480999999999999</v>
      </c>
      <c r="T6" s="2">
        <v>0.79869500000000004</v>
      </c>
    </row>
    <row r="7" spans="1:20">
      <c r="A7" s="3" t="s">
        <v>57</v>
      </c>
      <c r="B7" s="1" t="s">
        <v>58</v>
      </c>
      <c r="C7" s="3" t="s">
        <v>59</v>
      </c>
      <c r="D7" s="3" t="s">
        <v>60</v>
      </c>
      <c r="E7" s="3" t="s">
        <v>61</v>
      </c>
      <c r="F7" s="3" t="s">
        <v>62</v>
      </c>
      <c r="G7" s="3" t="s">
        <v>63</v>
      </c>
      <c r="H7" s="11" t="s">
        <v>8050</v>
      </c>
      <c r="I7" s="3" t="s">
        <v>4528</v>
      </c>
      <c r="J7" s="7">
        <v>0.91</v>
      </c>
      <c r="K7" s="2" t="s">
        <v>4529</v>
      </c>
      <c r="L7" s="2">
        <v>0.86399999999999999</v>
      </c>
      <c r="M7" s="2">
        <f>100000/100000</f>
        <v>1</v>
      </c>
      <c r="N7" s="2">
        <v>0.82929589999999997</v>
      </c>
      <c r="O7" s="3" t="s">
        <v>4530</v>
      </c>
      <c r="P7" s="7">
        <v>1.6</v>
      </c>
      <c r="Q7" s="2" t="s">
        <v>4531</v>
      </c>
      <c r="R7" s="2">
        <v>0.34799999999999998</v>
      </c>
      <c r="S7" s="2">
        <f>52608/100000</f>
        <v>0.52607999999999999</v>
      </c>
      <c r="T7" s="2">
        <v>0.74478149999999999</v>
      </c>
    </row>
    <row r="8" spans="1:20">
      <c r="A8" s="3" t="s">
        <v>68</v>
      </c>
      <c r="B8" s="1" t="s">
        <v>69</v>
      </c>
      <c r="C8" s="3" t="s">
        <v>70</v>
      </c>
      <c r="D8" s="3" t="s">
        <v>71</v>
      </c>
      <c r="E8" s="3" t="s">
        <v>72</v>
      </c>
      <c r="F8" s="3" t="s">
        <v>73</v>
      </c>
      <c r="G8" s="3" t="s">
        <v>74</v>
      </c>
      <c r="H8" s="11" t="s">
        <v>8049</v>
      </c>
      <c r="I8" s="3" t="s">
        <v>4532</v>
      </c>
      <c r="J8" s="7">
        <v>1</v>
      </c>
      <c r="K8" s="2" t="s">
        <v>4533</v>
      </c>
      <c r="L8" s="2">
        <v>0.98399999999999999</v>
      </c>
      <c r="M8" s="2">
        <f>100000/100000</f>
        <v>1</v>
      </c>
      <c r="N8" s="2">
        <v>0.82929589999999997</v>
      </c>
      <c r="O8" s="3" t="s">
        <v>4534</v>
      </c>
      <c r="P8" s="7">
        <v>1.39</v>
      </c>
      <c r="Q8" s="2" t="s">
        <v>4535</v>
      </c>
      <c r="R8" s="2">
        <v>6.93E-2</v>
      </c>
      <c r="S8" s="2">
        <f>7532/100000</f>
        <v>7.5319999999999998E-2</v>
      </c>
      <c r="T8" s="2">
        <v>0.30687740000000002</v>
      </c>
    </row>
    <row r="9" spans="1:20">
      <c r="A9" s="3" t="s">
        <v>79</v>
      </c>
      <c r="B9" s="1" t="s">
        <v>80</v>
      </c>
      <c r="C9" s="3" t="s">
        <v>81</v>
      </c>
      <c r="D9" s="3" t="s">
        <v>82</v>
      </c>
      <c r="E9" s="3" t="s">
        <v>83</v>
      </c>
      <c r="F9" s="3" t="s">
        <v>84</v>
      </c>
      <c r="G9" s="3" t="s">
        <v>85</v>
      </c>
      <c r="H9" s="11" t="s">
        <v>8050</v>
      </c>
      <c r="I9" s="3" t="s">
        <v>4536</v>
      </c>
      <c r="J9" s="7">
        <v>1.45</v>
      </c>
      <c r="K9" s="2" t="s">
        <v>4537</v>
      </c>
      <c r="L9" s="2">
        <v>0.46500000000000002</v>
      </c>
      <c r="M9" s="2">
        <f>53562/100000</f>
        <v>0.53561999999999999</v>
      </c>
      <c r="N9" s="2">
        <v>0.74478149999999999</v>
      </c>
      <c r="O9" s="3" t="s">
        <v>4538</v>
      </c>
      <c r="P9" s="7">
        <v>1.67</v>
      </c>
      <c r="Q9" s="2" t="s">
        <v>4539</v>
      </c>
      <c r="R9" s="2">
        <v>0.307</v>
      </c>
      <c r="S9" s="2">
        <f>31261/100000</f>
        <v>0.31261</v>
      </c>
      <c r="T9" s="2">
        <v>0.59882820000000003</v>
      </c>
    </row>
    <row r="10" spans="1:20">
      <c r="A10" s="3" t="s">
        <v>90</v>
      </c>
      <c r="B10" s="1" t="s">
        <v>91</v>
      </c>
      <c r="C10" s="3" t="s">
        <v>92</v>
      </c>
      <c r="D10" s="3" t="s">
        <v>93</v>
      </c>
      <c r="E10" s="3" t="s">
        <v>94</v>
      </c>
      <c r="F10" s="3" t="s">
        <v>95</v>
      </c>
      <c r="G10" s="3" t="s">
        <v>96</v>
      </c>
      <c r="H10" s="11" t="s">
        <v>8051</v>
      </c>
      <c r="I10" s="3" t="s">
        <v>4540</v>
      </c>
      <c r="J10" s="7">
        <v>1.03</v>
      </c>
      <c r="K10" s="2" t="s">
        <v>4541</v>
      </c>
      <c r="L10" s="2">
        <v>0.95</v>
      </c>
      <c r="M10" s="2">
        <f>100000/100000</f>
        <v>1</v>
      </c>
      <c r="N10" s="2">
        <v>0.82929589999999997</v>
      </c>
      <c r="O10" s="3" t="s">
        <v>4542</v>
      </c>
      <c r="P10" s="7">
        <v>0.85</v>
      </c>
      <c r="Q10" s="2" t="s">
        <v>4543</v>
      </c>
      <c r="R10" s="2">
        <v>0.78800000000000003</v>
      </c>
      <c r="S10" s="2">
        <f>100000/100000</f>
        <v>1</v>
      </c>
      <c r="T10" s="2">
        <v>0.82929589999999997</v>
      </c>
    </row>
    <row r="11" spans="1:20">
      <c r="A11" s="3" t="s">
        <v>101</v>
      </c>
      <c r="B11" s="1" t="s">
        <v>102</v>
      </c>
      <c r="C11" s="3" t="s">
        <v>103</v>
      </c>
      <c r="D11" s="3" t="s">
        <v>104</v>
      </c>
      <c r="E11" s="3" t="s">
        <v>105</v>
      </c>
      <c r="F11" s="3" t="s">
        <v>106</v>
      </c>
      <c r="G11" s="3" t="s">
        <v>107</v>
      </c>
      <c r="H11" s="11" t="s">
        <v>8052</v>
      </c>
      <c r="I11" s="3" t="s">
        <v>4544</v>
      </c>
      <c r="J11" s="7">
        <v>1.1200000000000001</v>
      </c>
      <c r="K11" s="2" t="s">
        <v>4545</v>
      </c>
      <c r="L11" s="2">
        <v>0.68</v>
      </c>
      <c r="M11" s="2">
        <f>76248/100000</f>
        <v>0.76248000000000005</v>
      </c>
      <c r="N11" s="2">
        <v>0.82929589999999997</v>
      </c>
      <c r="O11" s="3" t="s">
        <v>4546</v>
      </c>
      <c r="P11" s="7">
        <v>0.91</v>
      </c>
      <c r="Q11" s="2" t="s">
        <v>4547</v>
      </c>
      <c r="R11" s="2">
        <v>0.73099999999999998</v>
      </c>
      <c r="S11" s="2">
        <f>78719/100000</f>
        <v>0.78718999999999995</v>
      </c>
      <c r="T11" s="2">
        <v>0.82929589999999997</v>
      </c>
    </row>
    <row r="12" spans="1:20">
      <c r="A12" s="3" t="s">
        <v>112</v>
      </c>
      <c r="B12" s="1" t="s">
        <v>102</v>
      </c>
      <c r="C12" s="3" t="s">
        <v>103</v>
      </c>
      <c r="D12" s="3" t="s">
        <v>113</v>
      </c>
      <c r="E12" s="3" t="s">
        <v>114</v>
      </c>
      <c r="F12" s="3" t="s">
        <v>115</v>
      </c>
      <c r="G12" s="3" t="s">
        <v>116</v>
      </c>
      <c r="H12" s="11" t="s">
        <v>8053</v>
      </c>
      <c r="I12" s="3" t="s">
        <v>4548</v>
      </c>
      <c r="J12" s="7">
        <v>0.59</v>
      </c>
      <c r="K12" s="2" t="s">
        <v>4549</v>
      </c>
      <c r="L12" s="2">
        <v>0.44900000000000001</v>
      </c>
      <c r="M12" s="2">
        <f>59138/100000</f>
        <v>0.59138000000000002</v>
      </c>
      <c r="N12" s="2">
        <v>0.77707570000000004</v>
      </c>
      <c r="O12" s="3" t="s">
        <v>4550</v>
      </c>
      <c r="P12" s="7">
        <v>1.07</v>
      </c>
      <c r="Q12" s="2" t="s">
        <v>4551</v>
      </c>
      <c r="R12" s="2">
        <v>0.89200000000000002</v>
      </c>
      <c r="S12" s="2">
        <f>100000/100000</f>
        <v>1</v>
      </c>
      <c r="T12" s="2">
        <v>0.82929589999999997</v>
      </c>
    </row>
    <row r="13" spans="1:20">
      <c r="A13" s="3" t="s">
        <v>121</v>
      </c>
      <c r="B13" s="1" t="s">
        <v>122</v>
      </c>
      <c r="C13" s="3" t="s">
        <v>123</v>
      </c>
      <c r="D13" s="3" t="s">
        <v>124</v>
      </c>
      <c r="E13" s="3" t="s">
        <v>125</v>
      </c>
      <c r="F13" s="3" t="s">
        <v>126</v>
      </c>
      <c r="G13" s="3" t="s">
        <v>127</v>
      </c>
      <c r="H13" s="11" t="s">
        <v>8054</v>
      </c>
      <c r="I13" s="3" t="s">
        <v>4552</v>
      </c>
      <c r="J13" s="7">
        <v>1.22</v>
      </c>
      <c r="K13" s="2" t="s">
        <v>4553</v>
      </c>
      <c r="L13" s="2">
        <v>0.60899999999999999</v>
      </c>
      <c r="M13" s="2">
        <f>66911/100000</f>
        <v>0.66910999999999998</v>
      </c>
      <c r="N13" s="2">
        <v>0.80511429999999995</v>
      </c>
      <c r="O13" s="3" t="s">
        <v>4554</v>
      </c>
      <c r="P13" s="7">
        <v>0.83</v>
      </c>
      <c r="Q13" s="2" t="s">
        <v>4555</v>
      </c>
      <c r="R13" s="2">
        <v>0.753</v>
      </c>
      <c r="S13" s="2">
        <f>80619/100000</f>
        <v>0.80618999999999996</v>
      </c>
      <c r="T13" s="2">
        <v>0.82929589999999997</v>
      </c>
    </row>
    <row r="14" spans="1:20">
      <c r="A14" s="3" t="s">
        <v>132</v>
      </c>
      <c r="B14" s="1" t="s">
        <v>122</v>
      </c>
      <c r="C14" s="3" t="s">
        <v>123</v>
      </c>
      <c r="D14" s="3" t="s">
        <v>133</v>
      </c>
      <c r="E14" s="3" t="s">
        <v>134</v>
      </c>
      <c r="F14" s="3" t="s">
        <v>135</v>
      </c>
      <c r="G14" s="3" t="s">
        <v>136</v>
      </c>
      <c r="H14" s="11" t="s">
        <v>8054</v>
      </c>
      <c r="I14" s="3" t="s">
        <v>4556</v>
      </c>
      <c r="J14" s="7">
        <v>0.3</v>
      </c>
      <c r="K14" s="2" t="s">
        <v>4557</v>
      </c>
      <c r="L14" s="2">
        <v>7.4700000000000003E-2</v>
      </c>
      <c r="M14" s="2">
        <f>9970/100000</f>
        <v>9.9699999999999997E-2</v>
      </c>
      <c r="N14" s="2">
        <v>0.3565972</v>
      </c>
      <c r="O14" s="3" t="s">
        <v>4558</v>
      </c>
      <c r="P14" s="7">
        <v>0.93</v>
      </c>
      <c r="Q14" s="2" t="s">
        <v>4559</v>
      </c>
      <c r="R14" s="2">
        <v>0.86899999999999999</v>
      </c>
      <c r="S14" s="2">
        <f>100000/100000</f>
        <v>1</v>
      </c>
      <c r="T14" s="2">
        <v>0.82929589999999997</v>
      </c>
    </row>
    <row r="15" spans="1:20">
      <c r="A15" s="3" t="s">
        <v>141</v>
      </c>
      <c r="B15" s="1" t="s">
        <v>142</v>
      </c>
      <c r="C15" s="3" t="s">
        <v>143</v>
      </c>
      <c r="D15" s="3" t="s">
        <v>144</v>
      </c>
      <c r="E15" s="3" t="s">
        <v>145</v>
      </c>
      <c r="F15" s="3" t="s">
        <v>146</v>
      </c>
      <c r="G15" s="3" t="s">
        <v>147</v>
      </c>
      <c r="H15" s="11" t="s">
        <v>8055</v>
      </c>
      <c r="I15" s="3" t="s">
        <v>4560</v>
      </c>
      <c r="J15" s="7">
        <v>1.1299999999999999</v>
      </c>
      <c r="K15" s="2" t="s">
        <v>4561</v>
      </c>
      <c r="L15" s="2">
        <v>0.86</v>
      </c>
      <c r="M15" s="2">
        <f>100000/100000</f>
        <v>1</v>
      </c>
      <c r="N15" s="2">
        <v>0.82929589999999997</v>
      </c>
      <c r="O15" s="3" t="s">
        <v>4562</v>
      </c>
      <c r="P15" s="7">
        <v>0.99</v>
      </c>
      <c r="Q15" s="2" t="s">
        <v>4563</v>
      </c>
      <c r="R15" s="2">
        <v>0.99199999999999999</v>
      </c>
      <c r="S15" s="2">
        <f>100000/100000</f>
        <v>1</v>
      </c>
      <c r="T15" s="2">
        <v>0.82929589999999997</v>
      </c>
    </row>
    <row r="16" spans="1:20">
      <c r="A16" s="3" t="s">
        <v>152</v>
      </c>
      <c r="B16" s="1" t="s">
        <v>153</v>
      </c>
      <c r="C16" s="3" t="s">
        <v>154</v>
      </c>
      <c r="D16" s="3" t="s">
        <v>155</v>
      </c>
      <c r="E16" s="3" t="s">
        <v>156</v>
      </c>
      <c r="F16" s="3" t="s">
        <v>157</v>
      </c>
      <c r="G16" s="3" t="s">
        <v>158</v>
      </c>
      <c r="H16" s="11" t="s">
        <v>8056</v>
      </c>
      <c r="I16" s="3" t="s">
        <v>4564</v>
      </c>
      <c r="J16" s="7">
        <v>1.82</v>
      </c>
      <c r="K16" s="2" t="s">
        <v>4565</v>
      </c>
      <c r="L16" s="2">
        <v>0.39700000000000002</v>
      </c>
      <c r="M16" s="2">
        <f>63347/100000</f>
        <v>0.63346999999999998</v>
      </c>
      <c r="N16" s="2">
        <v>0.79869500000000004</v>
      </c>
      <c r="O16" s="3" t="s">
        <v>4566</v>
      </c>
      <c r="P16" s="7">
        <v>1.49</v>
      </c>
      <c r="Q16" s="2" t="s">
        <v>4567</v>
      </c>
      <c r="R16" s="2">
        <v>0.57799999999999996</v>
      </c>
      <c r="S16" s="2">
        <f>65013/100000</f>
        <v>0.65012999999999999</v>
      </c>
      <c r="T16" s="2">
        <v>0.80272969999999999</v>
      </c>
    </row>
    <row r="17" spans="1:20">
      <c r="A17" s="3" t="s">
        <v>163</v>
      </c>
      <c r="B17" s="1" t="s">
        <v>153</v>
      </c>
      <c r="C17" s="3" t="s">
        <v>154</v>
      </c>
      <c r="D17" s="3" t="s">
        <v>164</v>
      </c>
      <c r="E17" s="3" t="s">
        <v>165</v>
      </c>
      <c r="F17" s="3" t="s">
        <v>166</v>
      </c>
      <c r="G17" s="3" t="s">
        <v>167</v>
      </c>
      <c r="H17" s="11" t="s">
        <v>8050</v>
      </c>
      <c r="I17" s="3" t="s">
        <v>4568</v>
      </c>
      <c r="J17" s="7">
        <v>1.32</v>
      </c>
      <c r="K17" s="2" t="s">
        <v>4569</v>
      </c>
      <c r="L17" s="2">
        <v>0.69899999999999995</v>
      </c>
      <c r="M17" s="2">
        <f>100000/100000</f>
        <v>1</v>
      </c>
      <c r="N17" s="2">
        <v>0.82929589999999997</v>
      </c>
      <c r="O17" s="3" t="s">
        <v>4570</v>
      </c>
      <c r="P17" s="7">
        <v>2.2000000000000002</v>
      </c>
      <c r="Q17" s="2" t="s">
        <v>4571</v>
      </c>
      <c r="R17" s="2">
        <v>0.113</v>
      </c>
      <c r="S17" s="2">
        <f>11678/100000</f>
        <v>0.11677999999999999</v>
      </c>
      <c r="T17" s="2">
        <v>0.38060929999999998</v>
      </c>
    </row>
    <row r="18" spans="1:20">
      <c r="A18" s="3" t="s">
        <v>172</v>
      </c>
      <c r="B18" s="1" t="s">
        <v>173</v>
      </c>
      <c r="C18" s="3" t="s">
        <v>174</v>
      </c>
      <c r="D18" s="3" t="s">
        <v>175</v>
      </c>
      <c r="E18" s="3" t="s">
        <v>176</v>
      </c>
      <c r="F18" s="3" t="s">
        <v>177</v>
      </c>
      <c r="G18" s="3" t="s">
        <v>178</v>
      </c>
      <c r="H18" s="11" t="s">
        <v>8057</v>
      </c>
      <c r="I18" s="3" t="s">
        <v>4572</v>
      </c>
      <c r="J18" s="7">
        <v>0.63</v>
      </c>
      <c r="K18" s="2" t="s">
        <v>4573</v>
      </c>
      <c r="L18" s="2">
        <v>0.64500000000000002</v>
      </c>
      <c r="M18" s="2">
        <f>73910/100000</f>
        <v>0.73909999999999998</v>
      </c>
      <c r="N18" s="2">
        <v>0.82137769999999999</v>
      </c>
      <c r="O18" s="3" t="s">
        <v>4574</v>
      </c>
      <c r="P18" s="7">
        <v>1.68</v>
      </c>
      <c r="Q18" s="2" t="s">
        <v>4575</v>
      </c>
      <c r="R18" s="2">
        <v>0.249</v>
      </c>
      <c r="S18" s="2">
        <f>37852/100000</f>
        <v>0.37852000000000002</v>
      </c>
      <c r="T18" s="2">
        <v>0.65084330000000001</v>
      </c>
    </row>
    <row r="19" spans="1:20">
      <c r="A19" s="3" t="s">
        <v>183</v>
      </c>
      <c r="B19" s="1" t="s">
        <v>184</v>
      </c>
      <c r="C19" s="3" t="s">
        <v>185</v>
      </c>
      <c r="D19" s="3" t="s">
        <v>186</v>
      </c>
      <c r="E19" s="3" t="s">
        <v>187</v>
      </c>
      <c r="F19" s="3" t="s">
        <v>188</v>
      </c>
      <c r="G19" s="3" t="s">
        <v>189</v>
      </c>
      <c r="H19" s="11" t="s">
        <v>8058</v>
      </c>
      <c r="I19" s="3" t="s">
        <v>4576</v>
      </c>
      <c r="J19" s="7">
        <v>1.91</v>
      </c>
      <c r="K19" s="2" t="s">
        <v>4577</v>
      </c>
      <c r="L19" s="2">
        <v>0.11700000000000001</v>
      </c>
      <c r="M19" s="2">
        <f>14273/100000</f>
        <v>0.14273</v>
      </c>
      <c r="N19" s="2">
        <v>0.4148616</v>
      </c>
      <c r="O19" s="3" t="s">
        <v>4578</v>
      </c>
      <c r="P19" s="7">
        <v>1.8</v>
      </c>
      <c r="Q19" s="2" t="s">
        <v>4579</v>
      </c>
      <c r="R19" s="2">
        <v>0.1</v>
      </c>
      <c r="S19" s="2">
        <f>14310/100000</f>
        <v>0.1431</v>
      </c>
      <c r="T19" s="2">
        <v>0.4148616</v>
      </c>
    </row>
    <row r="20" spans="1:20">
      <c r="A20" s="3" t="s">
        <v>194</v>
      </c>
      <c r="B20" s="1" t="s">
        <v>184</v>
      </c>
      <c r="C20" s="3" t="s">
        <v>185</v>
      </c>
      <c r="D20" s="3" t="s">
        <v>195</v>
      </c>
      <c r="E20" s="3" t="s">
        <v>196</v>
      </c>
      <c r="F20" s="3" t="s">
        <v>197</v>
      </c>
      <c r="G20" s="3" t="s">
        <v>198</v>
      </c>
      <c r="H20" s="11" t="s">
        <v>8058</v>
      </c>
      <c r="I20" s="3" t="s">
        <v>4580</v>
      </c>
      <c r="J20" s="7">
        <v>1.34</v>
      </c>
      <c r="K20" s="2" t="s">
        <v>4581</v>
      </c>
      <c r="L20" s="2">
        <v>0.56200000000000006</v>
      </c>
      <c r="M20" s="2">
        <f>77359/100000</f>
        <v>0.77359</v>
      </c>
      <c r="N20" s="2">
        <v>0.82929589999999997</v>
      </c>
      <c r="O20" s="3" t="s">
        <v>4582</v>
      </c>
      <c r="P20" s="7">
        <v>1.99</v>
      </c>
      <c r="Q20" s="2" t="s">
        <v>4583</v>
      </c>
      <c r="R20" s="2">
        <v>4.0899999999999999E-2</v>
      </c>
      <c r="S20" s="2">
        <f>5395/100000</f>
        <v>5.3949999999999998E-2</v>
      </c>
      <c r="T20" s="2">
        <v>0.25254100000000002</v>
      </c>
    </row>
    <row r="21" spans="1:20">
      <c r="A21" s="3" t="s">
        <v>203</v>
      </c>
      <c r="B21" s="1" t="s">
        <v>204</v>
      </c>
      <c r="C21" s="3" t="s">
        <v>205</v>
      </c>
      <c r="D21" s="3" t="s">
        <v>206</v>
      </c>
      <c r="E21" s="3" t="s">
        <v>207</v>
      </c>
      <c r="F21" s="3" t="s">
        <v>208</v>
      </c>
      <c r="G21" s="3" t="s">
        <v>209</v>
      </c>
      <c r="H21" s="11" t="s">
        <v>8059</v>
      </c>
      <c r="I21" s="3" t="s">
        <v>4584</v>
      </c>
      <c r="J21" s="7">
        <v>1.01</v>
      </c>
      <c r="K21" s="2" t="s">
        <v>4585</v>
      </c>
      <c r="L21" s="2">
        <v>0.98399999999999999</v>
      </c>
      <c r="M21" s="2">
        <f>100000/100000</f>
        <v>1</v>
      </c>
      <c r="N21" s="2">
        <v>0.82929589999999997</v>
      </c>
      <c r="O21" s="3" t="s">
        <v>4586</v>
      </c>
      <c r="P21" s="7">
        <v>1.06</v>
      </c>
      <c r="Q21" s="2" t="s">
        <v>4587</v>
      </c>
      <c r="R21" s="2">
        <v>0.93300000000000005</v>
      </c>
      <c r="S21" s="2">
        <f>100000/100000</f>
        <v>1</v>
      </c>
      <c r="T21" s="2">
        <v>0.82929589999999997</v>
      </c>
    </row>
    <row r="22" spans="1:20">
      <c r="A22" s="3" t="s">
        <v>214</v>
      </c>
      <c r="B22" s="1" t="s">
        <v>215</v>
      </c>
      <c r="C22" s="3" t="s">
        <v>216</v>
      </c>
      <c r="D22" s="3" t="s">
        <v>217</v>
      </c>
      <c r="E22" s="3" t="s">
        <v>218</v>
      </c>
      <c r="F22" s="3" t="s">
        <v>219</v>
      </c>
      <c r="G22" s="3" t="s">
        <v>220</v>
      </c>
      <c r="H22" s="11" t="s">
        <v>8060</v>
      </c>
      <c r="I22" s="3" t="s">
        <v>4588</v>
      </c>
      <c r="J22" s="7">
        <v>0</v>
      </c>
      <c r="K22" s="2" t="s">
        <v>774</v>
      </c>
      <c r="L22" s="2">
        <v>7.46E-2</v>
      </c>
      <c r="M22" s="2">
        <f>8149/100000</f>
        <v>8.1490000000000007E-2</v>
      </c>
      <c r="N22" s="2">
        <v>0.32242100000000001</v>
      </c>
      <c r="O22" s="3" t="s">
        <v>4589</v>
      </c>
      <c r="P22" s="7">
        <v>1.29</v>
      </c>
      <c r="Q22" s="2" t="s">
        <v>4527</v>
      </c>
      <c r="R22" s="2">
        <v>0.53400000000000003</v>
      </c>
      <c r="S22" s="2">
        <f>63721/100000</f>
        <v>0.63721000000000005</v>
      </c>
      <c r="T22" s="2">
        <v>0.79869500000000004</v>
      </c>
    </row>
    <row r="23" spans="1:20">
      <c r="A23" s="3" t="s">
        <v>225</v>
      </c>
      <c r="B23" s="1" t="s">
        <v>215</v>
      </c>
      <c r="C23" s="3" t="s">
        <v>216</v>
      </c>
      <c r="D23" s="3" t="s">
        <v>226</v>
      </c>
      <c r="E23" s="3" t="s">
        <v>227</v>
      </c>
      <c r="F23" s="3" t="s">
        <v>228</v>
      </c>
      <c r="G23" s="3" t="s">
        <v>229</v>
      </c>
      <c r="H23" s="11" t="s">
        <v>8061</v>
      </c>
      <c r="I23" s="3" t="s">
        <v>4590</v>
      </c>
      <c r="J23" s="7">
        <v>0.77</v>
      </c>
      <c r="K23" s="2" t="s">
        <v>4591</v>
      </c>
      <c r="L23" s="2">
        <v>0.70799999999999996</v>
      </c>
      <c r="M23" s="2">
        <f>78086/100000</f>
        <v>0.78086</v>
      </c>
      <c r="N23" s="2">
        <v>0.82929589999999997</v>
      </c>
      <c r="O23" s="3" t="s">
        <v>4592</v>
      </c>
      <c r="P23" s="7">
        <v>1.79</v>
      </c>
      <c r="Q23" s="2" t="s">
        <v>4593</v>
      </c>
      <c r="R23" s="2">
        <v>0.125</v>
      </c>
      <c r="S23" s="2">
        <f>12366/100000</f>
        <v>0.12366000000000001</v>
      </c>
      <c r="T23" s="2">
        <v>0.39063799999999999</v>
      </c>
    </row>
    <row r="24" spans="1:20">
      <c r="A24" s="3" t="s">
        <v>234</v>
      </c>
      <c r="B24" s="1" t="s">
        <v>235</v>
      </c>
      <c r="C24" s="3" t="s">
        <v>236</v>
      </c>
      <c r="D24" s="3" t="s">
        <v>237</v>
      </c>
      <c r="E24" s="5" t="s">
        <v>238</v>
      </c>
      <c r="F24" s="3" t="s">
        <v>239</v>
      </c>
      <c r="G24" s="5" t="s">
        <v>240</v>
      </c>
      <c r="H24" s="11" t="s">
        <v>8062</v>
      </c>
      <c r="I24" s="3" t="s">
        <v>4594</v>
      </c>
      <c r="J24" s="7">
        <v>0.96</v>
      </c>
      <c r="K24" s="2" t="s">
        <v>4595</v>
      </c>
      <c r="L24" s="2">
        <v>0.84499999999999997</v>
      </c>
      <c r="M24" s="2">
        <f>91120/100000</f>
        <v>0.91120000000000001</v>
      </c>
      <c r="N24" s="2">
        <v>0.82929589999999997</v>
      </c>
      <c r="O24" s="3" t="s">
        <v>4596</v>
      </c>
      <c r="P24" s="7">
        <v>1.4</v>
      </c>
      <c r="Q24" s="2" t="s">
        <v>4597</v>
      </c>
      <c r="R24" s="2">
        <v>4.9099999999999998E-2</v>
      </c>
      <c r="S24" s="2">
        <f>5323/100000</f>
        <v>5.323E-2</v>
      </c>
      <c r="T24" s="2">
        <v>0.25062570000000001</v>
      </c>
    </row>
    <row r="25" spans="1:20">
      <c r="A25" s="3" t="s">
        <v>245</v>
      </c>
      <c r="B25" s="1" t="s">
        <v>246</v>
      </c>
      <c r="C25" s="3" t="s">
        <v>247</v>
      </c>
      <c r="D25" s="3" t="s">
        <v>248</v>
      </c>
      <c r="E25" s="3" t="s">
        <v>249</v>
      </c>
      <c r="F25" s="3" t="s">
        <v>250</v>
      </c>
      <c r="G25" s="3" t="s">
        <v>251</v>
      </c>
      <c r="H25" s="11" t="s">
        <v>8051</v>
      </c>
      <c r="I25" s="3" t="s">
        <v>4598</v>
      </c>
      <c r="J25" s="7">
        <v>0.47</v>
      </c>
      <c r="K25" s="2" t="s">
        <v>4599</v>
      </c>
      <c r="L25" s="2">
        <v>0.441</v>
      </c>
      <c r="M25" s="2">
        <f>53652/100000</f>
        <v>0.53652</v>
      </c>
      <c r="N25" s="2">
        <v>0.74478149999999999</v>
      </c>
      <c r="O25" s="3" t="s">
        <v>4600</v>
      </c>
      <c r="P25" s="7">
        <v>0.47</v>
      </c>
      <c r="Q25" s="2" t="s">
        <v>4601</v>
      </c>
      <c r="R25" s="2">
        <v>0.27900000000000003</v>
      </c>
      <c r="S25" s="2">
        <f>33478/100000</f>
        <v>0.33478000000000002</v>
      </c>
      <c r="T25" s="2">
        <v>0.61526179999999997</v>
      </c>
    </row>
    <row r="26" spans="1:20">
      <c r="A26" s="3" t="s">
        <v>256</v>
      </c>
      <c r="B26" s="1" t="s">
        <v>257</v>
      </c>
      <c r="C26" s="3" t="s">
        <v>258</v>
      </c>
      <c r="D26" s="3" t="s">
        <v>259</v>
      </c>
      <c r="E26" s="5" t="s">
        <v>260</v>
      </c>
      <c r="F26" s="3" t="s">
        <v>261</v>
      </c>
      <c r="G26" s="5" t="s">
        <v>262</v>
      </c>
      <c r="H26" s="11" t="s">
        <v>8063</v>
      </c>
      <c r="I26" s="3" t="s">
        <v>4602</v>
      </c>
      <c r="J26" s="7">
        <v>0</v>
      </c>
      <c r="K26" s="2" t="s">
        <v>774</v>
      </c>
      <c r="L26" s="2">
        <v>0.38700000000000001</v>
      </c>
      <c r="M26" s="2">
        <f>64516/100000</f>
        <v>0.64515999999999996</v>
      </c>
      <c r="N26" s="2">
        <v>0.7996318</v>
      </c>
      <c r="O26" s="3" t="s">
        <v>4603</v>
      </c>
      <c r="P26" s="7">
        <v>1.9</v>
      </c>
      <c r="Q26" s="2" t="s">
        <v>4604</v>
      </c>
      <c r="R26" s="2">
        <v>0.26700000000000002</v>
      </c>
      <c r="S26" s="2">
        <f>41433/100000</f>
        <v>0.41432999999999998</v>
      </c>
      <c r="T26" s="2">
        <v>0.67274999999999996</v>
      </c>
    </row>
    <row r="27" spans="1:20">
      <c r="A27" s="3" t="s">
        <v>267</v>
      </c>
      <c r="B27" s="1" t="s">
        <v>268</v>
      </c>
      <c r="C27" s="3" t="s">
        <v>269</v>
      </c>
      <c r="D27" s="3" t="s">
        <v>270</v>
      </c>
      <c r="E27" s="3" t="s">
        <v>271</v>
      </c>
      <c r="F27" s="3" t="s">
        <v>272</v>
      </c>
      <c r="G27" s="3" t="s">
        <v>273</v>
      </c>
      <c r="H27" s="11" t="s">
        <v>8064</v>
      </c>
      <c r="I27" s="3" t="s">
        <v>4605</v>
      </c>
      <c r="J27" s="7">
        <v>1.54</v>
      </c>
      <c r="K27" s="2" t="s">
        <v>4606</v>
      </c>
      <c r="L27" s="2">
        <v>0.25800000000000001</v>
      </c>
      <c r="M27" s="2">
        <f>33716/100000</f>
        <v>0.33716000000000002</v>
      </c>
      <c r="N27" s="2">
        <v>0.61526179999999997</v>
      </c>
      <c r="O27" s="3" t="s">
        <v>4607</v>
      </c>
      <c r="P27" s="7">
        <v>0.76</v>
      </c>
      <c r="Q27" s="2" t="s">
        <v>4608</v>
      </c>
      <c r="R27" s="2">
        <v>0.63600000000000001</v>
      </c>
      <c r="S27" s="2">
        <f>80228/100000</f>
        <v>0.80227999999999999</v>
      </c>
      <c r="T27" s="2">
        <v>0.82929589999999997</v>
      </c>
    </row>
    <row r="28" spans="1:20">
      <c r="A28" s="3" t="s">
        <v>278</v>
      </c>
      <c r="B28" s="1" t="s">
        <v>268</v>
      </c>
      <c r="C28" s="3" t="s">
        <v>269</v>
      </c>
      <c r="D28" s="3" t="s">
        <v>279</v>
      </c>
      <c r="E28" s="3" t="s">
        <v>280</v>
      </c>
      <c r="F28" s="3" t="s">
        <v>272</v>
      </c>
      <c r="G28" s="3" t="s">
        <v>273</v>
      </c>
      <c r="H28" s="11" t="s">
        <v>8065</v>
      </c>
      <c r="I28" s="3" t="s">
        <v>4609</v>
      </c>
      <c r="J28" s="7">
        <v>1.02</v>
      </c>
      <c r="K28" s="2" t="s">
        <v>4610</v>
      </c>
      <c r="L28" s="2">
        <v>0.96299999999999997</v>
      </c>
      <c r="M28" s="2">
        <f>100000/100000</f>
        <v>1</v>
      </c>
      <c r="N28" s="2">
        <v>0.82929589999999997</v>
      </c>
      <c r="O28" s="3" t="s">
        <v>4611</v>
      </c>
      <c r="P28" s="7">
        <v>1.31</v>
      </c>
      <c r="Q28" s="2" t="s">
        <v>4612</v>
      </c>
      <c r="R28" s="2">
        <v>0.51600000000000001</v>
      </c>
      <c r="S28" s="2">
        <f>63428/100000</f>
        <v>0.63427999999999995</v>
      </c>
      <c r="T28" s="2">
        <v>0.79869500000000004</v>
      </c>
    </row>
    <row r="29" spans="1:20">
      <c r="A29" s="3" t="s">
        <v>285</v>
      </c>
      <c r="B29" s="1" t="s">
        <v>286</v>
      </c>
      <c r="C29" s="3" t="s">
        <v>287</v>
      </c>
      <c r="D29" s="3" t="s">
        <v>288</v>
      </c>
      <c r="E29" s="3" t="s">
        <v>289</v>
      </c>
      <c r="F29" s="3" t="s">
        <v>290</v>
      </c>
      <c r="G29" s="3" t="s">
        <v>291</v>
      </c>
      <c r="H29" s="11" t="s">
        <v>8052</v>
      </c>
      <c r="I29" s="3" t="s">
        <v>4613</v>
      </c>
      <c r="J29" s="7">
        <v>0.37</v>
      </c>
      <c r="K29" s="2" t="s">
        <v>4614</v>
      </c>
      <c r="L29" s="2">
        <v>0.307</v>
      </c>
      <c r="M29" s="2">
        <f>38239/100000</f>
        <v>0.38239000000000001</v>
      </c>
      <c r="N29" s="2">
        <v>0.65125169999999999</v>
      </c>
      <c r="O29" s="3" t="s">
        <v>4615</v>
      </c>
      <c r="P29" s="7">
        <v>2.56</v>
      </c>
      <c r="Q29" s="2" t="s">
        <v>4616</v>
      </c>
      <c r="R29" s="2">
        <v>2.9099999999999998E-3</v>
      </c>
      <c r="S29" s="2">
        <f>799/100000</f>
        <v>7.9900000000000006E-3</v>
      </c>
      <c r="T29" s="2">
        <v>7.5144050000000004E-2</v>
      </c>
    </row>
    <row r="30" spans="1:20">
      <c r="A30" s="3" t="s">
        <v>296</v>
      </c>
      <c r="B30" s="1" t="s">
        <v>297</v>
      </c>
      <c r="C30" s="3" t="s">
        <v>298</v>
      </c>
      <c r="D30" s="3" t="s">
        <v>299</v>
      </c>
      <c r="E30" s="3" t="s">
        <v>300</v>
      </c>
      <c r="F30" s="3" t="s">
        <v>301</v>
      </c>
      <c r="G30" s="3" t="s">
        <v>302</v>
      </c>
      <c r="H30" s="11" t="s">
        <v>8066</v>
      </c>
      <c r="I30" s="3" t="s">
        <v>4617</v>
      </c>
      <c r="J30" s="7">
        <v>0.85</v>
      </c>
      <c r="K30" s="2" t="s">
        <v>4618</v>
      </c>
      <c r="L30" s="2">
        <v>0.86899999999999999</v>
      </c>
      <c r="M30" s="2">
        <f>100000/100000</f>
        <v>1</v>
      </c>
      <c r="N30" s="2">
        <v>0.82929589999999997</v>
      </c>
      <c r="O30" s="3" t="s">
        <v>4619</v>
      </c>
      <c r="P30" s="7">
        <v>0</v>
      </c>
      <c r="Q30" s="2" t="s">
        <v>774</v>
      </c>
      <c r="R30" s="2">
        <v>0.108</v>
      </c>
      <c r="S30" s="2">
        <f>11849/100000</f>
        <v>0.11849</v>
      </c>
      <c r="T30" s="2">
        <v>0.38060929999999998</v>
      </c>
    </row>
    <row r="31" spans="1:20">
      <c r="A31" s="3" t="s">
        <v>307</v>
      </c>
      <c r="B31" s="1" t="s">
        <v>308</v>
      </c>
      <c r="C31" s="3" t="s">
        <v>309</v>
      </c>
      <c r="D31" s="3" t="s">
        <v>310</v>
      </c>
      <c r="E31" s="3" t="s">
        <v>311</v>
      </c>
      <c r="F31" s="3" t="s">
        <v>312</v>
      </c>
      <c r="G31" s="3" t="s">
        <v>313</v>
      </c>
      <c r="H31" s="11" t="s">
        <v>8067</v>
      </c>
      <c r="I31" s="3" t="s">
        <v>4620</v>
      </c>
      <c r="J31" s="7">
        <v>1.19</v>
      </c>
      <c r="K31" s="2" t="s">
        <v>4621</v>
      </c>
      <c r="L31" s="2">
        <v>0.52</v>
      </c>
      <c r="M31" s="2">
        <f>56326/100000</f>
        <v>0.56325999999999998</v>
      </c>
      <c r="N31" s="2">
        <v>0.76054100000000002</v>
      </c>
      <c r="O31" s="3" t="s">
        <v>4622</v>
      </c>
      <c r="P31" s="7">
        <v>0.97</v>
      </c>
      <c r="Q31" s="2" t="s">
        <v>4623</v>
      </c>
      <c r="R31" s="2">
        <v>0.94199999999999995</v>
      </c>
      <c r="S31" s="2">
        <f>100000/100000</f>
        <v>1</v>
      </c>
      <c r="T31" s="2">
        <v>0.82929589999999997</v>
      </c>
    </row>
    <row r="32" spans="1:20">
      <c r="A32" s="3" t="s">
        <v>318</v>
      </c>
      <c r="B32" s="1" t="s">
        <v>308</v>
      </c>
      <c r="C32" s="3" t="s">
        <v>309</v>
      </c>
      <c r="D32" s="3" t="s">
        <v>319</v>
      </c>
      <c r="E32" s="3" t="s">
        <v>320</v>
      </c>
      <c r="F32" s="3" t="s">
        <v>321</v>
      </c>
      <c r="G32" s="3" t="s">
        <v>322</v>
      </c>
      <c r="H32" s="11" t="s">
        <v>8068</v>
      </c>
      <c r="I32" s="3" t="s">
        <v>4624</v>
      </c>
      <c r="J32" s="7">
        <v>1.74</v>
      </c>
      <c r="K32" s="2" t="s">
        <v>4625</v>
      </c>
      <c r="L32" s="2">
        <v>0.124</v>
      </c>
      <c r="M32" s="2">
        <f>15059/100000</f>
        <v>0.15059</v>
      </c>
      <c r="N32" s="2">
        <v>0.42697410000000002</v>
      </c>
      <c r="O32" s="3" t="s">
        <v>4626</v>
      </c>
      <c r="P32" s="7">
        <v>0.77</v>
      </c>
      <c r="Q32" s="2" t="s">
        <v>4627</v>
      </c>
      <c r="R32" s="2">
        <v>0.61299999999999999</v>
      </c>
      <c r="S32" s="2">
        <f>66867/100000</f>
        <v>0.66866999999999999</v>
      </c>
      <c r="T32" s="2">
        <v>0.80511429999999995</v>
      </c>
    </row>
    <row r="33" spans="1:20">
      <c r="A33" s="3" t="s">
        <v>327</v>
      </c>
      <c r="B33" s="1" t="s">
        <v>328</v>
      </c>
      <c r="C33" s="3" t="s">
        <v>329</v>
      </c>
      <c r="D33" s="3" t="s">
        <v>330</v>
      </c>
      <c r="E33" s="3" t="s">
        <v>331</v>
      </c>
      <c r="F33" s="3" t="s">
        <v>332</v>
      </c>
      <c r="G33" s="3" t="s">
        <v>333</v>
      </c>
      <c r="H33" s="11" t="s">
        <v>8069</v>
      </c>
      <c r="I33" s="3" t="s">
        <v>4628</v>
      </c>
      <c r="J33" s="7">
        <v>1.36</v>
      </c>
      <c r="K33" s="2" t="s">
        <v>4629</v>
      </c>
      <c r="L33" s="2">
        <v>0.22600000000000001</v>
      </c>
      <c r="M33" s="2">
        <f>24694/100000</f>
        <v>0.24693999999999999</v>
      </c>
      <c r="N33" s="2">
        <v>0.54859210000000003</v>
      </c>
      <c r="O33" s="3" t="s">
        <v>4630</v>
      </c>
      <c r="P33" s="7">
        <v>1.17</v>
      </c>
      <c r="Q33" s="2" t="s">
        <v>4631</v>
      </c>
      <c r="R33" s="2">
        <v>0.54100000000000004</v>
      </c>
      <c r="S33" s="2">
        <f>59192/100000</f>
        <v>0.59192</v>
      </c>
      <c r="T33" s="2">
        <v>0.77707570000000004</v>
      </c>
    </row>
    <row r="34" spans="1:20">
      <c r="A34" s="3" t="s">
        <v>338</v>
      </c>
      <c r="B34" s="1" t="s">
        <v>339</v>
      </c>
      <c r="C34" s="3" t="s">
        <v>340</v>
      </c>
      <c r="D34" s="3" t="s">
        <v>341</v>
      </c>
      <c r="E34" s="3" t="s">
        <v>342</v>
      </c>
      <c r="F34" s="3" t="s">
        <v>343</v>
      </c>
      <c r="G34" s="3" t="s">
        <v>344</v>
      </c>
      <c r="H34" s="11" t="s">
        <v>8060</v>
      </c>
      <c r="I34" s="3" t="s">
        <v>4632</v>
      </c>
      <c r="J34" s="7">
        <v>1.54</v>
      </c>
      <c r="K34" s="2" t="s">
        <v>4633</v>
      </c>
      <c r="L34" s="2">
        <v>7.0199999999999999E-2</v>
      </c>
      <c r="M34" s="2">
        <f>8025/100000</f>
        <v>8.0250000000000002E-2</v>
      </c>
      <c r="N34" s="2">
        <v>0.31914900000000002</v>
      </c>
      <c r="O34" s="3" t="s">
        <v>4634</v>
      </c>
      <c r="P34" s="7">
        <v>1.06</v>
      </c>
      <c r="Q34" s="2" t="s">
        <v>4635</v>
      </c>
      <c r="R34" s="2">
        <v>0.89600000000000002</v>
      </c>
      <c r="S34" s="2">
        <f>100000/100000</f>
        <v>1</v>
      </c>
      <c r="T34" s="2">
        <v>0.82929589999999997</v>
      </c>
    </row>
    <row r="35" spans="1:20">
      <c r="A35" s="3" t="s">
        <v>349</v>
      </c>
      <c r="B35" s="1" t="s">
        <v>350</v>
      </c>
      <c r="C35" s="3" t="s">
        <v>351</v>
      </c>
      <c r="D35" s="3" t="s">
        <v>341</v>
      </c>
      <c r="E35" s="3" t="s">
        <v>342</v>
      </c>
      <c r="F35" s="3" t="s">
        <v>343</v>
      </c>
      <c r="G35" s="3" t="s">
        <v>344</v>
      </c>
      <c r="H35" s="11" t="s">
        <v>8070</v>
      </c>
      <c r="I35" s="3" t="s">
        <v>4632</v>
      </c>
      <c r="J35" s="7">
        <v>1.54</v>
      </c>
      <c r="K35" s="2" t="s">
        <v>4633</v>
      </c>
      <c r="L35" s="2">
        <v>7.0199999999999999E-2</v>
      </c>
      <c r="M35" s="2">
        <f>8025/100000</f>
        <v>8.0250000000000002E-2</v>
      </c>
      <c r="N35" s="2">
        <v>0.31914900000000002</v>
      </c>
      <c r="O35" s="3" t="s">
        <v>4634</v>
      </c>
      <c r="P35" s="7">
        <v>1.06</v>
      </c>
      <c r="Q35" s="2" t="s">
        <v>4635</v>
      </c>
      <c r="R35" s="2">
        <v>0.89600000000000002</v>
      </c>
      <c r="S35" s="2">
        <f>100000/100000</f>
        <v>1</v>
      </c>
      <c r="T35" s="2">
        <v>0.82929589999999997</v>
      </c>
    </row>
    <row r="36" spans="1:20">
      <c r="A36" s="3" t="s">
        <v>352</v>
      </c>
      <c r="B36" s="1" t="s">
        <v>353</v>
      </c>
      <c r="C36" s="3" t="s">
        <v>354</v>
      </c>
      <c r="D36" s="3" t="s">
        <v>355</v>
      </c>
      <c r="E36" s="3" t="s">
        <v>356</v>
      </c>
      <c r="F36" s="3" t="s">
        <v>357</v>
      </c>
      <c r="G36" s="3" t="s">
        <v>358</v>
      </c>
      <c r="H36" s="11" t="s">
        <v>8071</v>
      </c>
      <c r="I36" s="3" t="s">
        <v>4636</v>
      </c>
      <c r="J36" s="7">
        <v>0.88</v>
      </c>
      <c r="K36" s="2" t="s">
        <v>4637</v>
      </c>
      <c r="L36" s="2">
        <v>0.89500000000000002</v>
      </c>
      <c r="M36" s="2">
        <f>100000/100000</f>
        <v>1</v>
      </c>
      <c r="N36" s="2">
        <v>0.82929589999999997</v>
      </c>
      <c r="O36" s="3" t="s">
        <v>4638</v>
      </c>
      <c r="P36" s="7">
        <v>0.71</v>
      </c>
      <c r="Q36" s="2" t="s">
        <v>4639</v>
      </c>
      <c r="R36" s="2">
        <v>0.73599999999999999</v>
      </c>
      <c r="S36" s="2">
        <f>100000/100000</f>
        <v>1</v>
      </c>
      <c r="T36" s="2">
        <v>0.82929589999999997</v>
      </c>
    </row>
    <row r="37" spans="1:20">
      <c r="A37" s="3" t="s">
        <v>363</v>
      </c>
      <c r="B37" s="1" t="s">
        <v>364</v>
      </c>
      <c r="C37" s="3" t="s">
        <v>365</v>
      </c>
      <c r="D37" s="3" t="s">
        <v>366</v>
      </c>
      <c r="E37" s="3" t="s">
        <v>367</v>
      </c>
      <c r="F37" s="3" t="s">
        <v>368</v>
      </c>
      <c r="G37" s="3" t="s">
        <v>369</v>
      </c>
      <c r="H37" s="11" t="s">
        <v>8072</v>
      </c>
      <c r="I37" s="3" t="s">
        <v>4640</v>
      </c>
      <c r="J37" s="7">
        <v>1.07</v>
      </c>
      <c r="K37" s="2" t="s">
        <v>4641</v>
      </c>
      <c r="L37" s="2">
        <v>0.91400000000000003</v>
      </c>
      <c r="M37" s="2">
        <f>100000/100000</f>
        <v>1</v>
      </c>
      <c r="N37" s="2">
        <v>0.82929589999999997</v>
      </c>
      <c r="O37" s="3" t="s">
        <v>4642</v>
      </c>
      <c r="P37" s="7">
        <v>0.48</v>
      </c>
      <c r="Q37" s="2" t="s">
        <v>4643</v>
      </c>
      <c r="R37" s="2">
        <v>0.45400000000000001</v>
      </c>
      <c r="S37" s="2">
        <f>53799/100000</f>
        <v>0.53798999999999997</v>
      </c>
      <c r="T37" s="2">
        <v>0.74478149999999999</v>
      </c>
    </row>
    <row r="38" spans="1:20">
      <c r="A38" s="3" t="s">
        <v>374</v>
      </c>
      <c r="B38" s="1" t="s">
        <v>375</v>
      </c>
      <c r="C38" s="3" t="s">
        <v>376</v>
      </c>
      <c r="D38" s="3" t="s">
        <v>377</v>
      </c>
      <c r="E38" s="3" t="s">
        <v>378</v>
      </c>
      <c r="F38" s="3" t="s">
        <v>379</v>
      </c>
      <c r="G38" s="3" t="s">
        <v>380</v>
      </c>
      <c r="H38" s="11" t="s">
        <v>8073</v>
      </c>
      <c r="I38" s="3" t="s">
        <v>4644</v>
      </c>
      <c r="J38" s="7">
        <v>0.43</v>
      </c>
      <c r="K38" s="2" t="s">
        <v>4645</v>
      </c>
      <c r="L38" s="2">
        <v>0.38900000000000001</v>
      </c>
      <c r="M38" s="2">
        <f>52913/100000</f>
        <v>0.52912999999999999</v>
      </c>
      <c r="N38" s="2">
        <v>0.74478149999999999</v>
      </c>
      <c r="O38" s="3" t="s">
        <v>4646</v>
      </c>
      <c r="P38" s="7">
        <v>2.29</v>
      </c>
      <c r="Q38" s="2" t="s">
        <v>4647</v>
      </c>
      <c r="R38" s="2">
        <v>9.6799999999999997E-2</v>
      </c>
      <c r="S38" s="2">
        <f>10608/100000</f>
        <v>0.10607999999999999</v>
      </c>
      <c r="T38" s="2">
        <v>0.364819</v>
      </c>
    </row>
    <row r="39" spans="1:20">
      <c r="A39" s="3" t="s">
        <v>385</v>
      </c>
      <c r="B39" s="1" t="s">
        <v>375</v>
      </c>
      <c r="C39" s="3" t="s">
        <v>376</v>
      </c>
      <c r="D39" s="3" t="s">
        <v>386</v>
      </c>
      <c r="E39" s="3" t="s">
        <v>387</v>
      </c>
      <c r="F39" s="3" t="s">
        <v>388</v>
      </c>
      <c r="G39" s="3" t="s">
        <v>389</v>
      </c>
      <c r="H39" s="11" t="s">
        <v>8053</v>
      </c>
      <c r="I39" s="3" t="s">
        <v>4648</v>
      </c>
      <c r="J39" s="7">
        <v>2.64</v>
      </c>
      <c r="K39" s="2" t="s">
        <v>4649</v>
      </c>
      <c r="L39" s="2">
        <v>5.0500000000000003E-2</v>
      </c>
      <c r="M39" s="2">
        <f>7403/100000</f>
        <v>7.4029999999999999E-2</v>
      </c>
      <c r="N39" s="2">
        <v>0.30530210000000002</v>
      </c>
      <c r="O39" s="3" t="s">
        <v>4650</v>
      </c>
      <c r="P39" s="7">
        <v>0.99</v>
      </c>
      <c r="Q39" s="2" t="s">
        <v>4651</v>
      </c>
      <c r="R39" s="2">
        <v>0.98599999999999999</v>
      </c>
      <c r="S39" s="2">
        <f>100000/100000</f>
        <v>1</v>
      </c>
      <c r="T39" s="2">
        <v>0.82929589999999997</v>
      </c>
    </row>
    <row r="40" spans="1:20">
      <c r="A40" s="3" t="s">
        <v>394</v>
      </c>
      <c r="B40" s="1" t="s">
        <v>395</v>
      </c>
      <c r="C40" s="3" t="s">
        <v>396</v>
      </c>
      <c r="D40" s="3" t="s">
        <v>397</v>
      </c>
      <c r="E40" s="3" t="s">
        <v>398</v>
      </c>
      <c r="F40" s="3" t="s">
        <v>399</v>
      </c>
      <c r="G40" s="3" t="s">
        <v>400</v>
      </c>
      <c r="H40" s="11" t="s">
        <v>8074</v>
      </c>
      <c r="I40" s="3" t="s">
        <v>4652</v>
      </c>
      <c r="J40" s="7">
        <v>1.1399999999999999</v>
      </c>
      <c r="K40" s="2" t="s">
        <v>4653</v>
      </c>
      <c r="L40" s="2">
        <v>0.85799999999999998</v>
      </c>
      <c r="M40" s="2">
        <f>100000/100000</f>
        <v>1</v>
      </c>
      <c r="N40" s="2">
        <v>0.82929589999999997</v>
      </c>
      <c r="O40" s="3" t="s">
        <v>4654</v>
      </c>
      <c r="P40" s="7">
        <v>2.0299999999999998</v>
      </c>
      <c r="Q40" s="2" t="s">
        <v>4655</v>
      </c>
      <c r="R40" s="2">
        <v>0.16</v>
      </c>
      <c r="S40" s="2">
        <f>27376/100000</f>
        <v>0.27376</v>
      </c>
      <c r="T40" s="2">
        <v>0.56620890000000001</v>
      </c>
    </row>
    <row r="41" spans="1:20">
      <c r="A41" s="3" t="s">
        <v>405</v>
      </c>
      <c r="B41" s="1" t="s">
        <v>406</v>
      </c>
      <c r="C41" s="3" t="s">
        <v>407</v>
      </c>
      <c r="D41" s="3" t="s">
        <v>408</v>
      </c>
      <c r="E41" s="3" t="s">
        <v>409</v>
      </c>
      <c r="F41" s="3" t="s">
        <v>410</v>
      </c>
      <c r="G41" s="3" t="s">
        <v>411</v>
      </c>
      <c r="H41" s="11" t="s">
        <v>8055</v>
      </c>
      <c r="I41" s="3" t="s">
        <v>4656</v>
      </c>
      <c r="J41" s="7">
        <v>1.94</v>
      </c>
      <c r="K41" s="2" t="s">
        <v>4657</v>
      </c>
      <c r="L41" s="2">
        <v>0.252</v>
      </c>
      <c r="M41" s="2">
        <f>40983/100000</f>
        <v>0.40983000000000003</v>
      </c>
      <c r="N41" s="2">
        <v>0.67049360000000002</v>
      </c>
      <c r="O41" s="3" t="s">
        <v>4658</v>
      </c>
      <c r="P41" s="7">
        <v>0</v>
      </c>
      <c r="Q41" s="2" t="s">
        <v>774</v>
      </c>
      <c r="R41" s="2">
        <v>0.14199999999999999</v>
      </c>
      <c r="S41" s="2">
        <f>17839/100000</f>
        <v>0.17838999999999999</v>
      </c>
      <c r="T41" s="2">
        <v>0.46586650000000002</v>
      </c>
    </row>
    <row r="42" spans="1:20">
      <c r="A42" s="3" t="s">
        <v>416</v>
      </c>
      <c r="B42" s="1" t="s">
        <v>406</v>
      </c>
      <c r="C42" s="3" t="s">
        <v>407</v>
      </c>
      <c r="D42" s="3" t="s">
        <v>417</v>
      </c>
      <c r="E42" s="3" t="s">
        <v>418</v>
      </c>
      <c r="F42" s="3" t="s">
        <v>410</v>
      </c>
      <c r="G42" s="3" t="s">
        <v>411</v>
      </c>
      <c r="H42" s="11" t="s">
        <v>8075</v>
      </c>
      <c r="I42" s="3" t="s">
        <v>4659</v>
      </c>
      <c r="J42" s="7">
        <v>0</v>
      </c>
      <c r="K42" s="2" t="s">
        <v>774</v>
      </c>
      <c r="L42" s="2">
        <v>0.16800000000000001</v>
      </c>
      <c r="M42" s="2">
        <f>27333/100000</f>
        <v>0.27333000000000002</v>
      </c>
      <c r="N42" s="2">
        <v>0.56620890000000001</v>
      </c>
      <c r="O42" s="3" t="s">
        <v>4660</v>
      </c>
      <c r="P42" s="7">
        <v>0.46</v>
      </c>
      <c r="Q42" s="2" t="s">
        <v>4661</v>
      </c>
      <c r="R42" s="2">
        <v>0.42599999999999999</v>
      </c>
      <c r="S42" s="2">
        <f>53244/100000</f>
        <v>0.53244000000000002</v>
      </c>
      <c r="T42" s="2">
        <v>0.74478149999999999</v>
      </c>
    </row>
    <row r="43" spans="1:20">
      <c r="A43" s="3" t="s">
        <v>423</v>
      </c>
      <c r="B43" s="1" t="s">
        <v>406</v>
      </c>
      <c r="C43" s="3" t="s">
        <v>407</v>
      </c>
      <c r="D43" s="3" t="s">
        <v>424</v>
      </c>
      <c r="E43" s="3" t="s">
        <v>425</v>
      </c>
      <c r="F43" s="3" t="s">
        <v>426</v>
      </c>
      <c r="G43" s="3" t="s">
        <v>427</v>
      </c>
      <c r="H43" s="11" t="s">
        <v>8076</v>
      </c>
      <c r="I43" s="3" t="s">
        <v>4662</v>
      </c>
      <c r="J43" s="7">
        <v>1.46</v>
      </c>
      <c r="K43" s="2" t="s">
        <v>4663</v>
      </c>
      <c r="L43" s="2">
        <v>0.59599999999999997</v>
      </c>
      <c r="M43" s="2">
        <f>65015/100000</f>
        <v>0.65015000000000001</v>
      </c>
      <c r="N43" s="2">
        <v>0.80272969999999999</v>
      </c>
      <c r="O43" s="3" t="s">
        <v>4664</v>
      </c>
      <c r="P43" s="7">
        <v>0</v>
      </c>
      <c r="Q43" s="2" t="s">
        <v>774</v>
      </c>
      <c r="R43" s="2">
        <v>0.19600000000000001</v>
      </c>
      <c r="S43" s="2">
        <f>27290/100000</f>
        <v>0.27289999999999998</v>
      </c>
      <c r="T43" s="2">
        <v>0.56620890000000001</v>
      </c>
    </row>
    <row r="44" spans="1:20">
      <c r="A44" s="3" t="s">
        <v>432</v>
      </c>
      <c r="B44" s="1" t="s">
        <v>406</v>
      </c>
      <c r="C44" s="3" t="s">
        <v>407</v>
      </c>
      <c r="D44" s="3" t="s">
        <v>433</v>
      </c>
      <c r="E44" s="3" t="s">
        <v>434</v>
      </c>
      <c r="F44" s="3" t="s">
        <v>426</v>
      </c>
      <c r="G44" s="3" t="s">
        <v>427</v>
      </c>
      <c r="H44" s="11" t="s">
        <v>8056</v>
      </c>
      <c r="I44" s="3" t="s">
        <v>4665</v>
      </c>
      <c r="J44" s="7">
        <v>0</v>
      </c>
      <c r="K44" s="2" t="s">
        <v>774</v>
      </c>
      <c r="L44" s="2">
        <v>0.13500000000000001</v>
      </c>
      <c r="M44" s="2">
        <f>17906/100000</f>
        <v>0.17906</v>
      </c>
      <c r="N44" s="2">
        <v>0.46658119999999997</v>
      </c>
      <c r="O44" s="3" t="s">
        <v>4666</v>
      </c>
      <c r="P44" s="7">
        <v>1.48</v>
      </c>
      <c r="Q44" s="2" t="s">
        <v>4667</v>
      </c>
      <c r="R44" s="2">
        <v>0.503</v>
      </c>
      <c r="S44" s="2">
        <f>72462/100000</f>
        <v>0.72462000000000004</v>
      </c>
      <c r="T44" s="2">
        <v>0.82137769999999999</v>
      </c>
    </row>
    <row r="45" spans="1:20">
      <c r="A45" s="3" t="s">
        <v>439</v>
      </c>
      <c r="B45" s="1" t="s">
        <v>440</v>
      </c>
      <c r="C45" s="3" t="s">
        <v>441</v>
      </c>
      <c r="D45" s="3" t="s">
        <v>442</v>
      </c>
      <c r="E45" s="3" t="s">
        <v>443</v>
      </c>
      <c r="F45" s="3" t="s">
        <v>444</v>
      </c>
      <c r="G45" s="3" t="s">
        <v>445</v>
      </c>
      <c r="H45" s="11" t="s">
        <v>8054</v>
      </c>
      <c r="I45" s="3" t="s">
        <v>4668</v>
      </c>
      <c r="J45" s="7">
        <v>1.89</v>
      </c>
      <c r="K45" s="2" t="s">
        <v>4669</v>
      </c>
      <c r="L45" s="2">
        <v>0.157</v>
      </c>
      <c r="M45" s="2">
        <f>20130/100000</f>
        <v>0.20130000000000001</v>
      </c>
      <c r="N45" s="2">
        <v>0.48870029999999998</v>
      </c>
      <c r="O45" s="3" t="s">
        <v>4670</v>
      </c>
      <c r="P45" s="7">
        <v>2.97</v>
      </c>
      <c r="Q45" s="2" t="s">
        <v>4671</v>
      </c>
      <c r="R45" s="2">
        <v>6.7000000000000002E-3</v>
      </c>
      <c r="S45" s="2">
        <f>1888/100000</f>
        <v>1.8880000000000001E-2</v>
      </c>
      <c r="T45" s="2">
        <v>0.1340179</v>
      </c>
    </row>
    <row r="46" spans="1:20">
      <c r="A46" s="3" t="s">
        <v>450</v>
      </c>
      <c r="B46" s="1" t="s">
        <v>440</v>
      </c>
      <c r="C46" s="3" t="s">
        <v>441</v>
      </c>
      <c r="D46" s="3" t="s">
        <v>451</v>
      </c>
      <c r="E46" s="3" t="s">
        <v>452</v>
      </c>
      <c r="F46" s="3" t="s">
        <v>453</v>
      </c>
      <c r="G46" s="3" t="s">
        <v>454</v>
      </c>
      <c r="H46" s="11" t="s">
        <v>8077</v>
      </c>
      <c r="I46" s="3" t="s">
        <v>4672</v>
      </c>
      <c r="J46" s="7">
        <v>1.41</v>
      </c>
      <c r="K46" s="2" t="s">
        <v>4673</v>
      </c>
      <c r="L46" s="2">
        <v>0.5</v>
      </c>
      <c r="M46" s="2">
        <f>53877/100000</f>
        <v>0.53876999999999997</v>
      </c>
      <c r="N46" s="2">
        <v>0.74478149999999999</v>
      </c>
      <c r="O46" s="3" t="s">
        <v>4674</v>
      </c>
      <c r="P46" s="7">
        <v>1.01</v>
      </c>
      <c r="Q46" s="2" t="s">
        <v>4675</v>
      </c>
      <c r="R46" s="2">
        <v>0.99</v>
      </c>
      <c r="S46" s="2">
        <f>100000/100000</f>
        <v>1</v>
      </c>
      <c r="T46" s="2">
        <v>0.82929589999999997</v>
      </c>
    </row>
    <row r="47" spans="1:20">
      <c r="A47" s="3" t="s">
        <v>459</v>
      </c>
      <c r="B47" s="1" t="s">
        <v>440</v>
      </c>
      <c r="C47" s="3" t="s">
        <v>441</v>
      </c>
      <c r="D47" s="3" t="s">
        <v>460</v>
      </c>
      <c r="E47" s="3" t="s">
        <v>461</v>
      </c>
      <c r="F47" s="3" t="s">
        <v>444</v>
      </c>
      <c r="G47" s="3" t="s">
        <v>445</v>
      </c>
      <c r="H47" s="11" t="s">
        <v>8078</v>
      </c>
      <c r="I47" s="3" t="s">
        <v>4676</v>
      </c>
      <c r="J47" s="7">
        <v>0.88</v>
      </c>
      <c r="K47" s="2" t="s">
        <v>4677</v>
      </c>
      <c r="L47" s="2">
        <v>0.83</v>
      </c>
      <c r="M47" s="2">
        <f>100000/100000</f>
        <v>1</v>
      </c>
      <c r="N47" s="2">
        <v>0.82929589999999997</v>
      </c>
      <c r="O47" s="3" t="s">
        <v>4678</v>
      </c>
      <c r="P47" s="7">
        <v>1.22</v>
      </c>
      <c r="Q47" s="2" t="s">
        <v>4679</v>
      </c>
      <c r="R47" s="2">
        <v>0.73499999999999999</v>
      </c>
      <c r="S47" s="2">
        <f>73958/100000</f>
        <v>0.73958000000000002</v>
      </c>
      <c r="T47" s="2">
        <v>0.8214224</v>
      </c>
    </row>
    <row r="48" spans="1:20">
      <c r="A48" s="3" t="s">
        <v>466</v>
      </c>
      <c r="B48" s="1" t="s">
        <v>440</v>
      </c>
      <c r="C48" s="3" t="s">
        <v>441</v>
      </c>
      <c r="D48" s="3" t="s">
        <v>467</v>
      </c>
      <c r="E48" s="3" t="s">
        <v>468</v>
      </c>
      <c r="F48" s="3" t="s">
        <v>453</v>
      </c>
      <c r="G48" s="3" t="s">
        <v>454</v>
      </c>
      <c r="H48" s="11" t="s">
        <v>8079</v>
      </c>
      <c r="I48" s="3" t="s">
        <v>4680</v>
      </c>
      <c r="J48" s="7">
        <v>0.59</v>
      </c>
      <c r="K48" s="2" t="s">
        <v>4681</v>
      </c>
      <c r="L48" s="2">
        <v>0.45600000000000002</v>
      </c>
      <c r="M48" s="2">
        <f>59132/100000</f>
        <v>0.59131999999999996</v>
      </c>
      <c r="N48" s="2">
        <v>0.77707570000000004</v>
      </c>
      <c r="O48" s="3" t="s">
        <v>4682</v>
      </c>
      <c r="P48" s="7">
        <v>1.0900000000000001</v>
      </c>
      <c r="Q48" s="2" t="s">
        <v>4683</v>
      </c>
      <c r="R48" s="2">
        <v>0.88600000000000001</v>
      </c>
      <c r="S48" s="2">
        <f>100000/100000</f>
        <v>1</v>
      </c>
      <c r="T48" s="2">
        <v>0.82929589999999997</v>
      </c>
    </row>
    <row r="49" spans="1:20">
      <c r="A49" s="3" t="s">
        <v>473</v>
      </c>
      <c r="B49" s="1" t="s">
        <v>474</v>
      </c>
      <c r="C49" s="3" t="s">
        <v>475</v>
      </c>
      <c r="D49" s="3" t="s">
        <v>442</v>
      </c>
      <c r="E49" s="3" t="s">
        <v>443</v>
      </c>
      <c r="F49" s="3" t="s">
        <v>444</v>
      </c>
      <c r="G49" s="3" t="s">
        <v>445</v>
      </c>
      <c r="H49" s="11" t="s">
        <v>8054</v>
      </c>
      <c r="I49" s="3" t="s">
        <v>4668</v>
      </c>
      <c r="J49" s="7">
        <v>1.89</v>
      </c>
      <c r="K49" s="2" t="s">
        <v>4669</v>
      </c>
      <c r="L49" s="2">
        <v>0.157</v>
      </c>
      <c r="M49" s="2">
        <f>20130/100000</f>
        <v>0.20130000000000001</v>
      </c>
      <c r="N49" s="2">
        <v>0.48870029999999998</v>
      </c>
      <c r="O49" s="3" t="s">
        <v>4670</v>
      </c>
      <c r="P49" s="7">
        <v>2.97</v>
      </c>
      <c r="Q49" s="2" t="s">
        <v>4671</v>
      </c>
      <c r="R49" s="2">
        <v>6.7000000000000002E-3</v>
      </c>
      <c r="S49" s="2">
        <f>1888/100000</f>
        <v>1.8880000000000001E-2</v>
      </c>
      <c r="T49" s="2">
        <v>0.1340179</v>
      </c>
    </row>
    <row r="50" spans="1:20">
      <c r="A50" s="3" t="s">
        <v>476</v>
      </c>
      <c r="B50" s="1" t="s">
        <v>474</v>
      </c>
      <c r="C50" s="3" t="s">
        <v>475</v>
      </c>
      <c r="D50" s="3" t="s">
        <v>460</v>
      </c>
      <c r="E50" s="3" t="s">
        <v>461</v>
      </c>
      <c r="F50" s="3" t="s">
        <v>444</v>
      </c>
      <c r="G50" s="3" t="s">
        <v>445</v>
      </c>
      <c r="H50" s="11" t="s">
        <v>8080</v>
      </c>
      <c r="I50" s="3" t="s">
        <v>4676</v>
      </c>
      <c r="J50" s="7">
        <v>0.88</v>
      </c>
      <c r="K50" s="2" t="s">
        <v>4677</v>
      </c>
      <c r="L50" s="2">
        <v>0.83</v>
      </c>
      <c r="M50" s="2">
        <f>100000/100000</f>
        <v>1</v>
      </c>
      <c r="N50" s="2">
        <v>0.82929589999999997</v>
      </c>
      <c r="O50" s="3" t="s">
        <v>4678</v>
      </c>
      <c r="P50" s="7">
        <v>1.22</v>
      </c>
      <c r="Q50" s="2" t="s">
        <v>4679</v>
      </c>
      <c r="R50" s="2">
        <v>0.73499999999999999</v>
      </c>
      <c r="S50" s="2">
        <f>73958/100000</f>
        <v>0.73958000000000002</v>
      </c>
      <c r="T50" s="2">
        <v>0.8214224</v>
      </c>
    </row>
    <row r="51" spans="1:20">
      <c r="A51" s="3" t="s">
        <v>477</v>
      </c>
      <c r="B51" s="1" t="s">
        <v>474</v>
      </c>
      <c r="C51" s="3" t="s">
        <v>475</v>
      </c>
      <c r="D51" s="3" t="s">
        <v>478</v>
      </c>
      <c r="E51" s="3" t="s">
        <v>479</v>
      </c>
      <c r="F51" s="3" t="s">
        <v>480</v>
      </c>
      <c r="G51" s="3" t="s">
        <v>481</v>
      </c>
      <c r="H51" s="11" t="s">
        <v>8079</v>
      </c>
      <c r="I51" s="3" t="s">
        <v>4680</v>
      </c>
      <c r="J51" s="7">
        <v>0.59</v>
      </c>
      <c r="K51" s="2" t="s">
        <v>4681</v>
      </c>
      <c r="L51" s="2">
        <v>0.45600000000000002</v>
      </c>
      <c r="M51" s="2">
        <f>59132/100000</f>
        <v>0.59131999999999996</v>
      </c>
      <c r="N51" s="2">
        <v>0.77707570000000004</v>
      </c>
      <c r="O51" s="3" t="s">
        <v>4682</v>
      </c>
      <c r="P51" s="7">
        <v>1.0900000000000001</v>
      </c>
      <c r="Q51" s="2" t="s">
        <v>4683</v>
      </c>
      <c r="R51" s="2">
        <v>0.88600000000000001</v>
      </c>
      <c r="S51" s="2">
        <f>100000/100000</f>
        <v>1</v>
      </c>
      <c r="T51" s="2">
        <v>0.82929589999999997</v>
      </c>
    </row>
    <row r="52" spans="1:20">
      <c r="A52" s="3" t="s">
        <v>482</v>
      </c>
      <c r="B52" s="1" t="s">
        <v>474</v>
      </c>
      <c r="C52" s="3" t="s">
        <v>475</v>
      </c>
      <c r="D52" s="3" t="s">
        <v>483</v>
      </c>
      <c r="E52" s="3" t="s">
        <v>484</v>
      </c>
      <c r="F52" s="3" t="s">
        <v>480</v>
      </c>
      <c r="G52" s="3" t="s">
        <v>481</v>
      </c>
      <c r="H52" s="11" t="s">
        <v>8081</v>
      </c>
      <c r="I52" s="3" t="s">
        <v>4672</v>
      </c>
      <c r="J52" s="7">
        <v>1.41</v>
      </c>
      <c r="K52" s="2" t="s">
        <v>4673</v>
      </c>
      <c r="L52" s="2">
        <v>0.5</v>
      </c>
      <c r="M52" s="2">
        <f>53877/100000</f>
        <v>0.53876999999999997</v>
      </c>
      <c r="N52" s="2">
        <v>0.74478149999999999</v>
      </c>
      <c r="O52" s="3" t="s">
        <v>4674</v>
      </c>
      <c r="P52" s="7">
        <v>1.01</v>
      </c>
      <c r="Q52" s="2" t="s">
        <v>4675</v>
      </c>
      <c r="R52" s="2">
        <v>0.99</v>
      </c>
      <c r="S52" s="2">
        <f>100000/100000</f>
        <v>1</v>
      </c>
      <c r="T52" s="2">
        <v>0.82929589999999997</v>
      </c>
    </row>
    <row r="53" spans="1:20">
      <c r="A53" s="3" t="s">
        <v>485</v>
      </c>
      <c r="B53" s="1" t="s">
        <v>474</v>
      </c>
      <c r="C53" s="3" t="s">
        <v>475</v>
      </c>
      <c r="D53" s="3" t="s">
        <v>408</v>
      </c>
      <c r="E53" s="3" t="s">
        <v>409</v>
      </c>
      <c r="F53" s="3" t="s">
        <v>410</v>
      </c>
      <c r="G53" s="3" t="s">
        <v>411</v>
      </c>
      <c r="H53" s="11" t="s">
        <v>8055</v>
      </c>
      <c r="I53" s="3" t="s">
        <v>4656</v>
      </c>
      <c r="J53" s="7">
        <v>1.94</v>
      </c>
      <c r="K53" s="2" t="s">
        <v>4657</v>
      </c>
      <c r="L53" s="2">
        <v>0.252</v>
      </c>
      <c r="M53" s="2">
        <f>40983/100000</f>
        <v>0.40983000000000003</v>
      </c>
      <c r="N53" s="2">
        <v>0.67049360000000002</v>
      </c>
      <c r="O53" s="3" t="s">
        <v>4658</v>
      </c>
      <c r="P53" s="7">
        <v>0</v>
      </c>
      <c r="Q53" s="2" t="s">
        <v>774</v>
      </c>
      <c r="R53" s="2">
        <v>0.14199999999999999</v>
      </c>
      <c r="S53" s="2">
        <f>17839/100000</f>
        <v>0.17838999999999999</v>
      </c>
      <c r="T53" s="2">
        <v>0.46586650000000002</v>
      </c>
    </row>
    <row r="54" spans="1:20">
      <c r="A54" s="3" t="s">
        <v>486</v>
      </c>
      <c r="B54" s="1" t="s">
        <v>474</v>
      </c>
      <c r="C54" s="3" t="s">
        <v>475</v>
      </c>
      <c r="D54" s="3" t="s">
        <v>417</v>
      </c>
      <c r="E54" s="3" t="s">
        <v>418</v>
      </c>
      <c r="F54" s="3" t="s">
        <v>410</v>
      </c>
      <c r="G54" s="3" t="s">
        <v>411</v>
      </c>
      <c r="H54" s="11" t="s">
        <v>8082</v>
      </c>
      <c r="I54" s="3" t="s">
        <v>4659</v>
      </c>
      <c r="J54" s="7">
        <v>0</v>
      </c>
      <c r="K54" s="2" t="s">
        <v>774</v>
      </c>
      <c r="L54" s="2">
        <v>0.16800000000000001</v>
      </c>
      <c r="M54" s="2">
        <f>27333/100000</f>
        <v>0.27333000000000002</v>
      </c>
      <c r="N54" s="2">
        <v>0.56620890000000001</v>
      </c>
      <c r="O54" s="3" t="s">
        <v>4660</v>
      </c>
      <c r="P54" s="7">
        <v>0.46</v>
      </c>
      <c r="Q54" s="2" t="s">
        <v>4661</v>
      </c>
      <c r="R54" s="2">
        <v>0.42599999999999999</v>
      </c>
      <c r="S54" s="2">
        <f>53244/100000</f>
        <v>0.53244000000000002</v>
      </c>
      <c r="T54" s="2">
        <v>0.74478149999999999</v>
      </c>
    </row>
    <row r="55" spans="1:20">
      <c r="A55" s="3" t="s">
        <v>487</v>
      </c>
      <c r="B55" s="1" t="s">
        <v>474</v>
      </c>
      <c r="C55" s="3" t="s">
        <v>475</v>
      </c>
      <c r="D55" s="3" t="s">
        <v>424</v>
      </c>
      <c r="E55" s="3" t="s">
        <v>425</v>
      </c>
      <c r="F55" s="3" t="s">
        <v>426</v>
      </c>
      <c r="G55" s="3" t="s">
        <v>427</v>
      </c>
      <c r="H55" s="11" t="s">
        <v>8083</v>
      </c>
      <c r="I55" s="3" t="s">
        <v>4662</v>
      </c>
      <c r="J55" s="7">
        <v>1.46</v>
      </c>
      <c r="K55" s="2" t="s">
        <v>4663</v>
      </c>
      <c r="L55" s="2">
        <v>0.59599999999999997</v>
      </c>
      <c r="M55" s="2">
        <f>65015/100000</f>
        <v>0.65015000000000001</v>
      </c>
      <c r="N55" s="2">
        <v>0.80272969999999999</v>
      </c>
      <c r="O55" s="3" t="s">
        <v>4664</v>
      </c>
      <c r="P55" s="7">
        <v>0</v>
      </c>
      <c r="Q55" s="2" t="s">
        <v>774</v>
      </c>
      <c r="R55" s="2">
        <v>0.19600000000000001</v>
      </c>
      <c r="S55" s="2">
        <f>27290/100000</f>
        <v>0.27289999999999998</v>
      </c>
      <c r="T55" s="2">
        <v>0.56620890000000001</v>
      </c>
    </row>
    <row r="56" spans="1:20">
      <c r="A56" s="3" t="s">
        <v>488</v>
      </c>
      <c r="B56" s="1" t="s">
        <v>474</v>
      </c>
      <c r="C56" s="3" t="s">
        <v>475</v>
      </c>
      <c r="D56" s="3" t="s">
        <v>433</v>
      </c>
      <c r="E56" s="3" t="s">
        <v>434</v>
      </c>
      <c r="F56" s="3" t="s">
        <v>426</v>
      </c>
      <c r="G56" s="3" t="s">
        <v>427</v>
      </c>
      <c r="H56" s="11" t="s">
        <v>8056</v>
      </c>
      <c r="I56" s="3" t="s">
        <v>4665</v>
      </c>
      <c r="J56" s="7">
        <v>0</v>
      </c>
      <c r="K56" s="2" t="s">
        <v>774</v>
      </c>
      <c r="L56" s="2">
        <v>0.13500000000000001</v>
      </c>
      <c r="M56" s="2">
        <f>17906/100000</f>
        <v>0.17906</v>
      </c>
      <c r="N56" s="2">
        <v>0.46658119999999997</v>
      </c>
      <c r="O56" s="3" t="s">
        <v>4666</v>
      </c>
      <c r="P56" s="7">
        <v>1.48</v>
      </c>
      <c r="Q56" s="2" t="s">
        <v>4667</v>
      </c>
      <c r="R56" s="2">
        <v>0.503</v>
      </c>
      <c r="S56" s="2">
        <f>72462/100000</f>
        <v>0.72462000000000004</v>
      </c>
      <c r="T56" s="2">
        <v>0.82137769999999999</v>
      </c>
    </row>
    <row r="57" spans="1:20">
      <c r="A57" s="3" t="s">
        <v>489</v>
      </c>
      <c r="B57" s="1" t="s">
        <v>490</v>
      </c>
      <c r="C57" s="3" t="s">
        <v>491</v>
      </c>
      <c r="D57" s="3" t="s">
        <v>492</v>
      </c>
      <c r="E57" s="3" t="s">
        <v>493</v>
      </c>
      <c r="F57" s="3" t="s">
        <v>494</v>
      </c>
      <c r="G57" s="3" t="s">
        <v>495</v>
      </c>
      <c r="H57" s="11" t="s">
        <v>8084</v>
      </c>
      <c r="I57" s="3" t="s">
        <v>4684</v>
      </c>
      <c r="J57" s="7">
        <v>0.67</v>
      </c>
      <c r="K57" s="2" t="s">
        <v>4685</v>
      </c>
      <c r="L57" s="2">
        <v>0.26600000000000001</v>
      </c>
      <c r="M57" s="2">
        <f>29723/100000</f>
        <v>0.29722999999999999</v>
      </c>
      <c r="N57" s="2">
        <v>0.58298740000000004</v>
      </c>
      <c r="O57" s="3" t="s">
        <v>4686</v>
      </c>
      <c r="P57" s="7">
        <v>1.68</v>
      </c>
      <c r="Q57" s="2" t="s">
        <v>4687</v>
      </c>
      <c r="R57" s="2">
        <v>2.7699999999999999E-2</v>
      </c>
      <c r="S57" s="2">
        <f>3481/100000</f>
        <v>3.4810000000000001E-2</v>
      </c>
      <c r="T57" s="2">
        <v>0.1960739</v>
      </c>
    </row>
    <row r="58" spans="1:20">
      <c r="A58" s="3" t="s">
        <v>501</v>
      </c>
      <c r="B58" s="1" t="s">
        <v>490</v>
      </c>
      <c r="C58" s="3" t="s">
        <v>491</v>
      </c>
      <c r="D58" s="3" t="s">
        <v>502</v>
      </c>
      <c r="E58" s="3" t="s">
        <v>503</v>
      </c>
      <c r="F58" s="3" t="s">
        <v>504</v>
      </c>
      <c r="G58" s="3" t="s">
        <v>505</v>
      </c>
      <c r="H58" s="11" t="s">
        <v>8085</v>
      </c>
      <c r="I58" s="3" t="s">
        <v>4688</v>
      </c>
      <c r="J58" s="7">
        <v>0.67</v>
      </c>
      <c r="K58" s="2" t="s">
        <v>4689</v>
      </c>
      <c r="L58" s="2">
        <v>0.48599999999999999</v>
      </c>
      <c r="M58" s="2">
        <f>63719/100000</f>
        <v>0.63719000000000003</v>
      </c>
      <c r="N58" s="2">
        <v>0.79869500000000004</v>
      </c>
      <c r="O58" s="3" t="s">
        <v>4690</v>
      </c>
      <c r="P58" s="7">
        <v>1.28</v>
      </c>
      <c r="Q58" s="2" t="s">
        <v>4691</v>
      </c>
      <c r="R58" s="2">
        <v>0.55500000000000005</v>
      </c>
      <c r="S58" s="2">
        <f>63832/100000</f>
        <v>0.63832</v>
      </c>
      <c r="T58" s="2">
        <v>0.79869500000000004</v>
      </c>
    </row>
    <row r="59" spans="1:20">
      <c r="A59" s="3" t="s">
        <v>510</v>
      </c>
      <c r="B59" s="1" t="s">
        <v>511</v>
      </c>
      <c r="C59" s="3" t="s">
        <v>512</v>
      </c>
      <c r="D59" s="3" t="s">
        <v>513</v>
      </c>
      <c r="E59" s="5" t="s">
        <v>514</v>
      </c>
      <c r="F59" s="3" t="s">
        <v>515</v>
      </c>
      <c r="G59" s="3" t="s">
        <v>516</v>
      </c>
      <c r="H59" s="11" t="s">
        <v>8086</v>
      </c>
      <c r="I59" s="3" t="s">
        <v>4692</v>
      </c>
      <c r="J59" s="7">
        <v>0.86</v>
      </c>
      <c r="K59" s="2" t="s">
        <v>4693</v>
      </c>
      <c r="L59" s="2">
        <v>0.39500000000000002</v>
      </c>
      <c r="M59" s="2">
        <f>40920/100000</f>
        <v>0.40920000000000001</v>
      </c>
      <c r="N59" s="2">
        <v>0.67049360000000002</v>
      </c>
      <c r="O59" s="3" t="s">
        <v>4694</v>
      </c>
      <c r="P59" s="7">
        <v>0.85</v>
      </c>
      <c r="Q59" s="2" t="s">
        <v>3565</v>
      </c>
      <c r="R59" s="2">
        <v>0.28799999999999998</v>
      </c>
      <c r="S59" s="2">
        <f>31093/100000</f>
        <v>0.31092999999999998</v>
      </c>
      <c r="T59" s="2">
        <v>0.59678059999999999</v>
      </c>
    </row>
    <row r="60" spans="1:20">
      <c r="A60" s="3" t="s">
        <v>521</v>
      </c>
      <c r="B60" s="1" t="s">
        <v>511</v>
      </c>
      <c r="C60" s="3" t="s">
        <v>512</v>
      </c>
      <c r="D60" s="3" t="s">
        <v>522</v>
      </c>
      <c r="E60" s="3" t="s">
        <v>523</v>
      </c>
      <c r="F60" s="3" t="s">
        <v>515</v>
      </c>
      <c r="G60" s="3" t="s">
        <v>516</v>
      </c>
      <c r="H60" s="11" t="s">
        <v>8087</v>
      </c>
      <c r="I60" s="3" t="s">
        <v>4695</v>
      </c>
      <c r="J60" s="7">
        <v>1</v>
      </c>
      <c r="K60" s="2" t="s">
        <v>4696</v>
      </c>
      <c r="L60" s="2">
        <v>0.98799999999999999</v>
      </c>
      <c r="M60" s="2">
        <f>100000/100000</f>
        <v>1</v>
      </c>
      <c r="N60" s="2">
        <v>0.82929589999999997</v>
      </c>
      <c r="O60" s="3" t="s">
        <v>4697</v>
      </c>
      <c r="P60" s="7">
        <v>0.93</v>
      </c>
      <c r="Q60" s="2" t="s">
        <v>4698</v>
      </c>
      <c r="R60" s="2">
        <v>0.625</v>
      </c>
      <c r="S60" s="2">
        <f>66580/100000</f>
        <v>0.66579999999999995</v>
      </c>
      <c r="T60" s="2">
        <v>0.80511429999999995</v>
      </c>
    </row>
    <row r="61" spans="1:20">
      <c r="A61" s="3" t="s">
        <v>528</v>
      </c>
      <c r="B61" s="1" t="s">
        <v>529</v>
      </c>
      <c r="C61" s="3" t="s">
        <v>530</v>
      </c>
      <c r="D61" s="3" t="s">
        <v>531</v>
      </c>
      <c r="E61" s="3" t="s">
        <v>532</v>
      </c>
      <c r="F61" s="3" t="s">
        <v>533</v>
      </c>
      <c r="G61" s="3" t="s">
        <v>534</v>
      </c>
      <c r="H61" s="11" t="s">
        <v>8057</v>
      </c>
      <c r="I61" s="3" t="s">
        <v>4699</v>
      </c>
      <c r="J61" s="7">
        <v>1.0900000000000001</v>
      </c>
      <c r="K61" s="2" t="s">
        <v>4700</v>
      </c>
      <c r="L61" s="2">
        <v>0.71099999999999997</v>
      </c>
      <c r="M61" s="2">
        <f>72141/100000</f>
        <v>0.72141</v>
      </c>
      <c r="N61" s="2">
        <v>0.82137769999999999</v>
      </c>
      <c r="O61" s="3" t="s">
        <v>4701</v>
      </c>
      <c r="P61" s="7">
        <v>1.24</v>
      </c>
      <c r="Q61" s="2" t="s">
        <v>4702</v>
      </c>
      <c r="R61" s="2">
        <v>0.373</v>
      </c>
      <c r="S61" s="2">
        <f>42919/100000</f>
        <v>0.42919000000000002</v>
      </c>
      <c r="T61" s="2">
        <v>0.68403040000000004</v>
      </c>
    </row>
    <row r="62" spans="1:20">
      <c r="A62" s="3" t="s">
        <v>539</v>
      </c>
      <c r="B62" s="1" t="s">
        <v>529</v>
      </c>
      <c r="C62" s="3" t="s">
        <v>530</v>
      </c>
      <c r="D62" s="3" t="s">
        <v>540</v>
      </c>
      <c r="E62" s="3" t="s">
        <v>541</v>
      </c>
      <c r="F62" s="3" t="s">
        <v>533</v>
      </c>
      <c r="G62" s="3" t="s">
        <v>534</v>
      </c>
      <c r="H62" s="11" t="s">
        <v>8057</v>
      </c>
      <c r="I62" s="3" t="s">
        <v>4703</v>
      </c>
      <c r="J62" s="7">
        <v>1.47</v>
      </c>
      <c r="K62" s="2" t="s">
        <v>4704</v>
      </c>
      <c r="L62" s="2">
        <v>6.9800000000000001E-2</v>
      </c>
      <c r="M62" s="2">
        <f>7462/100000</f>
        <v>7.4620000000000006E-2</v>
      </c>
      <c r="N62" s="2">
        <v>0.3054017</v>
      </c>
      <c r="O62" s="3" t="s">
        <v>4705</v>
      </c>
      <c r="P62" s="7">
        <v>1.02</v>
      </c>
      <c r="Q62" s="2" t="s">
        <v>4706</v>
      </c>
      <c r="R62" s="2">
        <v>0.96</v>
      </c>
      <c r="S62" s="2">
        <f>100000/100000</f>
        <v>1</v>
      </c>
      <c r="T62" s="2">
        <v>0.82929589999999997</v>
      </c>
    </row>
    <row r="63" spans="1:20">
      <c r="A63" s="3" t="s">
        <v>546</v>
      </c>
      <c r="B63" s="1" t="s">
        <v>547</v>
      </c>
      <c r="C63" s="3" t="s">
        <v>548</v>
      </c>
      <c r="D63" s="3" t="s">
        <v>549</v>
      </c>
      <c r="E63" s="3" t="s">
        <v>550</v>
      </c>
      <c r="F63" s="3" t="s">
        <v>551</v>
      </c>
      <c r="G63" s="3" t="s">
        <v>552</v>
      </c>
      <c r="H63" s="11" t="s">
        <v>8059</v>
      </c>
      <c r="I63" s="3" t="s">
        <v>4707</v>
      </c>
      <c r="J63" s="7">
        <v>0</v>
      </c>
      <c r="K63" s="2" t="s">
        <v>774</v>
      </c>
      <c r="L63" s="2">
        <v>0.38900000000000001</v>
      </c>
      <c r="M63" s="2">
        <f>64659/100000</f>
        <v>0.64659</v>
      </c>
      <c r="N63" s="2">
        <v>0.80017939999999999</v>
      </c>
      <c r="O63" s="3" t="s">
        <v>4708</v>
      </c>
      <c r="P63" s="7">
        <v>1.3</v>
      </c>
      <c r="Q63" s="2" t="s">
        <v>4709</v>
      </c>
      <c r="R63" s="2">
        <v>0.79800000000000004</v>
      </c>
      <c r="S63" s="2">
        <f>100000/100000</f>
        <v>1</v>
      </c>
      <c r="T63" s="2">
        <v>0.82929589999999997</v>
      </c>
    </row>
    <row r="64" spans="1:20">
      <c r="A64" s="3" t="s">
        <v>557</v>
      </c>
      <c r="B64" s="1" t="s">
        <v>558</v>
      </c>
      <c r="C64" s="3" t="s">
        <v>559</v>
      </c>
      <c r="D64" s="3" t="s">
        <v>560</v>
      </c>
      <c r="E64" s="3" t="s">
        <v>561</v>
      </c>
      <c r="F64" s="3" t="s">
        <v>562</v>
      </c>
      <c r="G64" s="3" t="s">
        <v>563</v>
      </c>
      <c r="H64" s="11" t="s">
        <v>8088</v>
      </c>
      <c r="I64" s="3" t="s">
        <v>4710</v>
      </c>
      <c r="J64" s="7">
        <v>0.77</v>
      </c>
      <c r="K64" s="2" t="s">
        <v>4711</v>
      </c>
      <c r="L64" s="2">
        <v>0.66</v>
      </c>
      <c r="M64" s="2">
        <f>80158/100000</f>
        <v>0.80157999999999996</v>
      </c>
      <c r="N64" s="2">
        <v>0.82929589999999997</v>
      </c>
      <c r="O64" s="3" t="s">
        <v>4712</v>
      </c>
      <c r="P64" s="7">
        <v>1.24</v>
      </c>
      <c r="Q64" s="2" t="s">
        <v>4713</v>
      </c>
      <c r="R64" s="2">
        <v>0.70899999999999996</v>
      </c>
      <c r="S64" s="2">
        <f>73831/100000</f>
        <v>0.73831000000000002</v>
      </c>
      <c r="T64" s="2">
        <v>0.82137769999999999</v>
      </c>
    </row>
    <row r="65" spans="1:20">
      <c r="A65" s="3" t="s">
        <v>568</v>
      </c>
      <c r="B65" s="1" t="s">
        <v>558</v>
      </c>
      <c r="C65" s="3" t="s">
        <v>559</v>
      </c>
      <c r="D65" s="3" t="s">
        <v>569</v>
      </c>
      <c r="E65" s="3" t="s">
        <v>570</v>
      </c>
      <c r="F65" s="3" t="s">
        <v>571</v>
      </c>
      <c r="G65" s="3" t="s">
        <v>572</v>
      </c>
      <c r="H65" s="11" t="s">
        <v>8088</v>
      </c>
      <c r="I65" s="3" t="s">
        <v>4714</v>
      </c>
      <c r="J65" s="7">
        <v>0.74</v>
      </c>
      <c r="K65" s="2" t="s">
        <v>4715</v>
      </c>
      <c r="L65" s="2">
        <v>0.61</v>
      </c>
      <c r="M65" s="2">
        <f>64223/100000</f>
        <v>0.64222999999999997</v>
      </c>
      <c r="N65" s="2">
        <v>0.79869500000000004</v>
      </c>
      <c r="O65" s="3" t="s">
        <v>4716</v>
      </c>
      <c r="P65" s="7">
        <v>1.38</v>
      </c>
      <c r="Q65" s="2" t="s">
        <v>4717</v>
      </c>
      <c r="R65" s="2">
        <v>0.48199999999999998</v>
      </c>
      <c r="S65" s="2">
        <f>59301/100000</f>
        <v>0.59301000000000004</v>
      </c>
      <c r="T65" s="2">
        <v>0.77719629999999995</v>
      </c>
    </row>
    <row r="66" spans="1:20">
      <c r="A66" s="3" t="s">
        <v>577</v>
      </c>
      <c r="B66" s="1" t="s">
        <v>578</v>
      </c>
      <c r="C66" s="3" t="s">
        <v>579</v>
      </c>
      <c r="D66" s="3" t="s">
        <v>580</v>
      </c>
      <c r="E66" s="3" t="s">
        <v>581</v>
      </c>
      <c r="F66" s="3" t="s">
        <v>582</v>
      </c>
      <c r="G66" s="3" t="s">
        <v>583</v>
      </c>
      <c r="H66" s="11" t="s">
        <v>8089</v>
      </c>
      <c r="I66" s="3" t="s">
        <v>4718</v>
      </c>
      <c r="J66" s="7">
        <v>1.8</v>
      </c>
      <c r="K66" s="2" t="s">
        <v>4719</v>
      </c>
      <c r="L66" s="2">
        <v>9.8900000000000002E-2</v>
      </c>
      <c r="M66" s="2">
        <f>14392/100000</f>
        <v>0.14391999999999999</v>
      </c>
      <c r="N66" s="2">
        <v>0.41635139999999998</v>
      </c>
      <c r="O66" s="3" t="s">
        <v>4720</v>
      </c>
      <c r="P66" s="7">
        <v>0.65</v>
      </c>
      <c r="Q66" s="2" t="s">
        <v>4721</v>
      </c>
      <c r="R66" s="2">
        <v>0.45</v>
      </c>
      <c r="S66" s="2">
        <f>50123/100000</f>
        <v>0.50122999999999995</v>
      </c>
      <c r="T66" s="2">
        <v>0.73672249999999995</v>
      </c>
    </row>
    <row r="67" spans="1:20">
      <c r="A67" s="3" t="s">
        <v>588</v>
      </c>
      <c r="B67" s="1" t="s">
        <v>578</v>
      </c>
      <c r="C67" s="3" t="s">
        <v>579</v>
      </c>
      <c r="D67" s="3" t="s">
        <v>589</v>
      </c>
      <c r="E67" s="3" t="s">
        <v>590</v>
      </c>
      <c r="F67" s="3" t="s">
        <v>591</v>
      </c>
      <c r="G67" s="3" t="s">
        <v>592</v>
      </c>
      <c r="H67" s="12" t="s">
        <v>8090</v>
      </c>
      <c r="I67" s="3" t="s">
        <v>4722</v>
      </c>
      <c r="J67" s="7">
        <v>1.56</v>
      </c>
      <c r="K67" s="2" t="s">
        <v>4723</v>
      </c>
      <c r="L67" s="2">
        <v>5.4899999999999997E-2</v>
      </c>
      <c r="M67" s="2">
        <f>6412/100000</f>
        <v>6.4119999999999996E-2</v>
      </c>
      <c r="N67" s="2">
        <v>0.28132780000000002</v>
      </c>
      <c r="O67" s="3" t="s">
        <v>4724</v>
      </c>
      <c r="P67" s="7">
        <v>1.77</v>
      </c>
      <c r="Q67" s="2" t="s">
        <v>4725</v>
      </c>
      <c r="R67" s="2">
        <v>1.09E-2</v>
      </c>
      <c r="S67" s="2">
        <f>1389/100000</f>
        <v>1.389E-2</v>
      </c>
      <c r="T67" s="2">
        <v>0.1081462</v>
      </c>
    </row>
    <row r="68" spans="1:20">
      <c r="A68" s="3" t="s">
        <v>597</v>
      </c>
      <c r="B68" s="1" t="s">
        <v>598</v>
      </c>
      <c r="C68" s="3" t="s">
        <v>599</v>
      </c>
      <c r="D68" s="3" t="s">
        <v>600</v>
      </c>
      <c r="E68" s="3" t="s">
        <v>601</v>
      </c>
      <c r="F68" s="3" t="s">
        <v>602</v>
      </c>
      <c r="G68" s="3" t="s">
        <v>603</v>
      </c>
      <c r="H68" s="11" t="s">
        <v>8091</v>
      </c>
      <c r="I68" s="3" t="s">
        <v>4726</v>
      </c>
      <c r="J68" s="7">
        <v>0.64</v>
      </c>
      <c r="K68" s="2" t="s">
        <v>4727</v>
      </c>
      <c r="L68" s="2">
        <v>8.48E-2</v>
      </c>
      <c r="M68" s="2">
        <f>8662/100000</f>
        <v>8.6620000000000003E-2</v>
      </c>
      <c r="N68" s="2">
        <v>0.33527620000000002</v>
      </c>
      <c r="O68" s="3" t="s">
        <v>4728</v>
      </c>
      <c r="P68" s="7">
        <v>0.69</v>
      </c>
      <c r="Q68" s="2" t="s">
        <v>4729</v>
      </c>
      <c r="R68" s="2">
        <v>9.8199999999999996E-2</v>
      </c>
      <c r="S68" s="2">
        <f>10279/100000</f>
        <v>0.10279000000000001</v>
      </c>
      <c r="T68" s="2">
        <v>0.36176809999999998</v>
      </c>
    </row>
    <row r="69" spans="1:20">
      <c r="A69" s="3" t="s">
        <v>608</v>
      </c>
      <c r="B69" s="1" t="s">
        <v>609</v>
      </c>
      <c r="C69" s="3" t="s">
        <v>610</v>
      </c>
      <c r="D69" s="3" t="s">
        <v>611</v>
      </c>
      <c r="E69" s="3" t="s">
        <v>612</v>
      </c>
      <c r="F69" s="3" t="s">
        <v>613</v>
      </c>
      <c r="G69" s="3" t="s">
        <v>614</v>
      </c>
      <c r="H69" s="11" t="s">
        <v>8060</v>
      </c>
      <c r="I69" s="3" t="s">
        <v>4730</v>
      </c>
      <c r="J69" s="7">
        <v>1.23</v>
      </c>
      <c r="K69" s="2" t="s">
        <v>4731</v>
      </c>
      <c r="L69" s="2">
        <v>0.61599999999999999</v>
      </c>
      <c r="M69" s="2">
        <f>64127/100000</f>
        <v>0.64127000000000001</v>
      </c>
      <c r="N69" s="2">
        <v>0.79869500000000004</v>
      </c>
      <c r="O69" s="3" t="s">
        <v>4732</v>
      </c>
      <c r="P69" s="7">
        <v>1.58</v>
      </c>
      <c r="Q69" s="2" t="s">
        <v>4733</v>
      </c>
      <c r="R69" s="2">
        <v>0.23</v>
      </c>
      <c r="S69" s="2">
        <f>22504/100000</f>
        <v>0.22503999999999999</v>
      </c>
      <c r="T69" s="2">
        <v>0.51997070000000001</v>
      </c>
    </row>
    <row r="70" spans="1:20">
      <c r="A70" s="3" t="s">
        <v>619</v>
      </c>
      <c r="B70" s="1" t="s">
        <v>620</v>
      </c>
      <c r="C70" s="3" t="s">
        <v>621</v>
      </c>
      <c r="D70" s="3" t="s">
        <v>622</v>
      </c>
      <c r="E70" s="3" t="s">
        <v>623</v>
      </c>
      <c r="F70" s="3" t="s">
        <v>624</v>
      </c>
      <c r="G70" s="3" t="s">
        <v>625</v>
      </c>
      <c r="H70" s="11" t="s">
        <v>8092</v>
      </c>
      <c r="I70" s="3" t="s">
        <v>4734</v>
      </c>
      <c r="J70" s="7">
        <v>0.42</v>
      </c>
      <c r="K70" s="2" t="s">
        <v>4735</v>
      </c>
      <c r="L70" s="2">
        <v>0.377</v>
      </c>
      <c r="M70" s="2">
        <f>52326/100000</f>
        <v>0.52325999999999995</v>
      </c>
      <c r="N70" s="2">
        <v>0.74478149999999999</v>
      </c>
      <c r="O70" s="3" t="s">
        <v>4736</v>
      </c>
      <c r="P70" s="7">
        <v>1.33</v>
      </c>
      <c r="Q70" s="2" t="s">
        <v>4737</v>
      </c>
      <c r="R70" s="2">
        <v>0.56899999999999995</v>
      </c>
      <c r="S70" s="2">
        <f>77576/100000</f>
        <v>0.77576000000000001</v>
      </c>
      <c r="T70" s="2">
        <v>0.82929589999999997</v>
      </c>
    </row>
    <row r="71" spans="1:20">
      <c r="A71" s="3" t="s">
        <v>630</v>
      </c>
      <c r="B71" s="1" t="s">
        <v>620</v>
      </c>
      <c r="C71" s="3" t="s">
        <v>621</v>
      </c>
      <c r="D71" s="3" t="s">
        <v>631</v>
      </c>
      <c r="E71" s="3" t="s">
        <v>632</v>
      </c>
      <c r="F71" s="3" t="s">
        <v>624</v>
      </c>
      <c r="G71" s="3" t="s">
        <v>625</v>
      </c>
      <c r="H71" s="11" t="s">
        <v>8093</v>
      </c>
      <c r="I71" s="3" t="s">
        <v>4738</v>
      </c>
      <c r="J71" s="7">
        <v>0.71</v>
      </c>
      <c r="K71" s="2" t="s">
        <v>4739</v>
      </c>
      <c r="L71" s="2">
        <v>0.63</v>
      </c>
      <c r="M71" s="2">
        <f>77633/100000</f>
        <v>0.77632999999999996</v>
      </c>
      <c r="N71" s="2">
        <v>0.82929589999999997</v>
      </c>
      <c r="O71" s="3" t="s">
        <v>4740</v>
      </c>
      <c r="P71" s="7">
        <v>1.1399999999999999</v>
      </c>
      <c r="Q71" s="2" t="s">
        <v>4741</v>
      </c>
      <c r="R71" s="2">
        <v>0.82099999999999995</v>
      </c>
      <c r="S71" s="2">
        <f>100000/100000</f>
        <v>1</v>
      </c>
      <c r="T71" s="2">
        <v>0.82929589999999997</v>
      </c>
    </row>
    <row r="72" spans="1:20">
      <c r="A72" s="3" t="s">
        <v>637</v>
      </c>
      <c r="B72" s="1" t="s">
        <v>620</v>
      </c>
      <c r="C72" s="3" t="s">
        <v>621</v>
      </c>
      <c r="D72" s="3" t="s">
        <v>638</v>
      </c>
      <c r="E72" s="3" t="s">
        <v>639</v>
      </c>
      <c r="F72" s="3" t="s">
        <v>624</v>
      </c>
      <c r="G72" s="3" t="s">
        <v>625</v>
      </c>
      <c r="H72" s="11" t="s">
        <v>8061</v>
      </c>
      <c r="I72" s="3" t="s">
        <v>4742</v>
      </c>
      <c r="J72" s="7">
        <v>2.31</v>
      </c>
      <c r="K72" s="2" t="s">
        <v>4743</v>
      </c>
      <c r="L72" s="2">
        <v>3.9699999999999999E-2</v>
      </c>
      <c r="M72" s="2">
        <f>5352/100000</f>
        <v>5.3519999999999998E-2</v>
      </c>
      <c r="N72" s="2">
        <v>0.25157740000000001</v>
      </c>
      <c r="O72" s="3" t="s">
        <v>4744</v>
      </c>
      <c r="P72" s="7">
        <v>0.8</v>
      </c>
      <c r="Q72" s="2" t="s">
        <v>4745</v>
      </c>
      <c r="R72" s="2">
        <v>0.755</v>
      </c>
      <c r="S72" s="2">
        <f>100000/100000</f>
        <v>1</v>
      </c>
      <c r="T72" s="2">
        <v>0.82929589999999997</v>
      </c>
    </row>
    <row r="73" spans="1:20">
      <c r="A73" s="3" t="s">
        <v>644</v>
      </c>
      <c r="B73" s="1" t="s">
        <v>620</v>
      </c>
      <c r="C73" s="3" t="s">
        <v>621</v>
      </c>
      <c r="D73" s="3" t="s">
        <v>645</v>
      </c>
      <c r="E73" s="3" t="s">
        <v>646</v>
      </c>
      <c r="F73" s="3" t="s">
        <v>624</v>
      </c>
      <c r="G73" s="3" t="s">
        <v>625</v>
      </c>
      <c r="H73" s="11" t="s">
        <v>8094</v>
      </c>
      <c r="I73" s="3" t="s">
        <v>4746</v>
      </c>
      <c r="J73" s="7">
        <v>0.87</v>
      </c>
      <c r="K73" s="2" t="s">
        <v>4747</v>
      </c>
      <c r="L73" s="2">
        <v>0.84199999999999997</v>
      </c>
      <c r="M73" s="2">
        <f>100000/100000</f>
        <v>1</v>
      </c>
      <c r="N73" s="2">
        <v>0.82929589999999997</v>
      </c>
      <c r="O73" s="3" t="s">
        <v>4748</v>
      </c>
      <c r="P73" s="7">
        <v>1.32</v>
      </c>
      <c r="Q73" s="2" t="s">
        <v>4749</v>
      </c>
      <c r="R73" s="2">
        <v>0.63400000000000001</v>
      </c>
      <c r="S73" s="2">
        <f>73334/100000</f>
        <v>0.73333999999999999</v>
      </c>
      <c r="T73" s="2">
        <v>0.82137769999999999</v>
      </c>
    </row>
    <row r="74" spans="1:20">
      <c r="A74" s="3" t="s">
        <v>651</v>
      </c>
      <c r="B74" s="1" t="s">
        <v>652</v>
      </c>
      <c r="C74" s="3" t="s">
        <v>653</v>
      </c>
      <c r="D74" s="3" t="s">
        <v>654</v>
      </c>
      <c r="E74" s="3" t="s">
        <v>655</v>
      </c>
      <c r="F74" s="3" t="s">
        <v>656</v>
      </c>
      <c r="G74" s="3" t="s">
        <v>657</v>
      </c>
      <c r="H74" s="11" t="s">
        <v>8095</v>
      </c>
      <c r="I74" s="3" t="s">
        <v>4750</v>
      </c>
      <c r="J74" s="7">
        <v>0</v>
      </c>
      <c r="K74" s="2" t="s">
        <v>774</v>
      </c>
      <c r="L74" s="2">
        <v>0.39500000000000002</v>
      </c>
      <c r="M74" s="2">
        <f>64229/100000</f>
        <v>0.64229000000000003</v>
      </c>
      <c r="N74" s="2">
        <v>0.79869500000000004</v>
      </c>
      <c r="O74" s="3" t="s">
        <v>4751</v>
      </c>
      <c r="P74" s="7">
        <v>0</v>
      </c>
      <c r="Q74" s="2" t="s">
        <v>774</v>
      </c>
      <c r="R74" s="2">
        <v>0.53300000000000003</v>
      </c>
      <c r="S74" s="2">
        <f>100000/100000</f>
        <v>1</v>
      </c>
      <c r="T74" s="2">
        <v>0.82929589999999997</v>
      </c>
    </row>
    <row r="75" spans="1:20">
      <c r="A75" s="3" t="s">
        <v>662</v>
      </c>
      <c r="B75" s="1" t="s">
        <v>652</v>
      </c>
      <c r="C75" s="3" t="s">
        <v>653</v>
      </c>
      <c r="D75" s="3" t="s">
        <v>663</v>
      </c>
      <c r="E75" s="3" t="s">
        <v>664</v>
      </c>
      <c r="F75" s="3" t="s">
        <v>656</v>
      </c>
      <c r="G75" s="3" t="s">
        <v>657</v>
      </c>
      <c r="H75" s="11" t="s">
        <v>8095</v>
      </c>
      <c r="I75" s="3" t="s">
        <v>4752</v>
      </c>
      <c r="J75" s="7">
        <v>0</v>
      </c>
      <c r="K75" s="2" t="s">
        <v>774</v>
      </c>
      <c r="L75" s="2">
        <v>0.38300000000000001</v>
      </c>
      <c r="M75" s="2">
        <f>64332/100000</f>
        <v>0.64332</v>
      </c>
      <c r="N75" s="2">
        <v>0.79869500000000004</v>
      </c>
      <c r="O75" s="3" t="s">
        <v>4753</v>
      </c>
      <c r="P75" s="7">
        <v>0</v>
      </c>
      <c r="Q75" s="2" t="s">
        <v>774</v>
      </c>
      <c r="R75" s="2">
        <v>0.49</v>
      </c>
      <c r="S75" s="2">
        <f>100000/100000</f>
        <v>1</v>
      </c>
      <c r="T75" s="2">
        <v>0.82929589999999997</v>
      </c>
    </row>
    <row r="76" spans="1:20">
      <c r="A76" s="3" t="s">
        <v>669</v>
      </c>
      <c r="B76" s="1" t="s">
        <v>670</v>
      </c>
      <c r="C76" s="3" t="s">
        <v>671</v>
      </c>
      <c r="D76" s="3" t="s">
        <v>672</v>
      </c>
      <c r="E76" s="3" t="s">
        <v>673</v>
      </c>
      <c r="F76" s="3" t="s">
        <v>674</v>
      </c>
      <c r="G76" s="3" t="s">
        <v>675</v>
      </c>
      <c r="H76" s="11" t="s">
        <v>8062</v>
      </c>
      <c r="I76" s="3" t="s">
        <v>4754</v>
      </c>
      <c r="J76" s="7">
        <v>0.68</v>
      </c>
      <c r="K76" s="2" t="s">
        <v>4755</v>
      </c>
      <c r="L76" s="2">
        <v>0.499</v>
      </c>
      <c r="M76" s="2">
        <f>63480/100000</f>
        <v>0.63480000000000003</v>
      </c>
      <c r="N76" s="2">
        <v>0.79869500000000004</v>
      </c>
      <c r="O76" s="3" t="s">
        <v>4756</v>
      </c>
      <c r="P76" s="7">
        <v>1.25</v>
      </c>
      <c r="Q76" s="2" t="s">
        <v>4757</v>
      </c>
      <c r="R76" s="2">
        <v>0.53200000000000003</v>
      </c>
      <c r="S76" s="2">
        <f>54024/100000</f>
        <v>0.54024000000000005</v>
      </c>
      <c r="T76" s="2">
        <v>0.74478149999999999</v>
      </c>
    </row>
    <row r="77" spans="1:20">
      <c r="A77" s="3" t="s">
        <v>680</v>
      </c>
      <c r="B77" s="1" t="s">
        <v>670</v>
      </c>
      <c r="C77" s="3" t="s">
        <v>671</v>
      </c>
      <c r="D77" s="3" t="s">
        <v>681</v>
      </c>
      <c r="E77" s="3" t="s">
        <v>682</v>
      </c>
      <c r="F77" s="3" t="s">
        <v>674</v>
      </c>
      <c r="G77" s="3" t="s">
        <v>675</v>
      </c>
      <c r="H77" s="11" t="s">
        <v>8096</v>
      </c>
      <c r="I77" s="3" t="s">
        <v>4758</v>
      </c>
      <c r="J77" s="7">
        <v>1.8</v>
      </c>
      <c r="K77" s="2" t="s">
        <v>4759</v>
      </c>
      <c r="L77" s="2">
        <v>0.19</v>
      </c>
      <c r="M77" s="2">
        <f>21053/100000</f>
        <v>0.21052999999999999</v>
      </c>
      <c r="N77" s="2">
        <v>0.50207829999999998</v>
      </c>
      <c r="O77" s="3" t="s">
        <v>4760</v>
      </c>
      <c r="P77" s="7">
        <v>1.17</v>
      </c>
      <c r="Q77" s="2" t="s">
        <v>4761</v>
      </c>
      <c r="R77" s="2">
        <v>0.75700000000000001</v>
      </c>
      <c r="S77" s="2">
        <f>78070/100000</f>
        <v>0.78069999999999995</v>
      </c>
      <c r="T77" s="2">
        <v>0.82929589999999997</v>
      </c>
    </row>
    <row r="78" spans="1:20">
      <c r="A78" s="3" t="s">
        <v>687</v>
      </c>
      <c r="B78" s="1" t="s">
        <v>670</v>
      </c>
      <c r="C78" s="3" t="s">
        <v>671</v>
      </c>
      <c r="D78" s="3" t="s">
        <v>688</v>
      </c>
      <c r="E78" s="3" t="s">
        <v>689</v>
      </c>
      <c r="F78" s="3" t="s">
        <v>674</v>
      </c>
      <c r="G78" s="3" t="s">
        <v>675</v>
      </c>
      <c r="H78" s="11" t="s">
        <v>8097</v>
      </c>
      <c r="I78" s="3" t="s">
        <v>4762</v>
      </c>
      <c r="J78" s="7">
        <v>0.31</v>
      </c>
      <c r="K78" s="2" t="s">
        <v>4763</v>
      </c>
      <c r="L78" s="2">
        <v>0.221</v>
      </c>
      <c r="M78" s="2">
        <f>27174/100000</f>
        <v>0.27173999999999998</v>
      </c>
      <c r="N78" s="2">
        <v>0.56620890000000001</v>
      </c>
      <c r="O78" s="3" t="s">
        <v>4764</v>
      </c>
      <c r="P78" s="7">
        <v>1.25</v>
      </c>
      <c r="Q78" s="2" t="s">
        <v>4765</v>
      </c>
      <c r="R78" s="2">
        <v>0.54100000000000004</v>
      </c>
      <c r="S78" s="2">
        <f>54111/100000</f>
        <v>0.54110999999999998</v>
      </c>
      <c r="T78" s="2">
        <v>0.74478149999999999</v>
      </c>
    </row>
    <row r="79" spans="1:20">
      <c r="A79" s="3" t="s">
        <v>694</v>
      </c>
      <c r="B79" s="1" t="s">
        <v>695</v>
      </c>
      <c r="C79" s="3" t="s">
        <v>696</v>
      </c>
      <c r="D79" s="3" t="s">
        <v>697</v>
      </c>
      <c r="E79" s="3" t="s">
        <v>698</v>
      </c>
      <c r="F79" s="3" t="s">
        <v>699</v>
      </c>
      <c r="G79" s="3" t="s">
        <v>700</v>
      </c>
      <c r="H79" s="11" t="s">
        <v>8098</v>
      </c>
      <c r="I79" s="3" t="s">
        <v>4766</v>
      </c>
      <c r="J79" s="7">
        <v>1.51</v>
      </c>
      <c r="K79" s="2" t="s">
        <v>4767</v>
      </c>
      <c r="L79" s="2">
        <v>0.36399999999999999</v>
      </c>
      <c r="M79" s="2">
        <f>39457/100000</f>
        <v>0.39456999999999998</v>
      </c>
      <c r="N79" s="2">
        <v>0.65983250000000004</v>
      </c>
      <c r="O79" s="3" t="s">
        <v>4768</v>
      </c>
      <c r="P79" s="7">
        <v>0.34</v>
      </c>
      <c r="Q79" s="2" t="s">
        <v>4769</v>
      </c>
      <c r="R79" s="2">
        <v>0.26100000000000001</v>
      </c>
      <c r="S79" s="2">
        <f>37241/100000</f>
        <v>0.37241000000000002</v>
      </c>
      <c r="T79" s="2">
        <v>0.64881420000000001</v>
      </c>
    </row>
    <row r="80" spans="1:20">
      <c r="A80" s="3" t="s">
        <v>705</v>
      </c>
      <c r="B80" s="1" t="s">
        <v>695</v>
      </c>
      <c r="C80" s="3" t="s">
        <v>696</v>
      </c>
      <c r="D80" s="3" t="s">
        <v>706</v>
      </c>
      <c r="E80" s="3" t="s">
        <v>707</v>
      </c>
      <c r="F80" s="3" t="s">
        <v>708</v>
      </c>
      <c r="G80" s="3" t="s">
        <v>709</v>
      </c>
      <c r="H80" s="11" t="s">
        <v>8063</v>
      </c>
      <c r="I80" s="3" t="s">
        <v>4770</v>
      </c>
      <c r="J80" s="7">
        <v>0.84</v>
      </c>
      <c r="K80" s="2" t="s">
        <v>4771</v>
      </c>
      <c r="L80" s="2">
        <v>0.77100000000000002</v>
      </c>
      <c r="M80" s="2">
        <f>80842/100000</f>
        <v>0.80842000000000003</v>
      </c>
      <c r="N80" s="2">
        <v>0.82929589999999997</v>
      </c>
      <c r="O80" s="3" t="s">
        <v>4772</v>
      </c>
      <c r="P80" s="7">
        <v>1.23</v>
      </c>
      <c r="Q80" s="2" t="s">
        <v>4773</v>
      </c>
      <c r="R80" s="2">
        <v>0.72599999999999998</v>
      </c>
      <c r="S80" s="2">
        <f>74155/100000</f>
        <v>0.74155000000000004</v>
      </c>
      <c r="T80" s="2">
        <v>0.82222050000000002</v>
      </c>
    </row>
    <row r="81" spans="1:20">
      <c r="A81" s="3" t="s">
        <v>714</v>
      </c>
      <c r="B81" s="1" t="s">
        <v>715</v>
      </c>
      <c r="C81" s="3" t="s">
        <v>716</v>
      </c>
      <c r="D81" s="3" t="s">
        <v>717</v>
      </c>
      <c r="E81" s="3" t="s">
        <v>718</v>
      </c>
      <c r="F81" s="3" t="s">
        <v>719</v>
      </c>
      <c r="G81" s="3" t="s">
        <v>720</v>
      </c>
      <c r="H81" s="11" t="s">
        <v>8099</v>
      </c>
      <c r="I81" s="3" t="s">
        <v>4774</v>
      </c>
      <c r="J81" s="7">
        <v>0.49</v>
      </c>
      <c r="K81" s="2" t="s">
        <v>4775</v>
      </c>
      <c r="L81" s="2">
        <v>7.8E-2</v>
      </c>
      <c r="M81" s="2">
        <f>9559/100000</f>
        <v>9.5589999999999994E-2</v>
      </c>
      <c r="N81" s="2">
        <v>0.35165190000000002</v>
      </c>
      <c r="O81" s="3" t="s">
        <v>4776</v>
      </c>
      <c r="P81" s="7">
        <v>0.43</v>
      </c>
      <c r="Q81" s="2" t="s">
        <v>4777</v>
      </c>
      <c r="R81" s="2">
        <v>2.23E-2</v>
      </c>
      <c r="S81" s="2">
        <f>2326/100000</f>
        <v>2.3259999999999999E-2</v>
      </c>
      <c r="T81" s="2">
        <v>0.15222069999999999</v>
      </c>
    </row>
    <row r="82" spans="1:20">
      <c r="A82" s="3" t="s">
        <v>725</v>
      </c>
      <c r="B82" s="1" t="s">
        <v>715</v>
      </c>
      <c r="C82" s="3" t="s">
        <v>716</v>
      </c>
      <c r="D82" s="3" t="s">
        <v>726</v>
      </c>
      <c r="E82" s="3" t="s">
        <v>727</v>
      </c>
      <c r="F82" s="3" t="s">
        <v>719</v>
      </c>
      <c r="G82" s="3" t="s">
        <v>720</v>
      </c>
      <c r="H82" s="11" t="s">
        <v>8099</v>
      </c>
      <c r="I82" s="3" t="s">
        <v>4778</v>
      </c>
      <c r="J82" s="7">
        <v>0.55000000000000004</v>
      </c>
      <c r="K82" s="2" t="s">
        <v>4779</v>
      </c>
      <c r="L82" s="2">
        <v>4.82E-2</v>
      </c>
      <c r="M82" s="2">
        <f>5317/100000</f>
        <v>5.3170000000000002E-2</v>
      </c>
      <c r="N82" s="2">
        <v>0.25062570000000001</v>
      </c>
      <c r="O82" s="3" t="s">
        <v>4780</v>
      </c>
      <c r="P82" s="7">
        <v>1.05</v>
      </c>
      <c r="Q82" s="2" t="s">
        <v>4781</v>
      </c>
      <c r="R82" s="2">
        <v>0.82299999999999995</v>
      </c>
      <c r="S82" s="2">
        <f>90464/100000</f>
        <v>0.90464</v>
      </c>
      <c r="T82" s="2">
        <v>0.82929589999999997</v>
      </c>
    </row>
    <row r="83" spans="1:20">
      <c r="A83" s="3" t="s">
        <v>732</v>
      </c>
      <c r="B83" s="1" t="s">
        <v>733</v>
      </c>
      <c r="C83" s="3" t="s">
        <v>734</v>
      </c>
      <c r="D83" s="3" t="s">
        <v>735</v>
      </c>
      <c r="E83" s="3" t="s">
        <v>736</v>
      </c>
      <c r="F83" s="3" t="s">
        <v>737</v>
      </c>
      <c r="G83" s="3" t="s">
        <v>738</v>
      </c>
      <c r="H83" s="11" t="s">
        <v>8064</v>
      </c>
      <c r="I83" s="3" t="s">
        <v>4782</v>
      </c>
      <c r="J83" s="7">
        <v>0.98</v>
      </c>
      <c r="K83" s="2" t="s">
        <v>4783</v>
      </c>
      <c r="L83" s="2">
        <v>0.95</v>
      </c>
      <c r="M83" s="2">
        <f>100000/100000</f>
        <v>1</v>
      </c>
      <c r="N83" s="2">
        <v>0.82929589999999997</v>
      </c>
      <c r="O83" s="3" t="s">
        <v>4784</v>
      </c>
      <c r="P83" s="7">
        <v>1.06</v>
      </c>
      <c r="Q83" s="2" t="s">
        <v>4785</v>
      </c>
      <c r="R83" s="2">
        <v>0.91100000000000003</v>
      </c>
      <c r="S83" s="2">
        <f>100000/100000</f>
        <v>1</v>
      </c>
      <c r="T83" s="2">
        <v>0.82929589999999997</v>
      </c>
    </row>
    <row r="84" spans="1:20">
      <c r="A84" s="3" t="s">
        <v>743</v>
      </c>
      <c r="B84" s="1" t="s">
        <v>733</v>
      </c>
      <c r="C84" s="3" t="s">
        <v>734</v>
      </c>
      <c r="D84" s="3" t="s">
        <v>744</v>
      </c>
      <c r="E84" s="3" t="s">
        <v>745</v>
      </c>
      <c r="F84" s="3" t="s">
        <v>737</v>
      </c>
      <c r="G84" s="3" t="s">
        <v>738</v>
      </c>
      <c r="H84" s="11" t="s">
        <v>8098</v>
      </c>
      <c r="I84" s="3" t="s">
        <v>4786</v>
      </c>
      <c r="J84" s="7">
        <v>1.43</v>
      </c>
      <c r="K84" s="2" t="s">
        <v>4787</v>
      </c>
      <c r="L84" s="2">
        <v>0.19500000000000001</v>
      </c>
      <c r="M84" s="2">
        <f>19089/100000</f>
        <v>0.19089</v>
      </c>
      <c r="N84" s="2">
        <v>0.48077700000000001</v>
      </c>
      <c r="O84" s="3" t="s">
        <v>4788</v>
      </c>
      <c r="P84" s="7">
        <v>0.72</v>
      </c>
      <c r="Q84" s="2" t="s">
        <v>4789</v>
      </c>
      <c r="R84" s="2">
        <v>0.45800000000000002</v>
      </c>
      <c r="S84" s="2">
        <f>56582/100000</f>
        <v>0.56581999999999999</v>
      </c>
      <c r="T84" s="2">
        <v>0.76123890000000005</v>
      </c>
    </row>
    <row r="85" spans="1:20">
      <c r="A85" s="3" t="s">
        <v>750</v>
      </c>
      <c r="B85" s="1" t="s">
        <v>733</v>
      </c>
      <c r="C85" s="3" t="s">
        <v>734</v>
      </c>
      <c r="D85" s="3" t="s">
        <v>751</v>
      </c>
      <c r="E85" s="3" t="s">
        <v>752</v>
      </c>
      <c r="F85" s="3" t="s">
        <v>737</v>
      </c>
      <c r="G85" s="3" t="s">
        <v>738</v>
      </c>
      <c r="H85" s="11" t="s">
        <v>8100</v>
      </c>
      <c r="I85" s="3" t="s">
        <v>4790</v>
      </c>
      <c r="J85" s="7">
        <v>1.37</v>
      </c>
      <c r="K85" s="2" t="s">
        <v>4791</v>
      </c>
      <c r="L85" s="2">
        <v>0.32700000000000001</v>
      </c>
      <c r="M85" s="2">
        <f>34016/100000</f>
        <v>0.34016000000000002</v>
      </c>
      <c r="N85" s="2">
        <v>0.61526179999999997</v>
      </c>
      <c r="O85" s="3" t="s">
        <v>4792</v>
      </c>
      <c r="P85" s="7">
        <v>0.82</v>
      </c>
      <c r="Q85" s="2" t="s">
        <v>4793</v>
      </c>
      <c r="R85" s="2">
        <v>0.63200000000000001</v>
      </c>
      <c r="S85" s="2">
        <f>70911/100000</f>
        <v>0.70911000000000002</v>
      </c>
      <c r="T85" s="2">
        <v>0.82137769999999999</v>
      </c>
    </row>
    <row r="86" spans="1:20">
      <c r="A86" s="3" t="s">
        <v>757</v>
      </c>
      <c r="B86" s="1" t="s">
        <v>758</v>
      </c>
      <c r="C86" s="3" t="s">
        <v>759</v>
      </c>
      <c r="D86" s="3" t="s">
        <v>760</v>
      </c>
      <c r="E86" s="3" t="s">
        <v>761</v>
      </c>
      <c r="F86" s="3" t="s">
        <v>762</v>
      </c>
      <c r="G86" s="3" t="s">
        <v>763</v>
      </c>
      <c r="H86" s="11" t="s">
        <v>8065</v>
      </c>
      <c r="I86" s="3" t="s">
        <v>4794</v>
      </c>
      <c r="J86" s="7">
        <v>0</v>
      </c>
      <c r="K86" s="2" t="s">
        <v>774</v>
      </c>
      <c r="L86" s="2">
        <v>0.20200000000000001</v>
      </c>
      <c r="M86" s="2">
        <f>27517/100000</f>
        <v>0.27517000000000003</v>
      </c>
      <c r="N86" s="2">
        <v>0.56620890000000001</v>
      </c>
      <c r="O86" s="3" t="s">
        <v>4795</v>
      </c>
      <c r="P86" s="7">
        <v>0.82</v>
      </c>
      <c r="Q86" s="2" t="s">
        <v>4796</v>
      </c>
      <c r="R86" s="2">
        <v>0.78300000000000003</v>
      </c>
      <c r="S86" s="2">
        <f>100000/100000</f>
        <v>1</v>
      </c>
      <c r="T86" s="2">
        <v>0.82929589999999997</v>
      </c>
    </row>
    <row r="87" spans="1:20">
      <c r="A87" s="3" t="s">
        <v>768</v>
      </c>
      <c r="B87" s="1" t="s">
        <v>758</v>
      </c>
      <c r="C87" s="3" t="s">
        <v>759</v>
      </c>
      <c r="D87" s="3" t="s">
        <v>769</v>
      </c>
      <c r="E87" s="3" t="s">
        <v>770</v>
      </c>
      <c r="F87" s="3" t="s">
        <v>762</v>
      </c>
      <c r="G87" s="3" t="s">
        <v>763</v>
      </c>
      <c r="H87" s="11" t="s">
        <v>8101</v>
      </c>
      <c r="I87" s="3" t="s">
        <v>4797</v>
      </c>
      <c r="J87" s="7">
        <v>0.83</v>
      </c>
      <c r="K87" s="2" t="s">
        <v>4798</v>
      </c>
      <c r="L87" s="2">
        <v>0.85799999999999998</v>
      </c>
      <c r="M87" s="2">
        <f>100000/100000</f>
        <v>1</v>
      </c>
      <c r="N87" s="2">
        <v>0.82929589999999997</v>
      </c>
      <c r="O87" s="3" t="s">
        <v>4799</v>
      </c>
      <c r="P87" s="7">
        <v>0</v>
      </c>
      <c r="Q87" s="2" t="s">
        <v>774</v>
      </c>
      <c r="R87" s="2">
        <v>0.432</v>
      </c>
      <c r="S87" s="2">
        <f>66678/100000</f>
        <v>0.66678000000000004</v>
      </c>
      <c r="T87" s="2">
        <v>0.80511429999999995</v>
      </c>
    </row>
    <row r="88" spans="1:20">
      <c r="A88" s="3" t="s">
        <v>775</v>
      </c>
      <c r="B88" s="1" t="s">
        <v>758</v>
      </c>
      <c r="C88" s="3" t="s">
        <v>759</v>
      </c>
      <c r="D88" s="3" t="s">
        <v>776</v>
      </c>
      <c r="E88" s="3" t="s">
        <v>777</v>
      </c>
      <c r="F88" s="3" t="s">
        <v>762</v>
      </c>
      <c r="G88" s="3" t="s">
        <v>763</v>
      </c>
      <c r="H88" s="11" t="s">
        <v>8102</v>
      </c>
      <c r="I88" s="3" t="s">
        <v>4800</v>
      </c>
      <c r="J88" s="7">
        <v>0</v>
      </c>
      <c r="K88" s="2" t="s">
        <v>774</v>
      </c>
      <c r="L88" s="2">
        <v>3.5000000000000003E-2</v>
      </c>
      <c r="M88" s="2">
        <f>4063/100000</f>
        <v>4.0629999999999999E-2</v>
      </c>
      <c r="N88" s="2">
        <v>0.21413370000000001</v>
      </c>
      <c r="O88" s="3" t="s">
        <v>4801</v>
      </c>
      <c r="P88" s="7">
        <v>0.59</v>
      </c>
      <c r="Q88" s="2" t="s">
        <v>4802</v>
      </c>
      <c r="R88" s="2">
        <v>0.45700000000000002</v>
      </c>
      <c r="S88" s="2">
        <f>58992/100000</f>
        <v>0.58992</v>
      </c>
      <c r="T88" s="2">
        <v>0.77707570000000004</v>
      </c>
    </row>
    <row r="89" spans="1:20">
      <c r="A89" s="3" t="s">
        <v>782</v>
      </c>
      <c r="B89" s="1" t="s">
        <v>758</v>
      </c>
      <c r="C89" s="3" t="s">
        <v>759</v>
      </c>
      <c r="D89" s="3" t="s">
        <v>783</v>
      </c>
      <c r="E89" s="3" t="s">
        <v>784</v>
      </c>
      <c r="F89" s="3" t="s">
        <v>762</v>
      </c>
      <c r="G89" s="3" t="s">
        <v>763</v>
      </c>
      <c r="H89" s="11" t="s">
        <v>8065</v>
      </c>
      <c r="I89" s="3" t="s">
        <v>4803</v>
      </c>
      <c r="J89" s="7">
        <v>0.14000000000000001</v>
      </c>
      <c r="K89" s="2" t="s">
        <v>4804</v>
      </c>
      <c r="L89" s="2">
        <v>2.1299999999999999E-2</v>
      </c>
      <c r="M89" s="2">
        <f>2834/100000</f>
        <v>2.8340000000000001E-2</v>
      </c>
      <c r="N89" s="2">
        <v>0.17382829999999999</v>
      </c>
      <c r="O89" s="3" t="s">
        <v>4805</v>
      </c>
      <c r="P89" s="7">
        <v>1.85</v>
      </c>
      <c r="Q89" s="2" t="s">
        <v>4806</v>
      </c>
      <c r="R89" s="2">
        <v>0.13600000000000001</v>
      </c>
      <c r="S89" s="2">
        <f>15191/100000</f>
        <v>0.15190999999999999</v>
      </c>
      <c r="T89" s="2">
        <v>0.42885709999999999</v>
      </c>
    </row>
    <row r="90" spans="1:20">
      <c r="A90" s="3" t="s">
        <v>789</v>
      </c>
      <c r="B90" s="1" t="s">
        <v>758</v>
      </c>
      <c r="C90" s="3" t="s">
        <v>759</v>
      </c>
      <c r="D90" s="3" t="s">
        <v>790</v>
      </c>
      <c r="E90" s="3" t="s">
        <v>791</v>
      </c>
      <c r="F90" s="3" t="s">
        <v>762</v>
      </c>
      <c r="G90" s="3" t="s">
        <v>763</v>
      </c>
      <c r="H90" s="11" t="s">
        <v>8065</v>
      </c>
      <c r="I90" s="3" t="s">
        <v>4807</v>
      </c>
      <c r="J90" s="7">
        <v>0.65</v>
      </c>
      <c r="K90" s="2" t="s">
        <v>4808</v>
      </c>
      <c r="L90" s="2">
        <v>0.30399999999999999</v>
      </c>
      <c r="M90" s="2">
        <f>38828/100000</f>
        <v>0.38828000000000001</v>
      </c>
      <c r="N90" s="2">
        <v>0.65409720000000005</v>
      </c>
      <c r="O90" s="3" t="s">
        <v>4809</v>
      </c>
      <c r="P90" s="7">
        <v>1.74</v>
      </c>
      <c r="Q90" s="2" t="s">
        <v>4810</v>
      </c>
      <c r="R90" s="2">
        <v>8.8300000000000003E-2</v>
      </c>
      <c r="S90" s="2">
        <f>9134/100000</f>
        <v>9.1340000000000005E-2</v>
      </c>
      <c r="T90" s="2">
        <v>0.34625220000000001</v>
      </c>
    </row>
    <row r="91" spans="1:20">
      <c r="A91" s="3" t="s">
        <v>796</v>
      </c>
      <c r="B91" s="1" t="s">
        <v>797</v>
      </c>
      <c r="C91" s="3" t="s">
        <v>798</v>
      </c>
      <c r="D91" s="3" t="s">
        <v>799</v>
      </c>
      <c r="E91" s="3" t="s">
        <v>800</v>
      </c>
      <c r="F91" s="3" t="s">
        <v>801</v>
      </c>
      <c r="G91" s="3" t="s">
        <v>802</v>
      </c>
      <c r="H91" s="11" t="s">
        <v>8103</v>
      </c>
      <c r="I91" s="3" t="s">
        <v>4811</v>
      </c>
      <c r="J91" s="7">
        <v>1.78</v>
      </c>
      <c r="K91" s="2" t="s">
        <v>4812</v>
      </c>
      <c r="L91" s="2">
        <v>0.107</v>
      </c>
      <c r="M91" s="2">
        <f>14305/100000</f>
        <v>0.14305000000000001</v>
      </c>
      <c r="N91" s="2">
        <v>0.4148616</v>
      </c>
      <c r="O91" s="3" t="s">
        <v>4813</v>
      </c>
      <c r="P91" s="7">
        <v>0.82</v>
      </c>
      <c r="Q91" s="2" t="s">
        <v>4814</v>
      </c>
      <c r="R91" s="2">
        <v>0.59499999999999997</v>
      </c>
      <c r="S91" s="2">
        <f>61460/100000</f>
        <v>0.61460000000000004</v>
      </c>
      <c r="T91" s="2">
        <v>0.79267699999999996</v>
      </c>
    </row>
    <row r="92" spans="1:20">
      <c r="A92" s="3" t="s">
        <v>807</v>
      </c>
      <c r="B92" s="1" t="s">
        <v>808</v>
      </c>
      <c r="C92" s="3" t="s">
        <v>809</v>
      </c>
      <c r="D92" s="3" t="s">
        <v>810</v>
      </c>
      <c r="E92" s="3" t="s">
        <v>811</v>
      </c>
      <c r="F92" s="3" t="s">
        <v>812</v>
      </c>
      <c r="G92" s="3" t="s">
        <v>813</v>
      </c>
      <c r="H92" s="11" t="s">
        <v>8066</v>
      </c>
      <c r="I92" s="3" t="s">
        <v>4815</v>
      </c>
      <c r="J92" s="7">
        <v>2.21</v>
      </c>
      <c r="K92" s="2" t="s">
        <v>4816</v>
      </c>
      <c r="L92" s="2">
        <v>9.7799999999999992E-4</v>
      </c>
      <c r="M92" s="2">
        <f>270/100000</f>
        <v>2.7000000000000001E-3</v>
      </c>
      <c r="N92" s="2">
        <v>3.3613160000000003E-2</v>
      </c>
      <c r="O92" s="3" t="s">
        <v>4817</v>
      </c>
      <c r="P92" s="7">
        <v>0.75</v>
      </c>
      <c r="Q92" s="2" t="s">
        <v>4818</v>
      </c>
      <c r="R92" s="2">
        <v>0.51800000000000002</v>
      </c>
      <c r="S92" s="2">
        <f>56805/100000</f>
        <v>0.56805000000000005</v>
      </c>
      <c r="T92" s="2">
        <v>0.76153519999999997</v>
      </c>
    </row>
    <row r="93" spans="1:20">
      <c r="A93" s="3" t="s">
        <v>818</v>
      </c>
      <c r="B93" s="1" t="s">
        <v>808</v>
      </c>
      <c r="C93" s="3" t="s">
        <v>809</v>
      </c>
      <c r="D93" s="3" t="s">
        <v>819</v>
      </c>
      <c r="E93" s="3" t="s">
        <v>820</v>
      </c>
      <c r="F93" s="3" t="s">
        <v>821</v>
      </c>
      <c r="G93" s="3" t="s">
        <v>822</v>
      </c>
      <c r="H93" s="11" t="s">
        <v>8066</v>
      </c>
      <c r="I93" s="3" t="s">
        <v>4819</v>
      </c>
      <c r="J93" s="7">
        <v>1.94</v>
      </c>
      <c r="K93" s="2" t="s">
        <v>4820</v>
      </c>
      <c r="L93" s="2">
        <v>5.0200000000000002E-3</v>
      </c>
      <c r="M93" s="2">
        <f>815/100000</f>
        <v>8.1499999999999993E-3</v>
      </c>
      <c r="N93" s="2">
        <v>7.5815670000000002E-2</v>
      </c>
      <c r="O93" s="3" t="s">
        <v>4821</v>
      </c>
      <c r="P93" s="7">
        <v>0.86</v>
      </c>
      <c r="Q93" s="2" t="s">
        <v>4822</v>
      </c>
      <c r="R93" s="2">
        <v>0.70099999999999996</v>
      </c>
      <c r="S93" s="2">
        <f>72865/100000</f>
        <v>0.72865000000000002</v>
      </c>
      <c r="T93" s="2">
        <v>0.82137769999999999</v>
      </c>
    </row>
    <row r="94" spans="1:20">
      <c r="A94" s="3" t="s">
        <v>827</v>
      </c>
      <c r="B94" s="1" t="s">
        <v>828</v>
      </c>
      <c r="C94" s="3" t="s">
        <v>829</v>
      </c>
      <c r="D94" s="3" t="s">
        <v>830</v>
      </c>
      <c r="E94" s="3" t="s">
        <v>831</v>
      </c>
      <c r="F94" s="3" t="s">
        <v>832</v>
      </c>
      <c r="G94" s="3" t="s">
        <v>833</v>
      </c>
      <c r="H94" s="11" t="s">
        <v>8104</v>
      </c>
      <c r="I94" s="3" t="s">
        <v>4823</v>
      </c>
      <c r="J94" s="7">
        <v>1.1200000000000001</v>
      </c>
      <c r="K94" s="2" t="s">
        <v>4824</v>
      </c>
      <c r="L94" s="2">
        <v>0.84699999999999998</v>
      </c>
      <c r="M94" s="2">
        <f>100000/100000</f>
        <v>1</v>
      </c>
      <c r="N94" s="2">
        <v>0.82929589999999997</v>
      </c>
      <c r="O94" s="3" t="s">
        <v>4825</v>
      </c>
      <c r="P94" s="7">
        <v>0</v>
      </c>
      <c r="Q94" s="2" t="s">
        <v>774</v>
      </c>
      <c r="R94" s="2">
        <v>9.8299999999999998E-2</v>
      </c>
      <c r="S94" s="2">
        <f>11959/100000</f>
        <v>0.11959</v>
      </c>
      <c r="T94" s="2">
        <v>0.38416460000000002</v>
      </c>
    </row>
    <row r="95" spans="1:20">
      <c r="A95" s="3" t="s">
        <v>838</v>
      </c>
      <c r="B95" s="1" t="s">
        <v>828</v>
      </c>
      <c r="C95" s="3" t="s">
        <v>829</v>
      </c>
      <c r="D95" s="3" t="s">
        <v>839</v>
      </c>
      <c r="E95" s="3" t="s">
        <v>840</v>
      </c>
      <c r="F95" s="3" t="s">
        <v>841</v>
      </c>
      <c r="G95" s="3" t="s">
        <v>842</v>
      </c>
      <c r="H95" s="11" t="s">
        <v>8105</v>
      </c>
      <c r="I95" s="3" t="s">
        <v>4826</v>
      </c>
      <c r="J95" s="7">
        <v>0.56999999999999995</v>
      </c>
      <c r="K95" s="2" t="s">
        <v>4827</v>
      </c>
      <c r="L95" s="2">
        <v>0.57399999999999995</v>
      </c>
      <c r="M95" s="2">
        <f>73161/100000</f>
        <v>0.73160999999999998</v>
      </c>
      <c r="N95" s="2">
        <v>0.82137769999999999</v>
      </c>
      <c r="O95" s="3" t="s">
        <v>4828</v>
      </c>
      <c r="P95" s="7">
        <v>0.95</v>
      </c>
      <c r="Q95" s="2" t="s">
        <v>4829</v>
      </c>
      <c r="R95" s="2">
        <v>0.93899999999999995</v>
      </c>
      <c r="S95" s="2">
        <f>100000/100000</f>
        <v>1</v>
      </c>
      <c r="T95" s="2">
        <v>0.82929589999999997</v>
      </c>
    </row>
    <row r="96" spans="1:20">
      <c r="A96" s="3" t="s">
        <v>847</v>
      </c>
      <c r="B96" s="1" t="s">
        <v>848</v>
      </c>
      <c r="C96" s="3" t="s">
        <v>849</v>
      </c>
      <c r="D96" s="3" t="s">
        <v>850</v>
      </c>
      <c r="E96" s="3" t="s">
        <v>851</v>
      </c>
      <c r="F96" s="3" t="s">
        <v>852</v>
      </c>
      <c r="G96" s="3" t="s">
        <v>853</v>
      </c>
      <c r="H96" s="11" t="s">
        <v>8106</v>
      </c>
      <c r="I96" s="3" t="s">
        <v>4830</v>
      </c>
      <c r="J96" s="7">
        <v>0.76</v>
      </c>
      <c r="K96" s="2" t="s">
        <v>4608</v>
      </c>
      <c r="L96" s="2">
        <v>0.63300000000000001</v>
      </c>
      <c r="M96" s="2">
        <f>80081/100000</f>
        <v>0.80081000000000002</v>
      </c>
      <c r="N96" s="2">
        <v>0.82929589999999997</v>
      </c>
      <c r="O96" s="3" t="s">
        <v>4831</v>
      </c>
      <c r="P96" s="7">
        <v>0.43</v>
      </c>
      <c r="Q96" s="2" t="s">
        <v>4832</v>
      </c>
      <c r="R96" s="2">
        <v>0.39300000000000002</v>
      </c>
      <c r="S96" s="2">
        <f>52404/100000</f>
        <v>0.52403999999999995</v>
      </c>
      <c r="T96" s="2">
        <v>0.74478149999999999</v>
      </c>
    </row>
    <row r="97" spans="1:20">
      <c r="A97" s="3" t="s">
        <v>858</v>
      </c>
      <c r="B97" s="1" t="s">
        <v>848</v>
      </c>
      <c r="C97" s="3" t="s">
        <v>849</v>
      </c>
      <c r="D97" s="3" t="s">
        <v>859</v>
      </c>
      <c r="E97" s="3" t="s">
        <v>860</v>
      </c>
      <c r="F97" s="3" t="s">
        <v>861</v>
      </c>
      <c r="G97" s="3" t="s">
        <v>862</v>
      </c>
      <c r="H97" s="11" t="s">
        <v>8094</v>
      </c>
      <c r="I97" s="3" t="s">
        <v>4833</v>
      </c>
      <c r="J97" s="7">
        <v>1.25</v>
      </c>
      <c r="K97" s="2" t="s">
        <v>4834</v>
      </c>
      <c r="L97" s="2">
        <v>0.755</v>
      </c>
      <c r="M97" s="2">
        <f>100000/100000</f>
        <v>1</v>
      </c>
      <c r="N97" s="2">
        <v>0.82929589999999997</v>
      </c>
      <c r="O97" s="3" t="s">
        <v>4835</v>
      </c>
      <c r="P97" s="7">
        <v>2.09</v>
      </c>
      <c r="Q97" s="2" t="s">
        <v>4836</v>
      </c>
      <c r="R97" s="2">
        <v>0.20200000000000001</v>
      </c>
      <c r="S97" s="2">
        <f>18299/100000</f>
        <v>0.18299000000000001</v>
      </c>
      <c r="T97" s="2">
        <v>0.47079409999999999</v>
      </c>
    </row>
    <row r="98" spans="1:20">
      <c r="A98" s="3" t="s">
        <v>866</v>
      </c>
      <c r="B98" s="1" t="s">
        <v>867</v>
      </c>
      <c r="C98" s="3" t="s">
        <v>868</v>
      </c>
      <c r="D98" s="3" t="s">
        <v>850</v>
      </c>
      <c r="E98" s="3" t="s">
        <v>851</v>
      </c>
      <c r="F98" s="3" t="s">
        <v>852</v>
      </c>
      <c r="G98" s="3" t="s">
        <v>853</v>
      </c>
      <c r="H98" s="11" t="s">
        <v>8107</v>
      </c>
      <c r="I98" s="3" t="s">
        <v>4830</v>
      </c>
      <c r="J98" s="7">
        <v>0.76</v>
      </c>
      <c r="K98" s="2" t="s">
        <v>4608</v>
      </c>
      <c r="L98" s="2">
        <v>0.63300000000000001</v>
      </c>
      <c r="M98" s="2">
        <f>80081/100000</f>
        <v>0.80081000000000002</v>
      </c>
      <c r="N98" s="2">
        <v>0.82929589999999997</v>
      </c>
      <c r="O98" s="3" t="s">
        <v>4831</v>
      </c>
      <c r="P98" s="7">
        <v>0.43</v>
      </c>
      <c r="Q98" s="2" t="s">
        <v>4832</v>
      </c>
      <c r="R98" s="2">
        <v>0.39300000000000002</v>
      </c>
      <c r="S98" s="2">
        <f>52404/100000</f>
        <v>0.52403999999999995</v>
      </c>
      <c r="T98" s="2">
        <v>0.74478149999999999</v>
      </c>
    </row>
    <row r="99" spans="1:20">
      <c r="A99" s="3" t="s">
        <v>869</v>
      </c>
      <c r="B99" s="1" t="s">
        <v>867</v>
      </c>
      <c r="C99" s="3" t="s">
        <v>868</v>
      </c>
      <c r="D99" s="3" t="s">
        <v>859</v>
      </c>
      <c r="E99" s="3" t="s">
        <v>860</v>
      </c>
      <c r="F99" s="3" t="s">
        <v>861</v>
      </c>
      <c r="G99" s="3" t="s">
        <v>862</v>
      </c>
      <c r="H99" s="11" t="s">
        <v>8108</v>
      </c>
      <c r="I99" s="3" t="s">
        <v>4833</v>
      </c>
      <c r="J99" s="7">
        <v>1.25</v>
      </c>
      <c r="K99" s="2" t="s">
        <v>4834</v>
      </c>
      <c r="L99" s="2">
        <v>0.755</v>
      </c>
      <c r="M99" s="2">
        <f>100000/100000</f>
        <v>1</v>
      </c>
      <c r="N99" s="2">
        <v>0.82929589999999997</v>
      </c>
      <c r="O99" s="3" t="s">
        <v>4835</v>
      </c>
      <c r="P99" s="7">
        <v>2.09</v>
      </c>
      <c r="Q99" s="2" t="s">
        <v>4836</v>
      </c>
      <c r="R99" s="2">
        <v>0.20200000000000001</v>
      </c>
      <c r="S99" s="2">
        <f>18299/100000</f>
        <v>0.18299000000000001</v>
      </c>
      <c r="T99" s="2">
        <v>0.47079409999999999</v>
      </c>
    </row>
    <row r="100" spans="1:20">
      <c r="A100" s="3" t="s">
        <v>870</v>
      </c>
      <c r="B100" s="1" t="s">
        <v>871</v>
      </c>
      <c r="C100" s="3" t="s">
        <v>872</v>
      </c>
      <c r="D100" s="3" t="s">
        <v>873</v>
      </c>
      <c r="E100" s="3" t="s">
        <v>874</v>
      </c>
      <c r="F100" s="3" t="s">
        <v>875</v>
      </c>
      <c r="G100" s="3" t="s">
        <v>876</v>
      </c>
      <c r="H100" s="11" t="s">
        <v>8078</v>
      </c>
      <c r="I100" s="3" t="s">
        <v>4837</v>
      </c>
      <c r="J100" s="7">
        <v>0.71</v>
      </c>
      <c r="K100" s="2" t="s">
        <v>4838</v>
      </c>
      <c r="L100" s="2">
        <v>0.627</v>
      </c>
      <c r="M100" s="2">
        <f>77374/100000</f>
        <v>0.77373999999999998</v>
      </c>
      <c r="N100" s="2">
        <v>0.82929589999999997</v>
      </c>
      <c r="O100" s="3" t="s">
        <v>4839</v>
      </c>
      <c r="P100" s="7">
        <v>0.96</v>
      </c>
      <c r="Q100" s="2" t="s">
        <v>4840</v>
      </c>
      <c r="R100" s="2">
        <v>0.95399999999999996</v>
      </c>
      <c r="S100" s="2">
        <f>100000/100000</f>
        <v>1</v>
      </c>
      <c r="T100" s="2">
        <v>0.82929589999999997</v>
      </c>
    </row>
    <row r="101" spans="1:20">
      <c r="A101" s="3" t="s">
        <v>881</v>
      </c>
      <c r="B101" s="1" t="s">
        <v>871</v>
      </c>
      <c r="C101" s="3" t="s">
        <v>872</v>
      </c>
      <c r="D101" s="3" t="s">
        <v>882</v>
      </c>
      <c r="E101" s="3" t="s">
        <v>883</v>
      </c>
      <c r="F101" s="3" t="s">
        <v>884</v>
      </c>
      <c r="G101" s="3" t="s">
        <v>885</v>
      </c>
      <c r="H101" s="11" t="s">
        <v>8078</v>
      </c>
      <c r="I101" s="3" t="s">
        <v>4841</v>
      </c>
      <c r="J101" s="7">
        <v>1.18</v>
      </c>
      <c r="K101" s="2" t="s">
        <v>4842</v>
      </c>
      <c r="L101" s="2">
        <v>0.77300000000000002</v>
      </c>
      <c r="M101" s="2">
        <f>100000/100000</f>
        <v>1</v>
      </c>
      <c r="N101" s="2">
        <v>0.82929589999999997</v>
      </c>
      <c r="O101" s="3" t="s">
        <v>4843</v>
      </c>
      <c r="P101" s="7">
        <v>0.82</v>
      </c>
      <c r="Q101" s="2" t="s">
        <v>4844</v>
      </c>
      <c r="R101" s="2">
        <v>0.78500000000000003</v>
      </c>
      <c r="S101" s="2">
        <f>100000/100000</f>
        <v>1</v>
      </c>
      <c r="T101" s="2">
        <v>0.82929589999999997</v>
      </c>
    </row>
    <row r="102" spans="1:20">
      <c r="A102" s="3" t="s">
        <v>890</v>
      </c>
      <c r="B102" s="1" t="s">
        <v>891</v>
      </c>
      <c r="C102" s="3" t="s">
        <v>892</v>
      </c>
      <c r="D102" s="3" t="s">
        <v>893</v>
      </c>
      <c r="E102" s="3" t="s">
        <v>894</v>
      </c>
      <c r="F102" s="3" t="s">
        <v>895</v>
      </c>
      <c r="G102" s="3" t="s">
        <v>896</v>
      </c>
      <c r="H102" s="11" t="s">
        <v>8068</v>
      </c>
      <c r="I102" s="3" t="s">
        <v>4845</v>
      </c>
      <c r="J102" s="7">
        <v>0.89</v>
      </c>
      <c r="K102" s="2" t="s">
        <v>4846</v>
      </c>
      <c r="L102" s="2">
        <v>0.56499999999999995</v>
      </c>
      <c r="M102" s="2">
        <f>57079/100000</f>
        <v>0.57079000000000002</v>
      </c>
      <c r="N102" s="2">
        <v>0.76356380000000001</v>
      </c>
      <c r="O102" s="3" t="s">
        <v>4847</v>
      </c>
      <c r="P102" s="7">
        <v>1.28</v>
      </c>
      <c r="Q102" s="2" t="s">
        <v>4848</v>
      </c>
      <c r="R102" s="2">
        <v>0.186</v>
      </c>
      <c r="S102" s="2">
        <f>21114/100000</f>
        <v>0.21113999999999999</v>
      </c>
      <c r="T102" s="2">
        <v>0.50207829999999998</v>
      </c>
    </row>
    <row r="103" spans="1:20">
      <c r="A103" s="3" t="s">
        <v>901</v>
      </c>
      <c r="B103" s="1" t="s">
        <v>902</v>
      </c>
      <c r="C103" s="3" t="s">
        <v>903</v>
      </c>
      <c r="D103" s="3" t="s">
        <v>904</v>
      </c>
      <c r="E103" s="3" t="s">
        <v>905</v>
      </c>
      <c r="F103" s="3" t="s">
        <v>906</v>
      </c>
      <c r="G103" s="3" t="s">
        <v>907</v>
      </c>
      <c r="H103" s="11" t="s">
        <v>8069</v>
      </c>
      <c r="I103" s="3" t="s">
        <v>4849</v>
      </c>
      <c r="J103" s="7">
        <v>1.27</v>
      </c>
      <c r="K103" s="2" t="s">
        <v>4850</v>
      </c>
      <c r="L103" s="2">
        <v>0.45500000000000002</v>
      </c>
      <c r="M103" s="2">
        <f>46603/100000</f>
        <v>0.46603</v>
      </c>
      <c r="N103" s="2">
        <v>0.71132879999999998</v>
      </c>
      <c r="O103" s="3" t="s">
        <v>4851</v>
      </c>
      <c r="P103" s="7">
        <v>0.6</v>
      </c>
      <c r="Q103" s="2" t="s">
        <v>4852</v>
      </c>
      <c r="R103" s="2">
        <v>0.31</v>
      </c>
      <c r="S103" s="2">
        <f>33970/100000</f>
        <v>0.3397</v>
      </c>
      <c r="T103" s="2">
        <v>0.61526179999999997</v>
      </c>
    </row>
    <row r="104" spans="1:20">
      <c r="A104" s="3" t="s">
        <v>912</v>
      </c>
      <c r="B104" s="1" t="s">
        <v>902</v>
      </c>
      <c r="C104" s="3" t="s">
        <v>903</v>
      </c>
      <c r="D104" s="3" t="s">
        <v>913</v>
      </c>
      <c r="E104" s="3" t="s">
        <v>914</v>
      </c>
      <c r="F104" s="3" t="s">
        <v>915</v>
      </c>
      <c r="G104" s="3" t="s">
        <v>916</v>
      </c>
      <c r="H104" s="11" t="s">
        <v>8069</v>
      </c>
      <c r="I104" s="3" t="s">
        <v>4853</v>
      </c>
      <c r="J104" s="7">
        <v>1.35</v>
      </c>
      <c r="K104" s="2" t="s">
        <v>4854</v>
      </c>
      <c r="L104" s="2">
        <v>0.55600000000000005</v>
      </c>
      <c r="M104" s="2">
        <f>54636/100000</f>
        <v>0.54635999999999996</v>
      </c>
      <c r="N104" s="2">
        <v>0.74606439999999996</v>
      </c>
      <c r="O104" s="3" t="s">
        <v>4855</v>
      </c>
      <c r="P104" s="7">
        <v>0</v>
      </c>
      <c r="Q104" s="2" t="s">
        <v>774</v>
      </c>
      <c r="R104" s="2">
        <v>0.25600000000000001</v>
      </c>
      <c r="S104" s="2">
        <f>41106/100000</f>
        <v>0.41105999999999998</v>
      </c>
      <c r="T104" s="2">
        <v>0.67127389999999998</v>
      </c>
    </row>
    <row r="105" spans="1:20">
      <c r="A105" s="3" t="s">
        <v>921</v>
      </c>
      <c r="B105" s="1" t="s">
        <v>922</v>
      </c>
      <c r="C105" s="3" t="s">
        <v>923</v>
      </c>
      <c r="D105" s="3" t="s">
        <v>924</v>
      </c>
      <c r="E105" s="3" t="s">
        <v>925</v>
      </c>
      <c r="F105" s="3" t="s">
        <v>926</v>
      </c>
      <c r="G105" s="3" t="s">
        <v>927</v>
      </c>
      <c r="H105" s="11" t="s">
        <v>8109</v>
      </c>
      <c r="I105" s="3" t="s">
        <v>4856</v>
      </c>
      <c r="J105" s="7">
        <v>0</v>
      </c>
      <c r="K105" s="2" t="s">
        <v>774</v>
      </c>
      <c r="L105" s="2">
        <v>0.379</v>
      </c>
      <c r="M105" s="2">
        <f>64107/100000</f>
        <v>0.64107000000000003</v>
      </c>
      <c r="N105" s="2">
        <v>0.79869500000000004</v>
      </c>
      <c r="O105" s="3" t="s">
        <v>4857</v>
      </c>
      <c r="P105" s="7">
        <v>3</v>
      </c>
      <c r="Q105" s="2" t="s">
        <v>4858</v>
      </c>
      <c r="R105" s="2">
        <v>0.115</v>
      </c>
      <c r="S105" s="2">
        <f>15530/100000</f>
        <v>0.15529999999999999</v>
      </c>
      <c r="T105" s="2">
        <v>0.4316296</v>
      </c>
    </row>
    <row r="106" spans="1:20">
      <c r="A106" s="3" t="s">
        <v>932</v>
      </c>
      <c r="B106" s="1" t="s">
        <v>922</v>
      </c>
      <c r="C106" s="3" t="s">
        <v>923</v>
      </c>
      <c r="D106" s="3" t="s">
        <v>933</v>
      </c>
      <c r="E106" s="3" t="s">
        <v>934</v>
      </c>
      <c r="F106" s="3" t="s">
        <v>935</v>
      </c>
      <c r="G106" s="3" t="s">
        <v>936</v>
      </c>
      <c r="H106" s="11" t="s">
        <v>8110</v>
      </c>
      <c r="I106" s="3" t="s">
        <v>4859</v>
      </c>
      <c r="J106" s="7">
        <v>1.63</v>
      </c>
      <c r="K106" s="2" t="s">
        <v>4860</v>
      </c>
      <c r="L106" s="2">
        <v>0.28699999999999998</v>
      </c>
      <c r="M106" s="2">
        <f>37935/100000</f>
        <v>0.37935000000000002</v>
      </c>
      <c r="N106" s="2">
        <v>0.65084330000000001</v>
      </c>
      <c r="O106" s="3" t="s">
        <v>4861</v>
      </c>
      <c r="P106" s="7">
        <v>0</v>
      </c>
      <c r="Q106" s="2" t="s">
        <v>774</v>
      </c>
      <c r="R106" s="2">
        <v>0.48599999999999999</v>
      </c>
      <c r="S106" s="2">
        <f>100000/100000</f>
        <v>1</v>
      </c>
      <c r="T106" s="2">
        <v>0.82929589999999997</v>
      </c>
    </row>
    <row r="107" spans="1:20">
      <c r="A107" s="3" t="s">
        <v>940</v>
      </c>
      <c r="B107" s="1" t="s">
        <v>941</v>
      </c>
      <c r="C107" s="3" t="s">
        <v>942</v>
      </c>
      <c r="D107" s="3" t="s">
        <v>943</v>
      </c>
      <c r="E107" s="3" t="s">
        <v>944</v>
      </c>
      <c r="F107" s="3" t="s">
        <v>945</v>
      </c>
      <c r="G107" s="3" t="s">
        <v>946</v>
      </c>
      <c r="H107" s="11" t="s">
        <v>8111</v>
      </c>
      <c r="I107" s="3" t="s">
        <v>4862</v>
      </c>
      <c r="J107" s="7">
        <v>1.0900000000000001</v>
      </c>
      <c r="K107" s="2" t="s">
        <v>4863</v>
      </c>
      <c r="L107" s="2">
        <v>0.68899999999999995</v>
      </c>
      <c r="M107" s="2">
        <f>73569/100000</f>
        <v>0.73568999999999996</v>
      </c>
      <c r="N107" s="2">
        <v>0.82137769999999999</v>
      </c>
      <c r="O107" s="3" t="s">
        <v>4864</v>
      </c>
      <c r="P107" s="7">
        <v>0.61</v>
      </c>
      <c r="Q107" s="2" t="s">
        <v>4865</v>
      </c>
      <c r="R107" s="2">
        <v>0.02</v>
      </c>
      <c r="S107" s="2">
        <f>2253/100000</f>
        <v>2.2530000000000001E-2</v>
      </c>
      <c r="T107" s="2">
        <v>0.14850579999999999</v>
      </c>
    </row>
    <row r="108" spans="1:20">
      <c r="A108" s="3" t="s">
        <v>951</v>
      </c>
      <c r="B108" s="1" t="s">
        <v>941</v>
      </c>
      <c r="C108" s="3" t="s">
        <v>942</v>
      </c>
      <c r="D108" s="3" t="s">
        <v>952</v>
      </c>
      <c r="E108" s="3" t="s">
        <v>953</v>
      </c>
      <c r="F108" s="3" t="s">
        <v>954</v>
      </c>
      <c r="G108" s="3" t="s">
        <v>955</v>
      </c>
      <c r="H108" s="11" t="s">
        <v>8111</v>
      </c>
      <c r="I108" s="3" t="s">
        <v>4866</v>
      </c>
      <c r="J108" s="7">
        <v>0.98</v>
      </c>
      <c r="K108" s="2" t="s">
        <v>4867</v>
      </c>
      <c r="L108" s="2">
        <v>0.94099999999999995</v>
      </c>
      <c r="M108" s="2">
        <f>100000/100000</f>
        <v>1</v>
      </c>
      <c r="N108" s="2">
        <v>0.82929589999999997</v>
      </c>
      <c r="O108" s="3" t="s">
        <v>4868</v>
      </c>
      <c r="P108" s="7">
        <v>0.77</v>
      </c>
      <c r="Q108" s="2" t="s">
        <v>4869</v>
      </c>
      <c r="R108" s="2">
        <v>0.17399999999999999</v>
      </c>
      <c r="S108" s="2">
        <f>17731/100000</f>
        <v>0.17731</v>
      </c>
      <c r="T108" s="2">
        <v>0.46586650000000002</v>
      </c>
    </row>
    <row r="109" spans="1:20">
      <c r="A109" s="3" t="s">
        <v>960</v>
      </c>
      <c r="B109" s="1" t="s">
        <v>961</v>
      </c>
      <c r="C109" s="3" t="s">
        <v>962</v>
      </c>
      <c r="D109" s="3" t="s">
        <v>963</v>
      </c>
      <c r="E109" s="3" t="s">
        <v>964</v>
      </c>
      <c r="F109" s="3" t="s">
        <v>965</v>
      </c>
      <c r="G109" s="3" t="s">
        <v>966</v>
      </c>
      <c r="H109" s="11" t="s">
        <v>8112</v>
      </c>
      <c r="I109" s="3" t="s">
        <v>4870</v>
      </c>
      <c r="J109" s="7">
        <v>1.45</v>
      </c>
      <c r="K109" s="2" t="s">
        <v>4871</v>
      </c>
      <c r="L109" s="2">
        <v>0.252</v>
      </c>
      <c r="M109" s="2">
        <f>33469/100000</f>
        <v>0.33468999999999999</v>
      </c>
      <c r="N109" s="2">
        <v>0.61526179999999997</v>
      </c>
      <c r="O109" s="3" t="s">
        <v>4872</v>
      </c>
      <c r="P109" s="7">
        <v>0.67</v>
      </c>
      <c r="Q109" s="2" t="s">
        <v>3572</v>
      </c>
      <c r="R109" s="2">
        <v>0.36499999999999999</v>
      </c>
      <c r="S109" s="2">
        <f>45714/100000</f>
        <v>0.45713999999999999</v>
      </c>
      <c r="T109" s="2">
        <v>0.70161989999999996</v>
      </c>
    </row>
    <row r="110" spans="1:20">
      <c r="A110" s="3" t="s">
        <v>971</v>
      </c>
      <c r="B110" s="1" t="s">
        <v>972</v>
      </c>
      <c r="C110" s="3" t="s">
        <v>973</v>
      </c>
      <c r="D110" s="3" t="s">
        <v>974</v>
      </c>
      <c r="E110" s="3" t="s">
        <v>975</v>
      </c>
      <c r="F110" s="3" t="s">
        <v>976</v>
      </c>
      <c r="G110" s="3" t="s">
        <v>977</v>
      </c>
      <c r="H110" s="11" t="s">
        <v>8113</v>
      </c>
      <c r="I110" s="3" t="s">
        <v>4873</v>
      </c>
      <c r="J110" s="7">
        <v>0.84</v>
      </c>
      <c r="K110" s="2" t="s">
        <v>4874</v>
      </c>
      <c r="L110" s="2">
        <v>0.86299999999999999</v>
      </c>
      <c r="M110" s="2">
        <f>100000/100000</f>
        <v>1</v>
      </c>
      <c r="N110" s="2">
        <v>0.82929589999999997</v>
      </c>
      <c r="O110" s="3" t="s">
        <v>4875</v>
      </c>
      <c r="P110" s="7">
        <v>0</v>
      </c>
      <c r="Q110" s="2" t="s">
        <v>774</v>
      </c>
      <c r="R110" s="2">
        <v>0.34499999999999997</v>
      </c>
      <c r="S110" s="2">
        <f>63075/100000</f>
        <v>0.63075000000000003</v>
      </c>
      <c r="T110" s="2">
        <v>0.79869500000000004</v>
      </c>
    </row>
    <row r="111" spans="1:20">
      <c r="A111" s="3" t="s">
        <v>982</v>
      </c>
      <c r="B111" s="1" t="s">
        <v>972</v>
      </c>
      <c r="C111" s="3" t="s">
        <v>973</v>
      </c>
      <c r="D111" s="3" t="s">
        <v>983</v>
      </c>
      <c r="E111" s="3" t="s">
        <v>984</v>
      </c>
      <c r="F111" s="3" t="s">
        <v>976</v>
      </c>
      <c r="G111" s="3" t="s">
        <v>977</v>
      </c>
      <c r="H111" s="11" t="s">
        <v>8067</v>
      </c>
      <c r="I111" s="3" t="s">
        <v>4876</v>
      </c>
      <c r="J111" s="7">
        <v>2.0699999999999998</v>
      </c>
      <c r="K111" s="2" t="s">
        <v>4877</v>
      </c>
      <c r="L111" s="2">
        <v>0.46600000000000003</v>
      </c>
      <c r="M111" s="2">
        <f>38888/100000</f>
        <v>0.38888</v>
      </c>
      <c r="N111" s="2">
        <v>0.65449380000000001</v>
      </c>
      <c r="O111" s="3" t="s">
        <v>4878</v>
      </c>
      <c r="P111" s="7">
        <v>1.79</v>
      </c>
      <c r="Q111" s="2" t="s">
        <v>4879</v>
      </c>
      <c r="R111" s="2">
        <v>0.56200000000000006</v>
      </c>
      <c r="S111" s="2">
        <f>100000/100000</f>
        <v>1</v>
      </c>
      <c r="T111" s="2">
        <v>0.82929589999999997</v>
      </c>
    </row>
    <row r="112" spans="1:20">
      <c r="A112" s="3" t="s">
        <v>989</v>
      </c>
      <c r="B112" s="1" t="s">
        <v>990</v>
      </c>
      <c r="C112" s="3" t="s">
        <v>991</v>
      </c>
      <c r="D112" s="3" t="s">
        <v>992</v>
      </c>
      <c r="E112" s="3" t="s">
        <v>993</v>
      </c>
      <c r="F112" s="3" t="s">
        <v>994</v>
      </c>
      <c r="G112" s="3" t="s">
        <v>995</v>
      </c>
      <c r="H112" s="11" t="s">
        <v>8055</v>
      </c>
      <c r="I112" s="3" t="s">
        <v>4880</v>
      </c>
      <c r="J112" s="7">
        <v>0.94</v>
      </c>
      <c r="K112" s="1" t="s">
        <v>4881</v>
      </c>
      <c r="L112" s="2">
        <v>0.92900000000000005</v>
      </c>
      <c r="M112" s="2">
        <f>100000/100000</f>
        <v>1</v>
      </c>
      <c r="N112" s="2">
        <v>0.82929589999999997</v>
      </c>
      <c r="O112" s="3" t="s">
        <v>4882</v>
      </c>
      <c r="P112" s="7">
        <v>1.76</v>
      </c>
      <c r="Q112" s="1" t="s">
        <v>4883</v>
      </c>
      <c r="R112" s="2">
        <v>0.26300000000000001</v>
      </c>
      <c r="S112" s="2">
        <f>29765/100000</f>
        <v>0.29765000000000003</v>
      </c>
      <c r="T112" s="2">
        <v>0.58316690000000004</v>
      </c>
    </row>
    <row r="113" spans="1:20">
      <c r="A113" s="3" t="s">
        <v>1000</v>
      </c>
      <c r="B113" s="1" t="s">
        <v>990</v>
      </c>
      <c r="C113" s="3" t="s">
        <v>991</v>
      </c>
      <c r="D113" s="3" t="s">
        <v>1001</v>
      </c>
      <c r="E113" s="3" t="s">
        <v>1002</v>
      </c>
      <c r="F113" s="3" t="s">
        <v>1003</v>
      </c>
      <c r="G113" s="3" t="s">
        <v>1004</v>
      </c>
      <c r="H113" s="11" t="s">
        <v>8056</v>
      </c>
      <c r="I113" s="3" t="s">
        <v>4884</v>
      </c>
      <c r="J113" s="7">
        <v>1.0900000000000001</v>
      </c>
      <c r="K113" s="2" t="s">
        <v>4885</v>
      </c>
      <c r="L113" s="2">
        <v>0.80700000000000005</v>
      </c>
      <c r="M113" s="2">
        <f>84899/100000</f>
        <v>0.84899000000000002</v>
      </c>
      <c r="N113" s="2">
        <v>0.82929589999999997</v>
      </c>
      <c r="O113" s="3" t="s">
        <v>4886</v>
      </c>
      <c r="P113" s="7">
        <v>1.35</v>
      </c>
      <c r="Q113" s="2" t="s">
        <v>4887</v>
      </c>
      <c r="R113" s="2">
        <v>0.379</v>
      </c>
      <c r="S113" s="2">
        <f>42678/100000</f>
        <v>0.42677999999999999</v>
      </c>
      <c r="T113" s="2">
        <v>0.68221690000000001</v>
      </c>
    </row>
    <row r="114" spans="1:20">
      <c r="A114" s="3" t="s">
        <v>1009</v>
      </c>
      <c r="B114" s="1" t="s">
        <v>1010</v>
      </c>
      <c r="C114" s="3" t="s">
        <v>1011</v>
      </c>
      <c r="D114" s="3" t="s">
        <v>1012</v>
      </c>
      <c r="E114" s="3" t="s">
        <v>1013</v>
      </c>
      <c r="F114" s="3" t="s">
        <v>1014</v>
      </c>
      <c r="G114" s="3" t="s">
        <v>1015</v>
      </c>
      <c r="H114" s="11" t="s">
        <v>8114</v>
      </c>
      <c r="I114" s="3" t="s">
        <v>4888</v>
      </c>
      <c r="J114" s="7">
        <v>0.79</v>
      </c>
      <c r="K114" s="2" t="s">
        <v>4889</v>
      </c>
      <c r="L114" s="2">
        <v>0.68200000000000005</v>
      </c>
      <c r="M114" s="2">
        <f>80276/100000</f>
        <v>0.80276000000000003</v>
      </c>
      <c r="N114" s="2">
        <v>0.82929589999999997</v>
      </c>
      <c r="O114" s="3" t="s">
        <v>4890</v>
      </c>
      <c r="P114" s="7">
        <v>1.54</v>
      </c>
      <c r="Q114" s="2" t="s">
        <v>4891</v>
      </c>
      <c r="R114" s="2">
        <v>0.29699999999999999</v>
      </c>
      <c r="S114" s="2">
        <f>29578/100000</f>
        <v>0.29577999999999999</v>
      </c>
      <c r="T114" s="2">
        <v>0.58146900000000001</v>
      </c>
    </row>
    <row r="115" spans="1:20">
      <c r="A115" s="3" t="s">
        <v>1020</v>
      </c>
      <c r="B115" s="1" t="s">
        <v>1021</v>
      </c>
      <c r="C115" s="3" t="s">
        <v>1022</v>
      </c>
      <c r="D115" s="3" t="s">
        <v>1023</v>
      </c>
      <c r="E115" s="3" t="s">
        <v>1024</v>
      </c>
      <c r="F115" s="3" t="s">
        <v>1025</v>
      </c>
      <c r="G115" s="3" t="s">
        <v>1026</v>
      </c>
      <c r="H115" s="11" t="s">
        <v>8051</v>
      </c>
      <c r="I115" s="3" t="s">
        <v>4892</v>
      </c>
      <c r="J115" s="7">
        <v>0.59</v>
      </c>
      <c r="K115" s="2" t="s">
        <v>4893</v>
      </c>
      <c r="L115" s="2">
        <v>0.45300000000000001</v>
      </c>
      <c r="M115" s="2">
        <f>59230/100000</f>
        <v>0.59230000000000005</v>
      </c>
      <c r="N115" s="2">
        <v>0.77707570000000004</v>
      </c>
      <c r="O115" s="3" t="s">
        <v>4894</v>
      </c>
      <c r="P115" s="7">
        <v>1.55</v>
      </c>
      <c r="Q115" s="2" t="s">
        <v>4895</v>
      </c>
      <c r="R115" s="2">
        <v>0.44900000000000001</v>
      </c>
      <c r="S115" s="2">
        <f>44650/100000</f>
        <v>0.44650000000000001</v>
      </c>
      <c r="T115" s="2">
        <v>0.69724940000000002</v>
      </c>
    </row>
    <row r="116" spans="1:20">
      <c r="A116" s="3" t="s">
        <v>1031</v>
      </c>
      <c r="B116" s="1" t="s">
        <v>1032</v>
      </c>
      <c r="C116" s="3" t="s">
        <v>1033</v>
      </c>
      <c r="D116" s="3" t="s">
        <v>1034</v>
      </c>
      <c r="E116" s="3" t="s">
        <v>1035</v>
      </c>
      <c r="F116" s="3" t="s">
        <v>1036</v>
      </c>
      <c r="G116" s="3" t="s">
        <v>1037</v>
      </c>
      <c r="H116" s="12" t="s">
        <v>8115</v>
      </c>
      <c r="I116" s="3" t="s">
        <v>4896</v>
      </c>
      <c r="J116" s="7">
        <v>1.97</v>
      </c>
      <c r="K116" s="2" t="s">
        <v>4897</v>
      </c>
      <c r="L116" s="2">
        <v>2.07E-2</v>
      </c>
      <c r="M116" s="2">
        <f>2731/100000</f>
        <v>2.7310000000000001E-2</v>
      </c>
      <c r="N116" s="2">
        <v>0.16930619999999999</v>
      </c>
      <c r="O116" s="3" t="s">
        <v>4898</v>
      </c>
      <c r="P116" s="7">
        <v>1.82</v>
      </c>
      <c r="Q116" s="2" t="s">
        <v>4899</v>
      </c>
      <c r="R116" s="2">
        <v>4.02E-2</v>
      </c>
      <c r="S116" s="2">
        <f>4916/100000</f>
        <v>4.9160000000000002E-2</v>
      </c>
      <c r="T116" s="2">
        <v>0.23924429999999999</v>
      </c>
    </row>
    <row r="117" spans="1:20">
      <c r="A117" s="3" t="s">
        <v>1042</v>
      </c>
      <c r="B117" s="1" t="s">
        <v>1043</v>
      </c>
      <c r="C117" s="3" t="s">
        <v>1044</v>
      </c>
      <c r="D117" s="3" t="s">
        <v>1045</v>
      </c>
      <c r="E117" s="3" t="s">
        <v>1046</v>
      </c>
      <c r="F117" s="3" t="s">
        <v>1047</v>
      </c>
      <c r="G117" s="3" t="s">
        <v>1048</v>
      </c>
      <c r="H117" s="11" t="s">
        <v>8116</v>
      </c>
      <c r="I117" s="3" t="s">
        <v>4900</v>
      </c>
      <c r="J117" s="7">
        <v>0.43</v>
      </c>
      <c r="K117" s="2" t="s">
        <v>4901</v>
      </c>
      <c r="L117" s="2">
        <v>0.38400000000000001</v>
      </c>
      <c r="M117" s="2">
        <f>52559/100000</f>
        <v>0.52559</v>
      </c>
      <c r="N117" s="2">
        <v>0.74478149999999999</v>
      </c>
      <c r="O117" s="3" t="s">
        <v>4902</v>
      </c>
      <c r="P117" s="7">
        <v>1.18</v>
      </c>
      <c r="Q117" s="2" t="s">
        <v>4903</v>
      </c>
      <c r="R117" s="2">
        <v>0.77600000000000002</v>
      </c>
      <c r="S117" s="2">
        <f>100000/100000</f>
        <v>1</v>
      </c>
      <c r="T117" s="2">
        <v>0.82929589999999997</v>
      </c>
    </row>
    <row r="118" spans="1:20">
      <c r="A118" s="3" t="s">
        <v>1053</v>
      </c>
      <c r="B118" s="1" t="s">
        <v>1054</v>
      </c>
      <c r="C118" s="3" t="s">
        <v>1055</v>
      </c>
      <c r="D118" s="3" t="s">
        <v>1056</v>
      </c>
      <c r="E118" s="3" t="s">
        <v>1057</v>
      </c>
      <c r="F118" s="3" t="s">
        <v>1058</v>
      </c>
      <c r="G118" s="3" t="s">
        <v>1059</v>
      </c>
      <c r="H118" s="11" t="s">
        <v>8117</v>
      </c>
      <c r="I118" s="3" t="s">
        <v>4904</v>
      </c>
      <c r="J118" s="7">
        <v>0.95</v>
      </c>
      <c r="K118" s="2" t="s">
        <v>4905</v>
      </c>
      <c r="L118" s="2">
        <v>0.88100000000000001</v>
      </c>
      <c r="M118" s="2">
        <f>100000/100000</f>
        <v>1</v>
      </c>
      <c r="N118" s="2">
        <v>0.82929589999999997</v>
      </c>
      <c r="O118" s="3" t="s">
        <v>4906</v>
      </c>
      <c r="P118" s="7">
        <v>1.65</v>
      </c>
      <c r="Q118" s="2" t="s">
        <v>4907</v>
      </c>
      <c r="R118" s="2">
        <v>7.6300000000000007E-2</v>
      </c>
      <c r="S118" s="2">
        <f>10099/100000</f>
        <v>0.10099</v>
      </c>
      <c r="T118" s="2">
        <v>0.35767929999999998</v>
      </c>
    </row>
    <row r="119" spans="1:20">
      <c r="A119" s="3" t="s">
        <v>1064</v>
      </c>
      <c r="B119" s="1" t="s">
        <v>1065</v>
      </c>
      <c r="C119" s="3" t="s">
        <v>1066</v>
      </c>
      <c r="D119" s="3" t="s">
        <v>1067</v>
      </c>
      <c r="E119" s="3" t="s">
        <v>1068</v>
      </c>
      <c r="F119" s="3" t="s">
        <v>1069</v>
      </c>
      <c r="G119" s="3" t="s">
        <v>1070</v>
      </c>
      <c r="H119" s="11" t="s">
        <v>8060</v>
      </c>
      <c r="I119" s="3" t="s">
        <v>4908</v>
      </c>
      <c r="J119" s="7">
        <v>0</v>
      </c>
      <c r="K119" s="2" t="s">
        <v>774</v>
      </c>
      <c r="L119" s="2">
        <v>0.20100000000000001</v>
      </c>
      <c r="M119" s="2">
        <f>27548/100000</f>
        <v>0.27548</v>
      </c>
      <c r="N119" s="2">
        <v>0.56620890000000001</v>
      </c>
      <c r="O119" s="3" t="s">
        <v>4909</v>
      </c>
      <c r="P119" s="7">
        <v>2.5</v>
      </c>
      <c r="Q119" s="2" t="s">
        <v>4910</v>
      </c>
      <c r="R119" s="2">
        <v>4.0300000000000002E-2</v>
      </c>
      <c r="S119" s="2">
        <f>5715/100000</f>
        <v>5.7149999999999999E-2</v>
      </c>
      <c r="T119" s="2">
        <v>0.26225179999999998</v>
      </c>
    </row>
    <row r="120" spans="1:20">
      <c r="A120" s="3" t="s">
        <v>1075</v>
      </c>
      <c r="B120" s="1" t="s">
        <v>1076</v>
      </c>
      <c r="C120" s="3" t="s">
        <v>1077</v>
      </c>
      <c r="D120" s="3" t="s">
        <v>1078</v>
      </c>
      <c r="E120" s="3" t="s">
        <v>1079</v>
      </c>
      <c r="F120" s="3" t="s">
        <v>1080</v>
      </c>
      <c r="G120" s="3" t="s">
        <v>1081</v>
      </c>
      <c r="H120" s="11" t="s">
        <v>8070</v>
      </c>
      <c r="I120" s="3" t="s">
        <v>4911</v>
      </c>
      <c r="J120" s="7">
        <v>0</v>
      </c>
      <c r="K120" s="2" t="s">
        <v>774</v>
      </c>
      <c r="L120" s="2">
        <v>0.188</v>
      </c>
      <c r="M120" s="2">
        <f>26928/100000</f>
        <v>0.26928000000000002</v>
      </c>
      <c r="N120" s="2">
        <v>0.56620890000000001</v>
      </c>
      <c r="O120" s="3" t="s">
        <v>4912</v>
      </c>
      <c r="P120" s="7">
        <v>0</v>
      </c>
      <c r="Q120" s="2" t="s">
        <v>774</v>
      </c>
      <c r="R120" s="2">
        <v>9.3299999999999994E-2</v>
      </c>
      <c r="S120" s="2">
        <f>11957/100000</f>
        <v>0.11957</v>
      </c>
      <c r="T120" s="2">
        <v>0.38416460000000002</v>
      </c>
    </row>
    <row r="121" spans="1:20">
      <c r="A121" s="3" t="s">
        <v>1086</v>
      </c>
      <c r="B121" s="1" t="s">
        <v>1076</v>
      </c>
      <c r="C121" s="3" t="s">
        <v>1077</v>
      </c>
      <c r="D121" s="3" t="s">
        <v>1087</v>
      </c>
      <c r="E121" s="3" t="s">
        <v>1088</v>
      </c>
      <c r="F121" s="3" t="s">
        <v>1080</v>
      </c>
      <c r="G121" s="3" t="s">
        <v>1081</v>
      </c>
      <c r="H121" s="11" t="s">
        <v>8071</v>
      </c>
      <c r="I121" s="3" t="s">
        <v>4913</v>
      </c>
      <c r="J121" s="7">
        <v>0.82</v>
      </c>
      <c r="K121" s="2" t="s">
        <v>4914</v>
      </c>
      <c r="L121" s="2">
        <v>0.84499999999999997</v>
      </c>
      <c r="M121" s="2">
        <f>100000/100000</f>
        <v>1</v>
      </c>
      <c r="N121" s="2">
        <v>0.82929589999999997</v>
      </c>
      <c r="O121" s="3" t="s">
        <v>4915</v>
      </c>
      <c r="P121" s="7">
        <v>0</v>
      </c>
      <c r="Q121" s="2" t="s">
        <v>774</v>
      </c>
      <c r="R121" s="2">
        <v>0.20599999999999999</v>
      </c>
      <c r="S121" s="2">
        <f>27594/100000</f>
        <v>0.27594000000000002</v>
      </c>
      <c r="T121" s="2">
        <v>0.56690399999999996</v>
      </c>
    </row>
    <row r="122" spans="1:20">
      <c r="A122" s="3" t="s">
        <v>1093</v>
      </c>
      <c r="B122" s="1" t="s">
        <v>1076</v>
      </c>
      <c r="C122" s="3" t="s">
        <v>1077</v>
      </c>
      <c r="D122" s="3" t="s">
        <v>1094</v>
      </c>
      <c r="E122" s="3" t="s">
        <v>1095</v>
      </c>
      <c r="F122" s="3" t="s">
        <v>1080</v>
      </c>
      <c r="G122" s="3" t="s">
        <v>1081</v>
      </c>
      <c r="H122" s="11" t="s">
        <v>8072</v>
      </c>
      <c r="I122" s="3" t="s">
        <v>4916</v>
      </c>
      <c r="J122" s="7">
        <v>0.72</v>
      </c>
      <c r="K122" s="2" t="s">
        <v>4917</v>
      </c>
      <c r="L122" s="2">
        <v>0.745</v>
      </c>
      <c r="M122" s="2">
        <f>100000/100000</f>
        <v>1</v>
      </c>
      <c r="N122" s="2">
        <v>0.82929589999999997</v>
      </c>
      <c r="O122" s="3" t="s">
        <v>4918</v>
      </c>
      <c r="P122" s="7">
        <v>0</v>
      </c>
      <c r="Q122" s="2" t="s">
        <v>774</v>
      </c>
      <c r="R122" s="2">
        <v>0.16400000000000001</v>
      </c>
      <c r="S122" s="2">
        <f>26742/100000</f>
        <v>0.26741999999999999</v>
      </c>
      <c r="T122" s="2">
        <v>0.56620890000000001</v>
      </c>
    </row>
    <row r="123" spans="1:20">
      <c r="A123" s="3" t="s">
        <v>1100</v>
      </c>
      <c r="B123" s="1" t="s">
        <v>1076</v>
      </c>
      <c r="C123" s="3" t="s">
        <v>1077</v>
      </c>
      <c r="D123" s="3" t="s">
        <v>1101</v>
      </c>
      <c r="E123" s="3" t="s">
        <v>1102</v>
      </c>
      <c r="F123" s="3" t="s">
        <v>1103</v>
      </c>
      <c r="G123" s="3" t="s">
        <v>1104</v>
      </c>
      <c r="H123" s="11" t="s">
        <v>8070</v>
      </c>
      <c r="I123" s="3" t="s">
        <v>4919</v>
      </c>
      <c r="J123" s="7">
        <v>0.96</v>
      </c>
      <c r="K123" s="2" t="s">
        <v>4920</v>
      </c>
      <c r="L123" s="2">
        <v>0.94799999999999995</v>
      </c>
      <c r="M123" s="2">
        <f>100000/100000</f>
        <v>1</v>
      </c>
      <c r="N123" s="2">
        <v>0.82929589999999997</v>
      </c>
      <c r="O123" s="3" t="s">
        <v>4921</v>
      </c>
      <c r="P123" s="7">
        <v>0.84</v>
      </c>
      <c r="Q123" s="2" t="s">
        <v>4922</v>
      </c>
      <c r="R123" s="2">
        <v>0.76</v>
      </c>
      <c r="S123" s="2">
        <f>80859/100000</f>
        <v>0.80859000000000003</v>
      </c>
      <c r="T123" s="2">
        <v>0.82929589999999997</v>
      </c>
    </row>
    <row r="124" spans="1:20">
      <c r="A124" s="3" t="s">
        <v>1109</v>
      </c>
      <c r="B124" s="1" t="s">
        <v>1076</v>
      </c>
      <c r="C124" s="3" t="s">
        <v>1077</v>
      </c>
      <c r="D124" s="3" t="s">
        <v>1110</v>
      </c>
      <c r="E124" s="3" t="s">
        <v>1111</v>
      </c>
      <c r="F124" s="3" t="s">
        <v>1103</v>
      </c>
      <c r="G124" s="3" t="s">
        <v>1104</v>
      </c>
      <c r="H124" s="11" t="s">
        <v>8071</v>
      </c>
      <c r="I124" s="3" t="s">
        <v>4923</v>
      </c>
      <c r="J124" s="7">
        <v>0.94</v>
      </c>
      <c r="K124" s="2" t="s">
        <v>4924</v>
      </c>
      <c r="L124" s="2">
        <v>0.9</v>
      </c>
      <c r="M124" s="2">
        <f>100000/100000</f>
        <v>1</v>
      </c>
      <c r="N124" s="2">
        <v>0.82929589999999997</v>
      </c>
      <c r="O124" s="3" t="s">
        <v>4925</v>
      </c>
      <c r="P124" s="7">
        <v>0.61</v>
      </c>
      <c r="Q124" s="2" t="s">
        <v>4926</v>
      </c>
      <c r="R124" s="2">
        <v>0.48699999999999999</v>
      </c>
      <c r="S124" s="2">
        <f>59228/100000</f>
        <v>0.59228000000000003</v>
      </c>
      <c r="T124" s="2">
        <v>0.77707570000000004</v>
      </c>
    </row>
    <row r="125" spans="1:20">
      <c r="A125" s="3" t="s">
        <v>1116</v>
      </c>
      <c r="B125" s="1" t="s">
        <v>1076</v>
      </c>
      <c r="C125" s="3" t="s">
        <v>1077</v>
      </c>
      <c r="D125" s="3" t="s">
        <v>1117</v>
      </c>
      <c r="E125" s="3" t="s">
        <v>1118</v>
      </c>
      <c r="F125" s="3" t="s">
        <v>1119</v>
      </c>
      <c r="G125" s="3" t="s">
        <v>1120</v>
      </c>
      <c r="H125" s="11" t="s">
        <v>8072</v>
      </c>
      <c r="I125" s="3" t="s">
        <v>4927</v>
      </c>
      <c r="J125" s="7">
        <v>0.87</v>
      </c>
      <c r="K125" s="2" t="s">
        <v>4928</v>
      </c>
      <c r="L125" s="2">
        <v>0.84099999999999997</v>
      </c>
      <c r="M125" s="2">
        <f>100000/100000</f>
        <v>1</v>
      </c>
      <c r="N125" s="2">
        <v>0.82929589999999997</v>
      </c>
      <c r="O125" s="3" t="s">
        <v>4929</v>
      </c>
      <c r="P125" s="7">
        <v>0.57999999999999996</v>
      </c>
      <c r="Q125" s="2" t="s">
        <v>4930</v>
      </c>
      <c r="R125" s="2">
        <v>0.58499999999999996</v>
      </c>
      <c r="S125" s="2">
        <f>73357/100000</f>
        <v>0.73357000000000006</v>
      </c>
      <c r="T125" s="2">
        <v>0.82137769999999999</v>
      </c>
    </row>
    <row r="126" spans="1:20">
      <c r="A126" s="3" t="s">
        <v>1125</v>
      </c>
      <c r="B126" s="1" t="s">
        <v>1076</v>
      </c>
      <c r="C126" s="3" t="s">
        <v>1077</v>
      </c>
      <c r="D126" s="3" t="s">
        <v>1080</v>
      </c>
      <c r="E126" s="3" t="s">
        <v>1081</v>
      </c>
      <c r="F126" s="3" t="s">
        <v>1119</v>
      </c>
      <c r="G126" s="3" t="s">
        <v>1120</v>
      </c>
      <c r="H126" s="11" t="s">
        <v>8073</v>
      </c>
      <c r="I126" s="3" t="s">
        <v>4931</v>
      </c>
      <c r="J126" s="7">
        <v>0.43</v>
      </c>
      <c r="K126" s="2" t="s">
        <v>4832</v>
      </c>
      <c r="L126" s="2">
        <v>0.39300000000000002</v>
      </c>
      <c r="M126" s="2">
        <f>52339/100000</f>
        <v>0.52339000000000002</v>
      </c>
      <c r="N126" s="2">
        <v>0.74478149999999999</v>
      </c>
      <c r="O126" s="3" t="s">
        <v>4932</v>
      </c>
      <c r="P126" s="7">
        <v>0</v>
      </c>
      <c r="Q126" s="2" t="s">
        <v>774</v>
      </c>
      <c r="R126" s="2">
        <v>0.30399999999999999</v>
      </c>
      <c r="S126" s="2">
        <f>43402/100000</f>
        <v>0.43402000000000002</v>
      </c>
      <c r="T126" s="2">
        <v>0.68614220000000004</v>
      </c>
    </row>
    <row r="127" spans="1:20">
      <c r="A127" s="3" t="s">
        <v>1130</v>
      </c>
      <c r="B127" s="1" t="s">
        <v>1076</v>
      </c>
      <c r="C127" s="3" t="s">
        <v>1077</v>
      </c>
      <c r="D127" s="3" t="s">
        <v>1103</v>
      </c>
      <c r="E127" s="3" t="s">
        <v>1104</v>
      </c>
      <c r="F127" s="3" t="s">
        <v>1131</v>
      </c>
      <c r="G127" s="3" t="s">
        <v>1132</v>
      </c>
      <c r="H127" s="11" t="s">
        <v>8073</v>
      </c>
      <c r="I127" s="3" t="s">
        <v>4933</v>
      </c>
      <c r="J127" s="7">
        <v>0.63</v>
      </c>
      <c r="K127" s="2" t="s">
        <v>4573</v>
      </c>
      <c r="L127" s="2">
        <v>0.64200000000000002</v>
      </c>
      <c r="M127" s="2">
        <f>74080/100000</f>
        <v>0.74080000000000001</v>
      </c>
      <c r="N127" s="2">
        <v>0.82217700000000005</v>
      </c>
      <c r="O127" s="3" t="s">
        <v>4915</v>
      </c>
      <c r="P127" s="7">
        <v>0</v>
      </c>
      <c r="Q127" s="2" t="s">
        <v>774</v>
      </c>
      <c r="R127" s="2">
        <v>0.20599999999999999</v>
      </c>
      <c r="S127" s="2">
        <f>27781/100000</f>
        <v>0.27781</v>
      </c>
      <c r="T127" s="2">
        <v>0.56873700000000005</v>
      </c>
    </row>
    <row r="128" spans="1:20">
      <c r="A128" s="3" t="s">
        <v>1137</v>
      </c>
      <c r="B128" s="1" t="s">
        <v>1138</v>
      </c>
      <c r="C128" s="3" t="s">
        <v>1139</v>
      </c>
      <c r="D128" s="3" t="s">
        <v>1140</v>
      </c>
      <c r="E128" s="3" t="s">
        <v>1141</v>
      </c>
      <c r="F128" s="3" t="s">
        <v>1142</v>
      </c>
      <c r="G128" s="3" t="s">
        <v>1143</v>
      </c>
      <c r="H128" s="11" t="s">
        <v>8118</v>
      </c>
      <c r="I128" s="3" t="s">
        <v>4934</v>
      </c>
      <c r="J128" s="7">
        <v>0.77</v>
      </c>
      <c r="K128" s="2" t="s">
        <v>4935</v>
      </c>
      <c r="L128" s="2">
        <v>0.55500000000000005</v>
      </c>
      <c r="M128" s="2">
        <f>68915/100000</f>
        <v>0.68915000000000004</v>
      </c>
      <c r="N128" s="2">
        <v>0.81339530000000004</v>
      </c>
      <c r="O128" s="3" t="s">
        <v>4936</v>
      </c>
      <c r="P128" s="7">
        <v>2.15</v>
      </c>
      <c r="Q128" s="2" t="s">
        <v>4937</v>
      </c>
      <c r="R128" s="2">
        <v>6.4700000000000001E-3</v>
      </c>
      <c r="S128" s="2">
        <f>1068/100000</f>
        <v>1.068E-2</v>
      </c>
      <c r="T128" s="2">
        <v>9.0072949999999999E-2</v>
      </c>
    </row>
    <row r="129" spans="1:20">
      <c r="A129" s="3" t="s">
        <v>1148</v>
      </c>
      <c r="B129" s="1" t="s">
        <v>1149</v>
      </c>
      <c r="C129" s="3" t="s">
        <v>1150</v>
      </c>
      <c r="D129" s="3" t="s">
        <v>1151</v>
      </c>
      <c r="E129" s="3" t="s">
        <v>1152</v>
      </c>
      <c r="F129" s="3" t="s">
        <v>1153</v>
      </c>
      <c r="G129" s="3" t="s">
        <v>1154</v>
      </c>
      <c r="H129" s="11" t="s">
        <v>8119</v>
      </c>
      <c r="I129" s="3" t="s">
        <v>4938</v>
      </c>
      <c r="J129" s="7">
        <v>2.5</v>
      </c>
      <c r="K129" s="2" t="s">
        <v>4939</v>
      </c>
      <c r="L129" s="2">
        <v>2.55E-8</v>
      </c>
      <c r="M129" s="2" t="s">
        <v>500</v>
      </c>
      <c r="N129" s="2">
        <v>3.517123E-4</v>
      </c>
      <c r="O129" s="3" t="s">
        <v>4940</v>
      </c>
      <c r="P129" s="7">
        <v>0.97</v>
      </c>
      <c r="Q129" s="2" t="s">
        <v>231</v>
      </c>
      <c r="R129" s="2">
        <v>0.92800000000000005</v>
      </c>
      <c r="S129" s="2">
        <f>100000/100000</f>
        <v>1</v>
      </c>
      <c r="T129" s="2">
        <v>0.82929589999999997</v>
      </c>
    </row>
    <row r="130" spans="1:20">
      <c r="A130" s="3" t="s">
        <v>1159</v>
      </c>
      <c r="B130" s="1" t="s">
        <v>1160</v>
      </c>
      <c r="C130" s="3" t="s">
        <v>1161</v>
      </c>
      <c r="D130" s="3" t="s">
        <v>1162</v>
      </c>
      <c r="E130" s="3" t="s">
        <v>1163</v>
      </c>
      <c r="F130" s="3" t="s">
        <v>1164</v>
      </c>
      <c r="G130" s="3" t="s">
        <v>1165</v>
      </c>
      <c r="H130" s="11" t="s">
        <v>8120</v>
      </c>
      <c r="I130" s="3" t="s">
        <v>4941</v>
      </c>
      <c r="J130" s="7">
        <v>0.94</v>
      </c>
      <c r="K130" s="2" t="s">
        <v>4942</v>
      </c>
      <c r="L130" s="2">
        <v>0.91400000000000003</v>
      </c>
      <c r="M130" s="2">
        <f>100000/100000</f>
        <v>1</v>
      </c>
      <c r="N130" s="2">
        <v>0.82929589999999997</v>
      </c>
      <c r="O130" s="3" t="s">
        <v>4943</v>
      </c>
      <c r="P130" s="7">
        <v>0.63</v>
      </c>
      <c r="Q130" s="2" t="s">
        <v>4944</v>
      </c>
      <c r="R130" s="2">
        <v>0.51300000000000001</v>
      </c>
      <c r="S130" s="2">
        <f>59839/100000</f>
        <v>0.59838999999999998</v>
      </c>
      <c r="T130" s="2">
        <v>0.78135619999999995</v>
      </c>
    </row>
    <row r="131" spans="1:20">
      <c r="A131" s="3" t="s">
        <v>1169</v>
      </c>
      <c r="B131" s="1" t="s">
        <v>1170</v>
      </c>
      <c r="C131" s="3" t="s">
        <v>1171</v>
      </c>
      <c r="D131" s="3" t="s">
        <v>1172</v>
      </c>
      <c r="E131" s="3" t="s">
        <v>1173</v>
      </c>
      <c r="F131" s="3" t="s">
        <v>1174</v>
      </c>
      <c r="G131" s="3" t="s">
        <v>1175</v>
      </c>
      <c r="H131" s="11" t="s">
        <v>8121</v>
      </c>
      <c r="I131" s="3" t="s">
        <v>4945</v>
      </c>
      <c r="J131" s="7">
        <v>2.46</v>
      </c>
      <c r="K131" s="2" t="s">
        <v>4946</v>
      </c>
      <c r="L131" s="2">
        <v>7.1800000000000003E-2</v>
      </c>
      <c r="M131" s="2">
        <f>8849/100000</f>
        <v>8.8489999999999999E-2</v>
      </c>
      <c r="N131" s="2">
        <v>0.33952310000000002</v>
      </c>
      <c r="O131" s="3" t="s">
        <v>4947</v>
      </c>
      <c r="P131" s="7">
        <v>0.81</v>
      </c>
      <c r="Q131" s="2" t="s">
        <v>4948</v>
      </c>
      <c r="R131" s="2">
        <v>0.83899999999999997</v>
      </c>
      <c r="S131" s="2">
        <f>100000/100000</f>
        <v>1</v>
      </c>
      <c r="T131" s="2">
        <v>0.82929589999999997</v>
      </c>
    </row>
    <row r="132" spans="1:20">
      <c r="A132" s="3" t="s">
        <v>1180</v>
      </c>
      <c r="B132" s="1" t="s">
        <v>1181</v>
      </c>
      <c r="C132" s="3" t="s">
        <v>1182</v>
      </c>
      <c r="D132" s="3" t="s">
        <v>1183</v>
      </c>
      <c r="E132" s="3" t="s">
        <v>1184</v>
      </c>
      <c r="F132" s="3" t="s">
        <v>1185</v>
      </c>
      <c r="G132" s="3" t="s">
        <v>1186</v>
      </c>
      <c r="H132" s="11" t="s">
        <v>8122</v>
      </c>
      <c r="I132" s="3" t="s">
        <v>4949</v>
      </c>
      <c r="J132" s="7">
        <v>0.43</v>
      </c>
      <c r="K132" s="2" t="s">
        <v>4777</v>
      </c>
      <c r="L132" s="2">
        <v>2.3599999999999999E-2</v>
      </c>
      <c r="M132" s="2">
        <f>2578/100000</f>
        <v>2.5780000000000001E-2</v>
      </c>
      <c r="N132" s="2">
        <v>0.1627555</v>
      </c>
      <c r="O132" s="3" t="s">
        <v>4950</v>
      </c>
      <c r="P132" s="7">
        <v>1.41</v>
      </c>
      <c r="Q132" s="2" t="s">
        <v>4951</v>
      </c>
      <c r="R132" s="2">
        <v>0.107</v>
      </c>
      <c r="S132" s="2">
        <f>10744/100000</f>
        <v>0.10743999999999999</v>
      </c>
      <c r="T132" s="2">
        <v>0.36580889999999999</v>
      </c>
    </row>
    <row r="133" spans="1:20">
      <c r="A133" s="3" t="s">
        <v>1191</v>
      </c>
      <c r="B133" s="1" t="s">
        <v>1192</v>
      </c>
      <c r="C133" s="3" t="s">
        <v>1193</v>
      </c>
      <c r="D133" s="3" t="s">
        <v>1194</v>
      </c>
      <c r="E133" s="3" t="s">
        <v>1195</v>
      </c>
      <c r="F133" s="3" t="s">
        <v>1196</v>
      </c>
      <c r="G133" s="3" t="s">
        <v>1197</v>
      </c>
      <c r="H133" s="11" t="s">
        <v>8123</v>
      </c>
      <c r="I133" s="3" t="s">
        <v>4952</v>
      </c>
      <c r="J133" s="7">
        <v>1.1399999999999999</v>
      </c>
      <c r="K133" s="2" t="s">
        <v>4953</v>
      </c>
      <c r="L133" s="2">
        <v>0.76900000000000002</v>
      </c>
      <c r="M133" s="2">
        <f>80807/100000</f>
        <v>0.80806999999999995</v>
      </c>
      <c r="N133" s="2">
        <v>0.82929589999999997</v>
      </c>
      <c r="O133" s="3" t="s">
        <v>4954</v>
      </c>
      <c r="P133" s="7">
        <v>1.9</v>
      </c>
      <c r="Q133" s="2" t="s">
        <v>4955</v>
      </c>
      <c r="R133" s="2">
        <v>1.03E-2</v>
      </c>
      <c r="S133" s="2">
        <f>1392/100000</f>
        <v>1.392E-2</v>
      </c>
      <c r="T133" s="2">
        <v>0.1081462</v>
      </c>
    </row>
    <row r="134" spans="1:20">
      <c r="A134" s="3" t="s">
        <v>1202</v>
      </c>
      <c r="B134" s="1" t="s">
        <v>1203</v>
      </c>
      <c r="C134" s="3" t="s">
        <v>1204</v>
      </c>
      <c r="D134" s="3" t="s">
        <v>1205</v>
      </c>
      <c r="E134" s="3" t="s">
        <v>1206</v>
      </c>
      <c r="F134" s="3" t="s">
        <v>1207</v>
      </c>
      <c r="G134" s="3" t="s">
        <v>1208</v>
      </c>
      <c r="H134" s="11" t="s">
        <v>8078</v>
      </c>
      <c r="I134" s="3" t="s">
        <v>4956</v>
      </c>
      <c r="J134" s="7">
        <v>0.7</v>
      </c>
      <c r="K134" s="2" t="s">
        <v>4957</v>
      </c>
      <c r="L134" s="2">
        <v>0.26900000000000002</v>
      </c>
      <c r="M134" s="2">
        <f>27916/100000</f>
        <v>0.27916000000000002</v>
      </c>
      <c r="N134" s="2">
        <v>0.56965129999999997</v>
      </c>
      <c r="O134" s="3" t="s">
        <v>4958</v>
      </c>
      <c r="P134" s="7">
        <v>0.87</v>
      </c>
      <c r="Q134" s="2" t="s">
        <v>4959</v>
      </c>
      <c r="R134" s="2">
        <v>0.65300000000000002</v>
      </c>
      <c r="S134" s="2">
        <f>67186/100000</f>
        <v>0.67186000000000001</v>
      </c>
      <c r="T134" s="2">
        <v>0.80511429999999995</v>
      </c>
    </row>
    <row r="135" spans="1:20">
      <c r="A135" s="3" t="s">
        <v>1213</v>
      </c>
      <c r="B135" s="1" t="s">
        <v>1203</v>
      </c>
      <c r="C135" s="3" t="s">
        <v>1204</v>
      </c>
      <c r="D135" s="3" t="s">
        <v>1214</v>
      </c>
      <c r="E135" s="3" t="s">
        <v>1215</v>
      </c>
      <c r="F135" s="3" t="s">
        <v>1207</v>
      </c>
      <c r="G135" s="3" t="s">
        <v>1208</v>
      </c>
      <c r="H135" s="11" t="s">
        <v>8074</v>
      </c>
      <c r="I135" s="3" t="s">
        <v>4960</v>
      </c>
      <c r="J135" s="7">
        <v>1.25</v>
      </c>
      <c r="K135" s="2" t="s">
        <v>4961</v>
      </c>
      <c r="L135" s="2">
        <v>0.30099999999999999</v>
      </c>
      <c r="M135" s="2">
        <f>33489/100000</f>
        <v>0.33489000000000002</v>
      </c>
      <c r="N135" s="2">
        <v>0.61526179999999997</v>
      </c>
      <c r="O135" s="3" t="s">
        <v>4962</v>
      </c>
      <c r="P135" s="7">
        <v>0.81</v>
      </c>
      <c r="Q135" s="2" t="s">
        <v>4963</v>
      </c>
      <c r="R135" s="2">
        <v>0.47</v>
      </c>
      <c r="S135" s="2">
        <f>50481/100000</f>
        <v>0.50480999999999998</v>
      </c>
      <c r="T135" s="2">
        <v>0.73837560000000002</v>
      </c>
    </row>
    <row r="136" spans="1:20">
      <c r="A136" s="3" t="s">
        <v>1220</v>
      </c>
      <c r="B136" s="1" t="s">
        <v>1203</v>
      </c>
      <c r="C136" s="3" t="s">
        <v>1204</v>
      </c>
      <c r="D136" s="3" t="s">
        <v>1221</v>
      </c>
      <c r="E136" s="3" t="s">
        <v>1222</v>
      </c>
      <c r="F136" s="3" t="s">
        <v>1223</v>
      </c>
      <c r="G136" s="3" t="s">
        <v>1224</v>
      </c>
      <c r="H136" s="11" t="s">
        <v>8078</v>
      </c>
      <c r="I136" s="3" t="s">
        <v>4964</v>
      </c>
      <c r="J136" s="7">
        <v>1.72</v>
      </c>
      <c r="K136" s="2" t="s">
        <v>4965</v>
      </c>
      <c r="L136" s="2">
        <v>2.5600000000000001E-2</v>
      </c>
      <c r="M136" s="2">
        <f>3048/100000</f>
        <v>3.048E-2</v>
      </c>
      <c r="N136" s="2">
        <v>0.1829644</v>
      </c>
      <c r="O136" s="3" t="s">
        <v>4966</v>
      </c>
      <c r="P136" s="7">
        <v>0.76</v>
      </c>
      <c r="Q136" s="2" t="s">
        <v>4967</v>
      </c>
      <c r="R136" s="2">
        <v>0.35899999999999999</v>
      </c>
      <c r="S136" s="2">
        <f>42919/100000</f>
        <v>0.42919000000000002</v>
      </c>
      <c r="T136" s="2">
        <v>0.68403040000000004</v>
      </c>
    </row>
    <row r="137" spans="1:20">
      <c r="A137" s="3" t="s">
        <v>1229</v>
      </c>
      <c r="B137" s="1" t="s">
        <v>1203</v>
      </c>
      <c r="C137" s="3" t="s">
        <v>1204</v>
      </c>
      <c r="D137" s="3" t="s">
        <v>1230</v>
      </c>
      <c r="E137" s="3" t="s">
        <v>1231</v>
      </c>
      <c r="F137" s="3" t="s">
        <v>1223</v>
      </c>
      <c r="G137" s="3" t="s">
        <v>1224</v>
      </c>
      <c r="H137" s="11" t="s">
        <v>8074</v>
      </c>
      <c r="I137" s="3" t="s">
        <v>4968</v>
      </c>
      <c r="J137" s="7">
        <v>1.43</v>
      </c>
      <c r="K137" s="2" t="s">
        <v>4969</v>
      </c>
      <c r="L137" s="2">
        <v>0.11600000000000001</v>
      </c>
      <c r="M137" s="2">
        <f>14269/100000</f>
        <v>0.14269000000000001</v>
      </c>
      <c r="N137" s="2">
        <v>0.4148616</v>
      </c>
      <c r="O137" s="3" t="s">
        <v>4970</v>
      </c>
      <c r="P137" s="7">
        <v>0.77</v>
      </c>
      <c r="Q137" s="2" t="s">
        <v>4971</v>
      </c>
      <c r="R137" s="2">
        <v>0.38200000000000001</v>
      </c>
      <c r="S137" s="2">
        <f>43042/100000</f>
        <v>0.43042000000000002</v>
      </c>
      <c r="T137" s="2">
        <v>0.68403040000000004</v>
      </c>
    </row>
    <row r="138" spans="1:20">
      <c r="A138" s="3" t="s">
        <v>1236</v>
      </c>
      <c r="B138" s="1" t="s">
        <v>1237</v>
      </c>
      <c r="C138" s="3" t="s">
        <v>1238</v>
      </c>
      <c r="D138" s="3" t="s">
        <v>1214</v>
      </c>
      <c r="E138" s="3" t="s">
        <v>1215</v>
      </c>
      <c r="F138" s="3" t="s">
        <v>1207</v>
      </c>
      <c r="G138" s="3" t="s">
        <v>1208</v>
      </c>
      <c r="H138" s="11" t="s">
        <v>8074</v>
      </c>
      <c r="I138" s="3" t="s">
        <v>4960</v>
      </c>
      <c r="J138" s="7">
        <v>1.25</v>
      </c>
      <c r="K138" s="2" t="s">
        <v>4961</v>
      </c>
      <c r="L138" s="2">
        <v>0.30099999999999999</v>
      </c>
      <c r="M138" s="2">
        <f>33489/100000</f>
        <v>0.33489000000000002</v>
      </c>
      <c r="N138" s="2">
        <v>0.61526179999999997</v>
      </c>
      <c r="O138" s="3" t="s">
        <v>4962</v>
      </c>
      <c r="P138" s="7">
        <v>0.81</v>
      </c>
      <c r="Q138" s="2" t="s">
        <v>4963</v>
      </c>
      <c r="R138" s="2">
        <v>0.47</v>
      </c>
      <c r="S138" s="2">
        <f>50481/100000</f>
        <v>0.50480999999999998</v>
      </c>
      <c r="T138" s="2">
        <v>0.73837560000000002</v>
      </c>
    </row>
    <row r="139" spans="1:20">
      <c r="A139" s="3" t="s">
        <v>1239</v>
      </c>
      <c r="B139" s="1" t="s">
        <v>1240</v>
      </c>
      <c r="C139" s="3" t="s">
        <v>1241</v>
      </c>
      <c r="D139" s="3" t="s">
        <v>1242</v>
      </c>
      <c r="E139" s="3" t="s">
        <v>1243</v>
      </c>
      <c r="F139" s="3" t="s">
        <v>1244</v>
      </c>
      <c r="G139" s="3" t="s">
        <v>1245</v>
      </c>
      <c r="H139" s="11" t="s">
        <v>8118</v>
      </c>
      <c r="I139" s="3" t="s">
        <v>4972</v>
      </c>
      <c r="J139" s="7">
        <v>0.95</v>
      </c>
      <c r="K139" s="2" t="s">
        <v>4973</v>
      </c>
      <c r="L139" s="2">
        <v>0.90600000000000003</v>
      </c>
      <c r="M139" s="2">
        <f>100000/100000</f>
        <v>1</v>
      </c>
      <c r="N139" s="2">
        <v>0.82929589999999997</v>
      </c>
      <c r="O139" s="3" t="s">
        <v>4974</v>
      </c>
      <c r="P139" s="7">
        <v>1.46</v>
      </c>
      <c r="Q139" s="2" t="s">
        <v>4975</v>
      </c>
      <c r="R139" s="2">
        <v>0.26200000000000001</v>
      </c>
      <c r="S139" s="2">
        <f>30249/100000</f>
        <v>0.30248999999999998</v>
      </c>
      <c r="T139" s="2">
        <v>0.58875100000000002</v>
      </c>
    </row>
    <row r="140" spans="1:20">
      <c r="A140" s="3" t="s">
        <v>1250</v>
      </c>
      <c r="B140" s="1" t="s">
        <v>1251</v>
      </c>
      <c r="C140" s="3" t="s">
        <v>1252</v>
      </c>
      <c r="D140" s="3" t="s">
        <v>1253</v>
      </c>
      <c r="E140" s="3" t="s">
        <v>1254</v>
      </c>
      <c r="F140" s="3" t="s">
        <v>1255</v>
      </c>
      <c r="G140" s="3" t="s">
        <v>1256</v>
      </c>
      <c r="H140" s="11" t="s">
        <v>8124</v>
      </c>
      <c r="I140" s="3" t="s">
        <v>4976</v>
      </c>
      <c r="J140" s="7">
        <v>0</v>
      </c>
      <c r="K140" s="2" t="s">
        <v>774</v>
      </c>
      <c r="L140" s="2">
        <v>0.47399999999999998</v>
      </c>
      <c r="M140" s="2">
        <f>68893/100000</f>
        <v>0.68893000000000004</v>
      </c>
      <c r="N140" s="2">
        <v>0.81339530000000004</v>
      </c>
      <c r="O140" s="3" t="s">
        <v>4977</v>
      </c>
      <c r="P140" s="7">
        <v>0.41</v>
      </c>
      <c r="Q140" s="2" t="s">
        <v>4978</v>
      </c>
      <c r="R140" s="2">
        <v>0.35399999999999998</v>
      </c>
      <c r="S140" s="2">
        <f>52344/100000</f>
        <v>0.52344000000000002</v>
      </c>
      <c r="T140" s="2">
        <v>0.74478149999999999</v>
      </c>
    </row>
    <row r="141" spans="1:20">
      <c r="A141" s="3" t="s">
        <v>1261</v>
      </c>
      <c r="B141" s="1" t="s">
        <v>1262</v>
      </c>
      <c r="C141" s="3" t="s">
        <v>1263</v>
      </c>
      <c r="D141" s="3" t="s">
        <v>1264</v>
      </c>
      <c r="E141" s="3" t="s">
        <v>1265</v>
      </c>
      <c r="F141" s="3" t="s">
        <v>1266</v>
      </c>
      <c r="G141" s="3" t="s">
        <v>1267</v>
      </c>
      <c r="H141" s="11" t="s">
        <v>8125</v>
      </c>
      <c r="I141" s="3" t="s">
        <v>4979</v>
      </c>
      <c r="J141" s="7">
        <v>0</v>
      </c>
      <c r="K141" s="2" t="s">
        <v>774</v>
      </c>
      <c r="L141" s="2">
        <v>0.217</v>
      </c>
      <c r="M141" s="2">
        <f>40976/100000</f>
        <v>0.40976000000000001</v>
      </c>
      <c r="N141" s="2">
        <v>0.67049360000000002</v>
      </c>
      <c r="O141" s="3" t="s">
        <v>4980</v>
      </c>
      <c r="P141" s="7">
        <v>2.14</v>
      </c>
      <c r="Q141" s="2" t="s">
        <v>4981</v>
      </c>
      <c r="R141" s="2">
        <v>0.188</v>
      </c>
      <c r="S141" s="2">
        <f>17453/100000</f>
        <v>0.17452999999999999</v>
      </c>
      <c r="T141" s="2">
        <v>0.46368680000000001</v>
      </c>
    </row>
    <row r="142" spans="1:20">
      <c r="A142" s="3" t="s">
        <v>1272</v>
      </c>
      <c r="B142" s="1" t="s">
        <v>1262</v>
      </c>
      <c r="C142" s="3" t="s">
        <v>1263</v>
      </c>
      <c r="D142" s="3" t="s">
        <v>1273</v>
      </c>
      <c r="E142" s="3" t="s">
        <v>1274</v>
      </c>
      <c r="F142" s="3" t="s">
        <v>1266</v>
      </c>
      <c r="G142" s="3" t="s">
        <v>1267</v>
      </c>
      <c r="H142" s="11" t="s">
        <v>8126</v>
      </c>
      <c r="I142" s="3" t="s">
        <v>4982</v>
      </c>
      <c r="J142" s="7">
        <v>0.85</v>
      </c>
      <c r="K142" s="2" t="s">
        <v>4983</v>
      </c>
      <c r="L142" s="2">
        <v>0.86799999999999999</v>
      </c>
      <c r="M142" s="2">
        <f>100000/100000</f>
        <v>1</v>
      </c>
      <c r="N142" s="2">
        <v>0.82929589999999997</v>
      </c>
      <c r="O142" s="3" t="s">
        <v>4984</v>
      </c>
      <c r="P142" s="7">
        <v>0.8</v>
      </c>
      <c r="Q142" s="2" t="s">
        <v>4985</v>
      </c>
      <c r="R142" s="2">
        <v>0.82299999999999995</v>
      </c>
      <c r="S142" s="2">
        <f>100000/100000</f>
        <v>1</v>
      </c>
      <c r="T142" s="2">
        <v>0.82929589999999997</v>
      </c>
    </row>
    <row r="143" spans="1:20">
      <c r="A143" s="3" t="s">
        <v>1279</v>
      </c>
      <c r="B143" s="1" t="s">
        <v>1280</v>
      </c>
      <c r="C143" s="3" t="s">
        <v>1281</v>
      </c>
      <c r="D143" s="3" t="s">
        <v>1282</v>
      </c>
      <c r="E143" s="3" t="s">
        <v>1283</v>
      </c>
      <c r="F143" s="3" t="s">
        <v>1284</v>
      </c>
      <c r="G143" s="3" t="s">
        <v>1285</v>
      </c>
      <c r="H143" s="11" t="s">
        <v>8127</v>
      </c>
      <c r="I143" s="3" t="s">
        <v>4986</v>
      </c>
      <c r="J143" s="7">
        <v>1.02</v>
      </c>
      <c r="K143" s="2" t="s">
        <v>4987</v>
      </c>
      <c r="L143" s="2">
        <v>0.98299999999999998</v>
      </c>
      <c r="M143" s="2">
        <f>100000/100000</f>
        <v>1</v>
      </c>
      <c r="N143" s="2">
        <v>0.82929589999999997</v>
      </c>
      <c r="O143" s="3" t="s">
        <v>4988</v>
      </c>
      <c r="P143" s="7">
        <v>0</v>
      </c>
      <c r="Q143" s="2" t="s">
        <v>774</v>
      </c>
      <c r="R143" s="2">
        <v>0.154</v>
      </c>
      <c r="S143" s="2">
        <f>27041/100000</f>
        <v>0.27040999999999998</v>
      </c>
      <c r="T143" s="2">
        <v>0.56620890000000001</v>
      </c>
    </row>
    <row r="144" spans="1:20">
      <c r="A144" s="3" t="s">
        <v>1290</v>
      </c>
      <c r="B144" s="1" t="s">
        <v>1291</v>
      </c>
      <c r="C144" s="3" t="s">
        <v>1292</v>
      </c>
      <c r="D144" s="3" t="s">
        <v>1293</v>
      </c>
      <c r="E144" s="3" t="s">
        <v>1294</v>
      </c>
      <c r="F144" s="3" t="s">
        <v>1295</v>
      </c>
      <c r="G144" s="3" t="s">
        <v>1296</v>
      </c>
      <c r="H144" s="11" t="s">
        <v>8128</v>
      </c>
      <c r="I144" s="3" t="s">
        <v>4989</v>
      </c>
      <c r="J144" s="7">
        <v>0.37</v>
      </c>
      <c r="K144" s="2" t="s">
        <v>4990</v>
      </c>
      <c r="L144" s="2">
        <v>0.30299999999999999</v>
      </c>
      <c r="M144" s="2">
        <f>37977/100000</f>
        <v>0.37977</v>
      </c>
      <c r="N144" s="2">
        <v>0.65084330000000001</v>
      </c>
      <c r="O144" s="3" t="s">
        <v>4991</v>
      </c>
      <c r="P144" s="7">
        <v>1.88</v>
      </c>
      <c r="Q144" s="2" t="s">
        <v>4992</v>
      </c>
      <c r="R144" s="2">
        <v>0.20799999999999999</v>
      </c>
      <c r="S144" s="2">
        <f>28331/100000</f>
        <v>0.28331000000000001</v>
      </c>
      <c r="T144" s="2">
        <v>0.57234689999999999</v>
      </c>
    </row>
    <row r="145" spans="1:20">
      <c r="A145" s="3" t="s">
        <v>1301</v>
      </c>
      <c r="B145" s="1" t="s">
        <v>1291</v>
      </c>
      <c r="C145" s="3" t="s">
        <v>1292</v>
      </c>
      <c r="D145" s="3" t="s">
        <v>1302</v>
      </c>
      <c r="E145" s="3" t="s">
        <v>1303</v>
      </c>
      <c r="F145" s="3" t="s">
        <v>1304</v>
      </c>
      <c r="G145" s="3" t="s">
        <v>1305</v>
      </c>
      <c r="H145" s="11" t="s">
        <v>8128</v>
      </c>
      <c r="I145" s="3" t="s">
        <v>4993</v>
      </c>
      <c r="J145" s="7">
        <v>0.92</v>
      </c>
      <c r="K145" s="2" t="s">
        <v>4994</v>
      </c>
      <c r="L145" s="2">
        <v>0.89</v>
      </c>
      <c r="M145" s="2">
        <f>100000/100000</f>
        <v>1</v>
      </c>
      <c r="N145" s="2">
        <v>0.82929589999999997</v>
      </c>
      <c r="O145" s="3" t="s">
        <v>4995</v>
      </c>
      <c r="P145" s="7">
        <v>0.45</v>
      </c>
      <c r="Q145" s="2" t="s">
        <v>4996</v>
      </c>
      <c r="R145" s="2">
        <v>0.249</v>
      </c>
      <c r="S145" s="2">
        <f>33552/100000</f>
        <v>0.33551999999999998</v>
      </c>
      <c r="T145" s="2">
        <v>0.61526179999999997</v>
      </c>
    </row>
    <row r="146" spans="1:20">
      <c r="A146" s="3" t="s">
        <v>1310</v>
      </c>
      <c r="B146" s="1" t="s">
        <v>1311</v>
      </c>
      <c r="C146" s="3" t="s">
        <v>1312</v>
      </c>
      <c r="D146" s="3" t="s">
        <v>1313</v>
      </c>
      <c r="E146" s="3" t="s">
        <v>1314</v>
      </c>
      <c r="F146" s="3" t="s">
        <v>1315</v>
      </c>
      <c r="G146" s="3" t="s">
        <v>1316</v>
      </c>
      <c r="H146" s="11" t="s">
        <v>8129</v>
      </c>
      <c r="I146" s="3" t="s">
        <v>4997</v>
      </c>
      <c r="J146" s="7">
        <v>1.66</v>
      </c>
      <c r="K146" s="2" t="s">
        <v>4998</v>
      </c>
      <c r="L146" s="2">
        <v>0.61199999999999999</v>
      </c>
      <c r="M146" s="2">
        <f>100000/100000</f>
        <v>1</v>
      </c>
      <c r="N146" s="2">
        <v>0.82929589999999997</v>
      </c>
      <c r="O146" s="3" t="s">
        <v>4999</v>
      </c>
      <c r="P146" s="7">
        <v>0</v>
      </c>
      <c r="Q146" s="2" t="s">
        <v>774</v>
      </c>
      <c r="R146" s="2">
        <v>0.50900000000000001</v>
      </c>
      <c r="S146" s="2">
        <f>100000/100000</f>
        <v>1</v>
      </c>
      <c r="T146" s="2">
        <v>0.82929589999999997</v>
      </c>
    </row>
    <row r="147" spans="1:20">
      <c r="A147" s="3" t="s">
        <v>1321</v>
      </c>
      <c r="B147" s="1" t="s">
        <v>1311</v>
      </c>
      <c r="C147" s="3" t="s">
        <v>1312</v>
      </c>
      <c r="D147" s="3" t="s">
        <v>1322</v>
      </c>
      <c r="E147" s="3" t="s">
        <v>1323</v>
      </c>
      <c r="F147" s="3" t="s">
        <v>1324</v>
      </c>
      <c r="G147" s="3" t="s">
        <v>1325</v>
      </c>
      <c r="H147" s="11" t="s">
        <v>8129</v>
      </c>
      <c r="I147" s="3" t="s">
        <v>5000</v>
      </c>
      <c r="J147" s="7">
        <v>0</v>
      </c>
      <c r="K147" s="2" t="s">
        <v>774</v>
      </c>
      <c r="L147" s="2">
        <v>0.56399999999999995</v>
      </c>
      <c r="M147" s="2">
        <f>100000/100000</f>
        <v>1</v>
      </c>
      <c r="N147" s="2">
        <v>0.82929589999999997</v>
      </c>
      <c r="O147" s="3" t="s">
        <v>5000</v>
      </c>
      <c r="P147" s="7">
        <v>0</v>
      </c>
      <c r="Q147" s="2" t="s">
        <v>774</v>
      </c>
      <c r="R147" s="2">
        <v>0.56399999999999995</v>
      </c>
      <c r="S147" s="2">
        <f>100000/100000</f>
        <v>1</v>
      </c>
      <c r="T147" s="2">
        <v>0.82929589999999997</v>
      </c>
    </row>
    <row r="148" spans="1:20">
      <c r="A148" s="3" t="s">
        <v>1329</v>
      </c>
      <c r="B148" s="1" t="s">
        <v>1330</v>
      </c>
      <c r="C148" s="3" t="s">
        <v>1331</v>
      </c>
      <c r="D148" s="3" t="s">
        <v>1332</v>
      </c>
      <c r="E148" s="3" t="s">
        <v>1333</v>
      </c>
      <c r="F148" s="3" t="s">
        <v>1334</v>
      </c>
      <c r="G148" s="3" t="s">
        <v>1335</v>
      </c>
      <c r="H148" s="11" t="s">
        <v>8130</v>
      </c>
      <c r="I148" s="3" t="s">
        <v>5001</v>
      </c>
      <c r="J148" s="7">
        <v>1.42</v>
      </c>
      <c r="K148" s="2" t="s">
        <v>5002</v>
      </c>
      <c r="L148" s="2">
        <v>0.49199999999999999</v>
      </c>
      <c r="M148" s="2">
        <f>53428/100000</f>
        <v>0.53427999999999998</v>
      </c>
      <c r="N148" s="2">
        <v>0.74478149999999999</v>
      </c>
      <c r="O148" s="3" t="s">
        <v>5003</v>
      </c>
      <c r="P148" s="7">
        <v>0.9</v>
      </c>
      <c r="Q148" s="2" t="s">
        <v>5004</v>
      </c>
      <c r="R148" s="2">
        <v>0.83099999999999996</v>
      </c>
      <c r="S148" s="2">
        <f>100000/100000</f>
        <v>1</v>
      </c>
      <c r="T148" s="2">
        <v>0.82929589999999997</v>
      </c>
    </row>
    <row r="149" spans="1:20">
      <c r="A149" s="3" t="s">
        <v>1340</v>
      </c>
      <c r="B149" s="1" t="s">
        <v>1330</v>
      </c>
      <c r="C149" s="3" t="s">
        <v>1331</v>
      </c>
      <c r="D149" s="3" t="s">
        <v>1341</v>
      </c>
      <c r="E149" s="3" t="s">
        <v>1342</v>
      </c>
      <c r="F149" s="3" t="s">
        <v>1334</v>
      </c>
      <c r="G149" s="3" t="s">
        <v>1335</v>
      </c>
      <c r="H149" s="11" t="s">
        <v>8131</v>
      </c>
      <c r="I149" s="3" t="s">
        <v>5005</v>
      </c>
      <c r="J149" s="7">
        <v>1.28</v>
      </c>
      <c r="K149" s="2" t="s">
        <v>5006</v>
      </c>
      <c r="L149" s="2">
        <v>0.67500000000000004</v>
      </c>
      <c r="M149" s="2">
        <f>73673/100000</f>
        <v>0.73673</v>
      </c>
      <c r="N149" s="2">
        <v>0.82137769999999999</v>
      </c>
      <c r="O149" s="3" t="s">
        <v>5007</v>
      </c>
      <c r="P149" s="7">
        <v>1.08</v>
      </c>
      <c r="Q149" s="2" t="s">
        <v>5008</v>
      </c>
      <c r="R149" s="2">
        <v>0.90100000000000002</v>
      </c>
      <c r="S149" s="2">
        <f>100000/100000</f>
        <v>1</v>
      </c>
      <c r="T149" s="2">
        <v>0.82929589999999997</v>
      </c>
    </row>
    <row r="150" spans="1:20">
      <c r="A150" s="3" t="s">
        <v>1347</v>
      </c>
      <c r="B150" s="1" t="s">
        <v>1348</v>
      </c>
      <c r="C150" s="3" t="s">
        <v>1349</v>
      </c>
      <c r="D150" s="3" t="s">
        <v>1350</v>
      </c>
      <c r="E150" s="3" t="s">
        <v>1351</v>
      </c>
      <c r="F150" s="3" t="s">
        <v>1352</v>
      </c>
      <c r="G150" s="3" t="s">
        <v>1353</v>
      </c>
      <c r="H150" s="11" t="s">
        <v>8132</v>
      </c>
      <c r="I150" s="3" t="s">
        <v>5009</v>
      </c>
      <c r="J150" s="7">
        <v>0.84</v>
      </c>
      <c r="K150" s="2" t="s">
        <v>5010</v>
      </c>
      <c r="L150" s="2">
        <v>0.70399999999999996</v>
      </c>
      <c r="M150" s="2">
        <f>83534/100000</f>
        <v>0.83533999999999997</v>
      </c>
      <c r="N150" s="2">
        <v>0.82929589999999997</v>
      </c>
      <c r="O150" s="3" t="s">
        <v>5011</v>
      </c>
      <c r="P150" s="7">
        <v>1.92</v>
      </c>
      <c r="Q150" s="2" t="s">
        <v>5012</v>
      </c>
      <c r="R150" s="2">
        <v>4.1500000000000002E-2</v>
      </c>
      <c r="S150" s="2">
        <f>4735/100000</f>
        <v>4.7350000000000003E-2</v>
      </c>
      <c r="T150" s="2">
        <v>0.23448840000000001</v>
      </c>
    </row>
    <row r="151" spans="1:20">
      <c r="A151" s="3" t="s">
        <v>1358</v>
      </c>
      <c r="B151" s="1" t="s">
        <v>1359</v>
      </c>
      <c r="C151" s="3" t="s">
        <v>1360</v>
      </c>
      <c r="D151" s="3" t="s">
        <v>1361</v>
      </c>
      <c r="E151" s="3" t="s">
        <v>1362</v>
      </c>
      <c r="F151" s="3" t="s">
        <v>1363</v>
      </c>
      <c r="G151" s="3" t="s">
        <v>1364</v>
      </c>
      <c r="H151" s="11" t="s">
        <v>8133</v>
      </c>
      <c r="I151" s="3" t="s">
        <v>5013</v>
      </c>
      <c r="J151" s="7">
        <v>1.37</v>
      </c>
      <c r="K151" s="2" t="s">
        <v>5014</v>
      </c>
      <c r="L151" s="2">
        <v>0.59199999999999997</v>
      </c>
      <c r="M151" s="2">
        <f>72882/100000</f>
        <v>0.72882000000000002</v>
      </c>
      <c r="N151" s="2">
        <v>0.82137769999999999</v>
      </c>
      <c r="O151" s="3" t="s">
        <v>5015</v>
      </c>
      <c r="P151" s="7">
        <v>1.55</v>
      </c>
      <c r="Q151" s="2" t="s">
        <v>5016</v>
      </c>
      <c r="R151" s="2">
        <v>0.38200000000000001</v>
      </c>
      <c r="S151" s="2">
        <f>52589/100000</f>
        <v>0.52588999999999997</v>
      </c>
      <c r="T151" s="2">
        <v>0.74478149999999999</v>
      </c>
    </row>
    <row r="152" spans="1:20">
      <c r="A152" s="3" t="s">
        <v>1369</v>
      </c>
      <c r="B152" s="1" t="s">
        <v>1359</v>
      </c>
      <c r="C152" s="3" t="s">
        <v>1360</v>
      </c>
      <c r="D152" s="3" t="s">
        <v>1370</v>
      </c>
      <c r="E152" s="3" t="s">
        <v>1371</v>
      </c>
      <c r="F152" s="3" t="s">
        <v>1372</v>
      </c>
      <c r="G152" s="3" t="s">
        <v>1373</v>
      </c>
      <c r="H152" s="11" t="s">
        <v>8133</v>
      </c>
      <c r="I152" s="3" t="s">
        <v>5017</v>
      </c>
      <c r="J152" s="7">
        <v>2.02</v>
      </c>
      <c r="K152" s="2" t="s">
        <v>5018</v>
      </c>
      <c r="L152" s="2">
        <v>0.115</v>
      </c>
      <c r="M152" s="2">
        <f>18686/100000</f>
        <v>0.18686</v>
      </c>
      <c r="N152" s="2">
        <v>0.4748986</v>
      </c>
      <c r="O152" s="3" t="s">
        <v>5019</v>
      </c>
      <c r="P152" s="7">
        <v>1.25</v>
      </c>
      <c r="Q152" s="2" t="s">
        <v>5020</v>
      </c>
      <c r="R152" s="2">
        <v>0.7</v>
      </c>
      <c r="S152" s="2">
        <f>73456/100000</f>
        <v>0.73455999999999999</v>
      </c>
      <c r="T152" s="2">
        <v>0.82137769999999999</v>
      </c>
    </row>
    <row r="153" spans="1:20">
      <c r="A153" s="3" t="s">
        <v>1378</v>
      </c>
      <c r="B153" s="1" t="s">
        <v>1379</v>
      </c>
      <c r="C153" s="3" t="s">
        <v>1380</v>
      </c>
      <c r="D153" s="3" t="s">
        <v>1381</v>
      </c>
      <c r="E153" s="3" t="s">
        <v>1382</v>
      </c>
      <c r="F153" s="3" t="s">
        <v>1383</v>
      </c>
      <c r="G153" s="3" t="s">
        <v>1384</v>
      </c>
      <c r="H153" s="11" t="s">
        <v>8134</v>
      </c>
      <c r="I153" s="3" t="s">
        <v>5021</v>
      </c>
      <c r="J153" s="7">
        <v>1.65</v>
      </c>
      <c r="K153" s="2" t="s">
        <v>5022</v>
      </c>
      <c r="L153" s="2">
        <v>1.4200000000000001E-2</v>
      </c>
      <c r="M153" s="2">
        <f>1746/100000</f>
        <v>1.746E-2</v>
      </c>
      <c r="N153" s="2">
        <v>0.12728400000000001</v>
      </c>
      <c r="O153" s="3" t="s">
        <v>5023</v>
      </c>
      <c r="P153" s="7">
        <v>0.79</v>
      </c>
      <c r="Q153" s="2" t="s">
        <v>5024</v>
      </c>
      <c r="R153" s="2">
        <v>0.43099999999999999</v>
      </c>
      <c r="S153" s="2">
        <f>50119/100000</f>
        <v>0.50119000000000002</v>
      </c>
      <c r="T153" s="2">
        <v>0.73672249999999995</v>
      </c>
    </row>
    <row r="154" spans="1:20">
      <c r="A154" s="3" t="s">
        <v>1389</v>
      </c>
      <c r="B154" s="1" t="s">
        <v>1390</v>
      </c>
      <c r="C154" s="3" t="s">
        <v>1391</v>
      </c>
      <c r="D154" s="3" t="s">
        <v>1392</v>
      </c>
      <c r="E154" s="3" t="s">
        <v>1393</v>
      </c>
      <c r="F154" s="3" t="s">
        <v>1394</v>
      </c>
      <c r="G154" s="3" t="s">
        <v>1395</v>
      </c>
      <c r="H154" s="11" t="s">
        <v>8075</v>
      </c>
      <c r="I154" s="3" t="s">
        <v>5025</v>
      </c>
      <c r="J154" s="7">
        <v>0.44</v>
      </c>
      <c r="K154" s="2" t="s">
        <v>5026</v>
      </c>
      <c r="L154" s="2">
        <v>0.23</v>
      </c>
      <c r="M154" s="2">
        <f>25369/100000</f>
        <v>0.25369000000000003</v>
      </c>
      <c r="N154" s="2">
        <v>0.55548980000000003</v>
      </c>
      <c r="O154" s="3" t="s">
        <v>5027</v>
      </c>
      <c r="P154" s="7">
        <v>2.4900000000000002</v>
      </c>
      <c r="Q154" s="2" t="s">
        <v>5028</v>
      </c>
      <c r="R154" s="2">
        <v>3.1300000000000002E-4</v>
      </c>
      <c r="S154" s="2">
        <f>141/100000</f>
        <v>1.41E-3</v>
      </c>
      <c r="T154" s="2">
        <v>2.1543389999999999E-2</v>
      </c>
    </row>
    <row r="155" spans="1:20">
      <c r="A155" s="3" t="s">
        <v>1399</v>
      </c>
      <c r="B155" s="1" t="s">
        <v>1390</v>
      </c>
      <c r="C155" s="3" t="s">
        <v>1391</v>
      </c>
      <c r="D155" s="3" t="s">
        <v>1400</v>
      </c>
      <c r="E155" s="3" t="s">
        <v>1401</v>
      </c>
      <c r="F155" s="3" t="s">
        <v>1402</v>
      </c>
      <c r="G155" s="3" t="s">
        <v>1403</v>
      </c>
      <c r="H155" s="11" t="s">
        <v>8135</v>
      </c>
      <c r="I155" s="3" t="s">
        <v>5029</v>
      </c>
      <c r="J155" s="7">
        <v>0.55000000000000004</v>
      </c>
      <c r="K155" s="2" t="s">
        <v>5030</v>
      </c>
      <c r="L155" s="2">
        <v>0.39400000000000002</v>
      </c>
      <c r="M155" s="2">
        <f>45243/100000</f>
        <v>0.45243</v>
      </c>
      <c r="N155" s="2">
        <v>0.69868149999999996</v>
      </c>
      <c r="O155" s="3" t="s">
        <v>5031</v>
      </c>
      <c r="P155" s="7">
        <v>1.93</v>
      </c>
      <c r="Q155" s="2" t="s">
        <v>5032</v>
      </c>
      <c r="R155" s="2">
        <v>4.0099999999999997E-2</v>
      </c>
      <c r="S155" s="2">
        <f>4703/100000</f>
        <v>4.7030000000000002E-2</v>
      </c>
      <c r="T155" s="2">
        <v>0.2338614</v>
      </c>
    </row>
    <row r="156" spans="1:20">
      <c r="A156" s="3" t="s">
        <v>1408</v>
      </c>
      <c r="B156" s="1" t="s">
        <v>1409</v>
      </c>
      <c r="C156" s="3" t="s">
        <v>1410</v>
      </c>
      <c r="D156" s="3" t="s">
        <v>1411</v>
      </c>
      <c r="E156" s="3" t="s">
        <v>1412</v>
      </c>
      <c r="F156" s="3" t="s">
        <v>1413</v>
      </c>
      <c r="G156" s="3" t="s">
        <v>1414</v>
      </c>
      <c r="H156" s="11" t="s">
        <v>8136</v>
      </c>
      <c r="I156" s="3" t="s">
        <v>5033</v>
      </c>
      <c r="J156" s="7">
        <v>0.88</v>
      </c>
      <c r="K156" s="2" t="s">
        <v>4677</v>
      </c>
      <c r="L156" s="2">
        <v>0.83299999999999996</v>
      </c>
      <c r="M156" s="2">
        <f>100000/100000</f>
        <v>1</v>
      </c>
      <c r="N156" s="2">
        <v>0.82929589999999997</v>
      </c>
      <c r="O156" s="3" t="s">
        <v>5034</v>
      </c>
      <c r="P156" s="7">
        <v>0.98</v>
      </c>
      <c r="Q156" s="2" t="s">
        <v>5035</v>
      </c>
      <c r="R156" s="2">
        <v>0.97399999999999998</v>
      </c>
      <c r="S156" s="2">
        <f>100000/100000</f>
        <v>1</v>
      </c>
      <c r="T156" s="2">
        <v>0.82929589999999997</v>
      </c>
    </row>
    <row r="157" spans="1:20">
      <c r="A157" s="3" t="s">
        <v>1419</v>
      </c>
      <c r="B157" s="1" t="s">
        <v>1409</v>
      </c>
      <c r="C157" s="3" t="s">
        <v>1410</v>
      </c>
      <c r="D157" s="3" t="s">
        <v>1420</v>
      </c>
      <c r="E157" s="3" t="s">
        <v>1421</v>
      </c>
      <c r="F157" s="3" t="s">
        <v>1422</v>
      </c>
      <c r="G157" s="3" t="s">
        <v>1423</v>
      </c>
      <c r="H157" s="11" t="s">
        <v>8136</v>
      </c>
      <c r="I157" s="3" t="s">
        <v>5036</v>
      </c>
      <c r="J157" s="7">
        <v>0.92</v>
      </c>
      <c r="K157" s="2" t="s">
        <v>5037</v>
      </c>
      <c r="L157" s="2">
        <v>0.88500000000000001</v>
      </c>
      <c r="M157" s="2">
        <f>100000/100000</f>
        <v>1</v>
      </c>
      <c r="N157" s="2">
        <v>0.82929589999999997</v>
      </c>
      <c r="O157" s="3" t="s">
        <v>5038</v>
      </c>
      <c r="P157" s="7">
        <v>0.99</v>
      </c>
      <c r="Q157" s="2" t="s">
        <v>5039</v>
      </c>
      <c r="R157" s="2">
        <v>0.99099999999999999</v>
      </c>
      <c r="S157" s="2">
        <f>100000/100000</f>
        <v>1</v>
      </c>
      <c r="T157" s="2">
        <v>0.82929589999999997</v>
      </c>
    </row>
    <row r="158" spans="1:20">
      <c r="A158" s="3" t="s">
        <v>1428</v>
      </c>
      <c r="B158" s="1" t="s">
        <v>1429</v>
      </c>
      <c r="C158" s="3" t="s">
        <v>1430</v>
      </c>
      <c r="D158" s="3" t="s">
        <v>1431</v>
      </c>
      <c r="E158" s="3" t="s">
        <v>1432</v>
      </c>
      <c r="F158" s="3" t="s">
        <v>1433</v>
      </c>
      <c r="G158" s="3" t="s">
        <v>1434</v>
      </c>
      <c r="H158" s="11" t="s">
        <v>8076</v>
      </c>
      <c r="I158" s="3" t="s">
        <v>5040</v>
      </c>
      <c r="J158" s="7">
        <v>0.8</v>
      </c>
      <c r="K158" s="2" t="s">
        <v>5041</v>
      </c>
      <c r="L158" s="2">
        <v>0.70299999999999996</v>
      </c>
      <c r="M158" s="2">
        <f>80412/100000</f>
        <v>0.80411999999999995</v>
      </c>
      <c r="N158" s="2">
        <v>0.82929589999999997</v>
      </c>
      <c r="O158" s="3" t="s">
        <v>5042</v>
      </c>
      <c r="P158" s="7">
        <v>2.0499999999999998</v>
      </c>
      <c r="Q158" s="2" t="s">
        <v>5043</v>
      </c>
      <c r="R158" s="2">
        <v>8.0500000000000002E-2</v>
      </c>
      <c r="S158" s="2">
        <f>12946/100000</f>
        <v>0.12945999999999999</v>
      </c>
      <c r="T158" s="2">
        <v>0.3957079</v>
      </c>
    </row>
    <row r="159" spans="1:20">
      <c r="A159" s="3" t="s">
        <v>1439</v>
      </c>
      <c r="B159" s="1" t="s">
        <v>1429</v>
      </c>
      <c r="C159" s="3" t="s">
        <v>1430</v>
      </c>
      <c r="D159" s="3" t="s">
        <v>1440</v>
      </c>
      <c r="E159" s="3" t="s">
        <v>1441</v>
      </c>
      <c r="F159" s="3" t="s">
        <v>1442</v>
      </c>
      <c r="G159" s="3" t="s">
        <v>1443</v>
      </c>
      <c r="H159" s="11" t="s">
        <v>8076</v>
      </c>
      <c r="I159" s="3" t="s">
        <v>5044</v>
      </c>
      <c r="J159" s="7">
        <v>1.54</v>
      </c>
      <c r="K159" s="2" t="s">
        <v>5045</v>
      </c>
      <c r="L159" s="2">
        <v>0.39100000000000001</v>
      </c>
      <c r="M159" s="2">
        <f>52792/100000</f>
        <v>0.52791999999999994</v>
      </c>
      <c r="N159" s="2">
        <v>0.74478149999999999</v>
      </c>
      <c r="O159" s="3" t="s">
        <v>5046</v>
      </c>
      <c r="P159" s="7">
        <v>0.8</v>
      </c>
      <c r="Q159" s="2" t="s">
        <v>5047</v>
      </c>
      <c r="R159" s="2">
        <v>0.747</v>
      </c>
      <c r="S159" s="2">
        <f>78365/100000</f>
        <v>0.78364999999999996</v>
      </c>
      <c r="T159" s="2">
        <v>0.82929589999999997</v>
      </c>
    </row>
    <row r="160" spans="1:20">
      <c r="A160" s="3" t="s">
        <v>1448</v>
      </c>
      <c r="B160" s="1" t="s">
        <v>1429</v>
      </c>
      <c r="C160" s="3" t="s">
        <v>1430</v>
      </c>
      <c r="D160" s="3" t="s">
        <v>1431</v>
      </c>
      <c r="E160" s="3" t="s">
        <v>1432</v>
      </c>
      <c r="F160" s="3" t="s">
        <v>1433</v>
      </c>
      <c r="G160" s="3" t="s">
        <v>1434</v>
      </c>
      <c r="H160" s="11" t="s">
        <v>8076</v>
      </c>
      <c r="I160" s="3" t="s">
        <v>5040</v>
      </c>
      <c r="J160" s="7">
        <v>0.8</v>
      </c>
      <c r="K160" s="2" t="s">
        <v>5041</v>
      </c>
      <c r="L160" s="2">
        <v>0.70299999999999996</v>
      </c>
      <c r="M160" s="2">
        <f>80412/100000</f>
        <v>0.80411999999999995</v>
      </c>
      <c r="N160" s="2">
        <v>0.82929589999999997</v>
      </c>
      <c r="O160" s="3" t="s">
        <v>5042</v>
      </c>
      <c r="P160" s="7">
        <v>2.0499999999999998</v>
      </c>
      <c r="Q160" s="2" t="s">
        <v>5043</v>
      </c>
      <c r="R160" s="2">
        <v>8.0500000000000002E-2</v>
      </c>
      <c r="S160" s="2">
        <f>12946/100000</f>
        <v>0.12945999999999999</v>
      </c>
      <c r="T160" s="2">
        <v>0.3957079</v>
      </c>
    </row>
    <row r="161" spans="1:20">
      <c r="A161" s="3" t="s">
        <v>1449</v>
      </c>
      <c r="B161" s="1" t="s">
        <v>1429</v>
      </c>
      <c r="C161" s="3" t="s">
        <v>1430</v>
      </c>
      <c r="D161" s="3" t="s">
        <v>1450</v>
      </c>
      <c r="E161" s="3" t="s">
        <v>1451</v>
      </c>
      <c r="F161" s="3" t="s">
        <v>1433</v>
      </c>
      <c r="G161" s="3" t="s">
        <v>1434</v>
      </c>
      <c r="H161" s="11" t="s">
        <v>8076</v>
      </c>
      <c r="I161" s="3" t="s">
        <v>5048</v>
      </c>
      <c r="J161" s="7">
        <v>1.38</v>
      </c>
      <c r="K161" s="2" t="s">
        <v>5049</v>
      </c>
      <c r="L161" s="2">
        <v>0.52700000000000002</v>
      </c>
      <c r="M161" s="2">
        <f>54142/100000</f>
        <v>0.54142000000000001</v>
      </c>
      <c r="N161" s="2">
        <v>0.74478149999999999</v>
      </c>
      <c r="O161" s="3" t="s">
        <v>5050</v>
      </c>
      <c r="P161" s="7">
        <v>2.62</v>
      </c>
      <c r="Q161" s="2" t="s">
        <v>5051</v>
      </c>
      <c r="R161" s="2">
        <v>1.03E-2</v>
      </c>
      <c r="S161" s="2">
        <f>2112/100000</f>
        <v>2.112E-2</v>
      </c>
      <c r="T161" s="2">
        <v>0.1433181</v>
      </c>
    </row>
    <row r="162" spans="1:20">
      <c r="A162" s="3" t="s">
        <v>1456</v>
      </c>
      <c r="B162" s="1" t="s">
        <v>1429</v>
      </c>
      <c r="C162" s="3" t="s">
        <v>1430</v>
      </c>
      <c r="D162" s="3" t="s">
        <v>1457</v>
      </c>
      <c r="E162" s="3" t="s">
        <v>1458</v>
      </c>
      <c r="F162" s="3" t="s">
        <v>1459</v>
      </c>
      <c r="G162" s="3" t="s">
        <v>1460</v>
      </c>
      <c r="H162" s="11" t="s">
        <v>8076</v>
      </c>
      <c r="I162" s="3" t="s">
        <v>5052</v>
      </c>
      <c r="J162" s="7">
        <v>0.72</v>
      </c>
      <c r="K162" s="2" t="s">
        <v>5053</v>
      </c>
      <c r="L162" s="2">
        <v>0.56599999999999995</v>
      </c>
      <c r="M162" s="2">
        <f>63666/100000</f>
        <v>0.63666</v>
      </c>
      <c r="N162" s="2">
        <v>0.79869500000000004</v>
      </c>
      <c r="O162" s="3" t="s">
        <v>5054</v>
      </c>
      <c r="P162" s="7">
        <v>1.67</v>
      </c>
      <c r="Q162" s="2" t="s">
        <v>5055</v>
      </c>
      <c r="R162" s="2">
        <v>0.216</v>
      </c>
      <c r="S162" s="2">
        <f>27652/100000</f>
        <v>0.27651999999999999</v>
      </c>
      <c r="T162" s="2">
        <v>0.56850319999999999</v>
      </c>
    </row>
    <row r="163" spans="1:20">
      <c r="A163" s="3" t="s">
        <v>1465</v>
      </c>
      <c r="B163" s="1" t="s">
        <v>1429</v>
      </c>
      <c r="C163" s="3" t="s">
        <v>1430</v>
      </c>
      <c r="D163" s="3" t="s">
        <v>1466</v>
      </c>
      <c r="E163" s="3" t="s">
        <v>1467</v>
      </c>
      <c r="F163" s="3" t="s">
        <v>1459</v>
      </c>
      <c r="G163" s="3" t="s">
        <v>1460</v>
      </c>
      <c r="H163" s="11" t="s">
        <v>8137</v>
      </c>
      <c r="I163" s="3" t="s">
        <v>5056</v>
      </c>
      <c r="J163" s="7">
        <v>0.61</v>
      </c>
      <c r="K163" s="2" t="s">
        <v>5057</v>
      </c>
      <c r="L163" s="2">
        <v>0.48599999999999999</v>
      </c>
      <c r="M163" s="2">
        <f>59329/100000</f>
        <v>0.59328999999999998</v>
      </c>
      <c r="N163" s="2">
        <v>0.77719629999999995</v>
      </c>
      <c r="O163" s="3" t="s">
        <v>5058</v>
      </c>
      <c r="P163" s="7">
        <v>0.74</v>
      </c>
      <c r="Q163" s="2" t="s">
        <v>5059</v>
      </c>
      <c r="R163" s="2">
        <v>0.66600000000000004</v>
      </c>
      <c r="S163" s="2">
        <f>77548/100000</f>
        <v>0.77547999999999995</v>
      </c>
      <c r="T163" s="2">
        <v>0.82929589999999997</v>
      </c>
    </row>
    <row r="164" spans="1:20">
      <c r="A164" s="3" t="s">
        <v>1472</v>
      </c>
      <c r="B164" s="1" t="s">
        <v>1473</v>
      </c>
      <c r="C164" s="3" t="s">
        <v>1474</v>
      </c>
      <c r="D164" s="3" t="s">
        <v>1475</v>
      </c>
      <c r="E164" s="3" t="s">
        <v>1476</v>
      </c>
      <c r="F164" s="3" t="s">
        <v>1477</v>
      </c>
      <c r="G164" s="3" t="s">
        <v>1478</v>
      </c>
      <c r="H164" s="11" t="s">
        <v>8122</v>
      </c>
      <c r="I164" s="3" t="s">
        <v>5060</v>
      </c>
      <c r="J164" s="7">
        <v>0.83</v>
      </c>
      <c r="K164" s="2" t="s">
        <v>5061</v>
      </c>
      <c r="L164" s="2">
        <v>0.63200000000000001</v>
      </c>
      <c r="M164" s="2">
        <f>73132/100000</f>
        <v>0.73131999999999997</v>
      </c>
      <c r="N164" s="2">
        <v>0.82137769999999999</v>
      </c>
      <c r="O164" s="3" t="s">
        <v>5062</v>
      </c>
      <c r="P164" s="7">
        <v>0.69</v>
      </c>
      <c r="Q164" s="2" t="s">
        <v>5063</v>
      </c>
      <c r="R164" s="2">
        <v>0.41</v>
      </c>
      <c r="S164" s="2">
        <f>45843/100000</f>
        <v>0.45843</v>
      </c>
      <c r="T164" s="2">
        <v>0.70161989999999996</v>
      </c>
    </row>
    <row r="165" spans="1:20">
      <c r="A165" s="3" t="s">
        <v>1483</v>
      </c>
      <c r="B165" s="1" t="s">
        <v>1473</v>
      </c>
      <c r="C165" s="3" t="s">
        <v>1474</v>
      </c>
      <c r="D165" s="3" t="s">
        <v>1484</v>
      </c>
      <c r="E165" s="3" t="s">
        <v>1485</v>
      </c>
      <c r="F165" s="3" t="s">
        <v>1477</v>
      </c>
      <c r="G165" s="3" t="s">
        <v>1478</v>
      </c>
      <c r="H165" s="11" t="s">
        <v>8138</v>
      </c>
      <c r="I165" s="3" t="s">
        <v>5064</v>
      </c>
      <c r="J165" s="7">
        <v>0.23</v>
      </c>
      <c r="K165" s="2" t="s">
        <v>5065</v>
      </c>
      <c r="L165" s="2">
        <v>0.109</v>
      </c>
      <c r="M165" s="2">
        <f>13678/100000</f>
        <v>0.13678000000000001</v>
      </c>
      <c r="N165" s="2">
        <v>0.40477269999999999</v>
      </c>
      <c r="O165" s="3" t="s">
        <v>5066</v>
      </c>
      <c r="P165" s="7">
        <v>2.84</v>
      </c>
      <c r="Q165" s="2" t="s">
        <v>5067</v>
      </c>
      <c r="R165" s="2">
        <v>4.64E-4</v>
      </c>
      <c r="S165" s="2">
        <f>252/100000</f>
        <v>2.5200000000000001E-3</v>
      </c>
      <c r="T165" s="2">
        <v>3.1716179999999997E-2</v>
      </c>
    </row>
    <row r="166" spans="1:20">
      <c r="A166" s="3" t="s">
        <v>1490</v>
      </c>
      <c r="B166" s="1" t="s">
        <v>1491</v>
      </c>
      <c r="C166" s="3" t="s">
        <v>1492</v>
      </c>
      <c r="D166" s="3" t="s">
        <v>1493</v>
      </c>
      <c r="E166" s="3" t="s">
        <v>1494</v>
      </c>
      <c r="F166" s="3" t="s">
        <v>1495</v>
      </c>
      <c r="G166" s="3" t="s">
        <v>1496</v>
      </c>
      <c r="H166" s="11" t="s">
        <v>8139</v>
      </c>
      <c r="I166" s="3" t="s">
        <v>5068</v>
      </c>
      <c r="J166" s="7">
        <v>1.07</v>
      </c>
      <c r="K166" s="2" t="s">
        <v>5069</v>
      </c>
      <c r="L166" s="2">
        <v>0.76900000000000002</v>
      </c>
      <c r="M166" s="2">
        <f>80935/100000</f>
        <v>0.80935000000000001</v>
      </c>
      <c r="N166" s="2">
        <v>0.82929589999999997</v>
      </c>
      <c r="O166" s="3" t="s">
        <v>5070</v>
      </c>
      <c r="P166" s="7">
        <v>0.88</v>
      </c>
      <c r="Q166" s="2" t="s">
        <v>5071</v>
      </c>
      <c r="R166" s="2">
        <v>0.60599999999999998</v>
      </c>
      <c r="S166" s="2">
        <f>63743/100000</f>
        <v>0.63743000000000005</v>
      </c>
      <c r="T166" s="2">
        <v>0.79869500000000004</v>
      </c>
    </row>
    <row r="167" spans="1:20">
      <c r="A167" s="3" t="s">
        <v>1501</v>
      </c>
      <c r="B167" s="1" t="s">
        <v>1491</v>
      </c>
      <c r="C167" s="3" t="s">
        <v>1492</v>
      </c>
      <c r="D167" s="3" t="s">
        <v>1502</v>
      </c>
      <c r="E167" s="3" t="s">
        <v>1503</v>
      </c>
      <c r="F167" s="3" t="s">
        <v>1495</v>
      </c>
      <c r="G167" s="3" t="s">
        <v>1496</v>
      </c>
      <c r="H167" s="11" t="s">
        <v>8139</v>
      </c>
      <c r="I167" s="3" t="s">
        <v>5072</v>
      </c>
      <c r="J167" s="7">
        <v>1.07</v>
      </c>
      <c r="K167" s="2" t="s">
        <v>5073</v>
      </c>
      <c r="L167" s="2">
        <v>0.78400000000000003</v>
      </c>
      <c r="M167" s="2">
        <f>80442/100000</f>
        <v>0.80442000000000002</v>
      </c>
      <c r="N167" s="2">
        <v>0.82929589999999997</v>
      </c>
      <c r="O167" s="3" t="s">
        <v>5074</v>
      </c>
      <c r="P167" s="7">
        <v>1.34</v>
      </c>
      <c r="Q167" s="2" t="s">
        <v>5075</v>
      </c>
      <c r="R167" s="2">
        <v>0.189</v>
      </c>
      <c r="S167" s="2">
        <f>20621/100000</f>
        <v>0.20621</v>
      </c>
      <c r="T167" s="2">
        <v>0.49476609999999999</v>
      </c>
    </row>
    <row r="168" spans="1:20">
      <c r="A168" s="3" t="s">
        <v>1508</v>
      </c>
      <c r="B168" s="1" t="s">
        <v>1509</v>
      </c>
      <c r="C168" s="3" t="s">
        <v>1510</v>
      </c>
      <c r="D168" s="3" t="s">
        <v>1511</v>
      </c>
      <c r="E168" s="3" t="s">
        <v>1512</v>
      </c>
      <c r="F168" s="3" t="s">
        <v>1513</v>
      </c>
      <c r="G168" s="3" t="s">
        <v>1514</v>
      </c>
      <c r="H168" s="11" t="s">
        <v>8140</v>
      </c>
      <c r="I168" s="3" t="s">
        <v>5076</v>
      </c>
      <c r="J168" s="7">
        <v>0.99</v>
      </c>
      <c r="K168" s="2" t="s">
        <v>5077</v>
      </c>
      <c r="L168" s="2">
        <v>0.97899999999999998</v>
      </c>
      <c r="M168" s="2">
        <f>100000/100000</f>
        <v>1</v>
      </c>
      <c r="N168" s="2">
        <v>0.82929589999999997</v>
      </c>
      <c r="O168" s="3" t="s">
        <v>5078</v>
      </c>
      <c r="P168" s="7">
        <v>1.5</v>
      </c>
      <c r="Q168" s="2" t="s">
        <v>5079</v>
      </c>
      <c r="R168" s="2">
        <v>2.7099999999999999E-2</v>
      </c>
      <c r="S168" s="2">
        <f>2979/100000</f>
        <v>2.9790000000000001E-2</v>
      </c>
      <c r="T168" s="2">
        <v>0.1796045</v>
      </c>
    </row>
    <row r="169" spans="1:20">
      <c r="A169" s="3" t="s">
        <v>1518</v>
      </c>
      <c r="B169" s="1" t="s">
        <v>1509</v>
      </c>
      <c r="C169" s="3" t="s">
        <v>1510</v>
      </c>
      <c r="D169" s="3" t="s">
        <v>1519</v>
      </c>
      <c r="E169" s="3" t="s">
        <v>1520</v>
      </c>
      <c r="F169" s="3" t="s">
        <v>1521</v>
      </c>
      <c r="G169" s="3" t="s">
        <v>1522</v>
      </c>
      <c r="H169" s="11" t="s">
        <v>8078</v>
      </c>
      <c r="I169" s="3" t="s">
        <v>5080</v>
      </c>
      <c r="J169" s="7">
        <v>0.96</v>
      </c>
      <c r="K169" s="2" t="s">
        <v>5081</v>
      </c>
      <c r="L169" s="2">
        <v>0.93300000000000005</v>
      </c>
      <c r="M169" s="2">
        <f>100000/100000</f>
        <v>1</v>
      </c>
      <c r="N169" s="2">
        <v>0.82929589999999997</v>
      </c>
      <c r="O169" s="3" t="s">
        <v>5082</v>
      </c>
      <c r="P169" s="7">
        <v>0.41</v>
      </c>
      <c r="Q169" s="2" t="s">
        <v>5083</v>
      </c>
      <c r="R169" s="2">
        <v>0.191</v>
      </c>
      <c r="S169" s="2">
        <f>25089/100000</f>
        <v>0.25089</v>
      </c>
      <c r="T169" s="2">
        <v>0.55316949999999998</v>
      </c>
    </row>
    <row r="170" spans="1:20">
      <c r="A170" s="3" t="s">
        <v>1527</v>
      </c>
      <c r="B170" s="1" t="s">
        <v>1509</v>
      </c>
      <c r="C170" s="3" t="s">
        <v>1510</v>
      </c>
      <c r="D170" s="3" t="s">
        <v>1528</v>
      </c>
      <c r="E170" s="3" t="s">
        <v>1529</v>
      </c>
      <c r="F170" s="3" t="s">
        <v>1521</v>
      </c>
      <c r="G170" s="3" t="s">
        <v>1522</v>
      </c>
      <c r="H170" s="11" t="s">
        <v>8079</v>
      </c>
      <c r="I170" s="3" t="s">
        <v>5084</v>
      </c>
      <c r="J170" s="7">
        <v>0.72</v>
      </c>
      <c r="K170" s="2" t="s">
        <v>5085</v>
      </c>
      <c r="L170" s="2">
        <v>0.57299999999999995</v>
      </c>
      <c r="M170" s="2">
        <f>64073/100000</f>
        <v>0.64073000000000002</v>
      </c>
      <c r="N170" s="2">
        <v>0.79869500000000004</v>
      </c>
      <c r="O170" s="3" t="s">
        <v>5086</v>
      </c>
      <c r="P170" s="7">
        <v>1.26</v>
      </c>
      <c r="Q170" s="2" t="s">
        <v>5087</v>
      </c>
      <c r="R170" s="2">
        <v>0.58199999999999996</v>
      </c>
      <c r="S170" s="2">
        <f>64002/100000</f>
        <v>0.64002000000000003</v>
      </c>
      <c r="T170" s="2">
        <v>0.79869500000000004</v>
      </c>
    </row>
    <row r="171" spans="1:20">
      <c r="A171" s="3" t="s">
        <v>1534</v>
      </c>
      <c r="B171" s="1" t="s">
        <v>1509</v>
      </c>
      <c r="C171" s="3" t="s">
        <v>1510</v>
      </c>
      <c r="D171" s="3" t="s">
        <v>1535</v>
      </c>
      <c r="E171" s="3" t="s">
        <v>1536</v>
      </c>
      <c r="F171" s="3" t="s">
        <v>1521</v>
      </c>
      <c r="G171" s="3" t="s">
        <v>1522</v>
      </c>
      <c r="H171" s="11" t="s">
        <v>8079</v>
      </c>
      <c r="I171" s="3" t="s">
        <v>5088</v>
      </c>
      <c r="J171" s="7">
        <v>0.41</v>
      </c>
      <c r="K171" s="2" t="s">
        <v>5089</v>
      </c>
      <c r="L171" s="2">
        <v>0.19700000000000001</v>
      </c>
      <c r="M171" s="2">
        <f>24590/100000</f>
        <v>0.24590000000000001</v>
      </c>
      <c r="N171" s="2">
        <v>0.5468442</v>
      </c>
      <c r="O171" s="3" t="s">
        <v>5090</v>
      </c>
      <c r="P171" s="7">
        <v>1.98</v>
      </c>
      <c r="Q171" s="2" t="s">
        <v>5091</v>
      </c>
      <c r="R171" s="2">
        <v>3.2000000000000001E-2</v>
      </c>
      <c r="S171" s="2">
        <f>4147/100000</f>
        <v>4.147E-2</v>
      </c>
      <c r="T171" s="2">
        <v>0.2170087</v>
      </c>
    </row>
    <row r="172" spans="1:20">
      <c r="A172" s="3" t="s">
        <v>1541</v>
      </c>
      <c r="B172" s="1" t="s">
        <v>1509</v>
      </c>
      <c r="C172" s="3" t="s">
        <v>1510</v>
      </c>
      <c r="D172" s="3" t="s">
        <v>1542</v>
      </c>
      <c r="E172" s="3" t="s">
        <v>1543</v>
      </c>
      <c r="F172" s="3" t="s">
        <v>1544</v>
      </c>
      <c r="G172" s="3" t="s">
        <v>1545</v>
      </c>
      <c r="H172" s="11" t="s">
        <v>8078</v>
      </c>
      <c r="I172" s="3" t="s">
        <v>5092</v>
      </c>
      <c r="J172" s="7">
        <v>1.76</v>
      </c>
      <c r="K172" s="2" t="s">
        <v>5093</v>
      </c>
      <c r="L172" s="2">
        <v>0.20899999999999999</v>
      </c>
      <c r="M172" s="2">
        <f>21879/100000</f>
        <v>0.21879000000000001</v>
      </c>
      <c r="N172" s="2">
        <v>0.51163099999999995</v>
      </c>
      <c r="O172" s="3" t="s">
        <v>5094</v>
      </c>
      <c r="P172" s="7">
        <v>2.1800000000000002</v>
      </c>
      <c r="Q172" s="2" t="s">
        <v>5095</v>
      </c>
      <c r="R172" s="2">
        <v>3.8600000000000002E-2</v>
      </c>
      <c r="S172" s="2">
        <f>4844/100000</f>
        <v>4.8439999999999997E-2</v>
      </c>
      <c r="T172" s="2">
        <v>0.23764070000000001</v>
      </c>
    </row>
    <row r="173" spans="1:20">
      <c r="A173" s="3" t="s">
        <v>1550</v>
      </c>
      <c r="B173" s="1" t="s">
        <v>1509</v>
      </c>
      <c r="C173" s="3" t="s">
        <v>1510</v>
      </c>
      <c r="D173" s="3" t="s">
        <v>1551</v>
      </c>
      <c r="E173" s="3" t="s">
        <v>1552</v>
      </c>
      <c r="F173" s="3" t="s">
        <v>1544</v>
      </c>
      <c r="G173" s="3" t="s">
        <v>1545</v>
      </c>
      <c r="H173" s="11" t="s">
        <v>8079</v>
      </c>
      <c r="I173" s="3" t="s">
        <v>5096</v>
      </c>
      <c r="J173" s="7">
        <v>1.67</v>
      </c>
      <c r="K173" s="2" t="s">
        <v>5097</v>
      </c>
      <c r="L173" s="2">
        <v>0.307</v>
      </c>
      <c r="M173" s="2">
        <f>31209/100000</f>
        <v>0.31208999999999998</v>
      </c>
      <c r="N173" s="2">
        <v>0.59780599999999995</v>
      </c>
      <c r="O173" s="3" t="s">
        <v>5098</v>
      </c>
      <c r="P173" s="7">
        <v>1.8</v>
      </c>
      <c r="Q173" s="2" t="s">
        <v>5099</v>
      </c>
      <c r="R173" s="2">
        <v>0.24299999999999999</v>
      </c>
      <c r="S173" s="2">
        <f>29110/100000</f>
        <v>0.29110000000000003</v>
      </c>
      <c r="T173" s="2">
        <v>0.57823020000000003</v>
      </c>
    </row>
    <row r="174" spans="1:20">
      <c r="A174" s="3" t="s">
        <v>1557</v>
      </c>
      <c r="B174" s="1" t="s">
        <v>1509</v>
      </c>
      <c r="C174" s="3" t="s">
        <v>1510</v>
      </c>
      <c r="D174" s="3" t="s">
        <v>1558</v>
      </c>
      <c r="E174" s="3" t="s">
        <v>1559</v>
      </c>
      <c r="F174" s="3" t="s">
        <v>1544</v>
      </c>
      <c r="G174" s="3" t="s">
        <v>1545</v>
      </c>
      <c r="H174" s="11" t="s">
        <v>8079</v>
      </c>
      <c r="I174" s="3" t="s">
        <v>5100</v>
      </c>
      <c r="J174" s="7">
        <v>0.6</v>
      </c>
      <c r="K174" s="1" t="s">
        <v>5101</v>
      </c>
      <c r="L174" s="2">
        <v>0.46500000000000002</v>
      </c>
      <c r="M174" s="2">
        <f>59141/100000</f>
        <v>0.59140999999999999</v>
      </c>
      <c r="N174" s="2">
        <v>0.77707570000000004</v>
      </c>
      <c r="O174" s="3" t="s">
        <v>5102</v>
      </c>
      <c r="P174" s="7">
        <v>0.82</v>
      </c>
      <c r="Q174" s="1" t="s">
        <v>5103</v>
      </c>
      <c r="R174" s="2">
        <v>0.73799999999999999</v>
      </c>
      <c r="S174" s="2">
        <f>80454/100000</f>
        <v>0.80454000000000003</v>
      </c>
      <c r="T174" s="2">
        <v>0.82929589999999997</v>
      </c>
    </row>
    <row r="175" spans="1:20">
      <c r="A175" s="3" t="s">
        <v>1564</v>
      </c>
      <c r="B175" s="1" t="s">
        <v>1509</v>
      </c>
      <c r="C175" s="3" t="s">
        <v>1510</v>
      </c>
      <c r="D175" s="3" t="s">
        <v>1565</v>
      </c>
      <c r="E175" s="3" t="s">
        <v>1566</v>
      </c>
      <c r="F175" s="3" t="s">
        <v>1567</v>
      </c>
      <c r="G175" s="3" t="s">
        <v>1568</v>
      </c>
      <c r="H175" s="11" t="s">
        <v>8078</v>
      </c>
      <c r="I175" s="3" t="s">
        <v>5104</v>
      </c>
      <c r="J175" s="7">
        <v>1.22</v>
      </c>
      <c r="K175" s="1" t="s">
        <v>5105</v>
      </c>
      <c r="L175" s="2">
        <v>0.627</v>
      </c>
      <c r="M175" s="2">
        <f>64259/100000</f>
        <v>0.64258999999999999</v>
      </c>
      <c r="N175" s="2">
        <v>0.79869500000000004</v>
      </c>
      <c r="O175" s="3" t="s">
        <v>5106</v>
      </c>
      <c r="P175" s="7">
        <v>1.45</v>
      </c>
      <c r="Q175" s="1" t="s">
        <v>5107</v>
      </c>
      <c r="R175" s="2">
        <v>0.36799999999999999</v>
      </c>
      <c r="S175" s="2">
        <f>44978/100000</f>
        <v>0.44978000000000001</v>
      </c>
      <c r="T175" s="2">
        <v>0.69853390000000004</v>
      </c>
    </row>
    <row r="176" spans="1:20">
      <c r="A176" s="3" t="s">
        <v>1573</v>
      </c>
      <c r="B176" s="1" t="s">
        <v>1509</v>
      </c>
      <c r="C176" s="3" t="s">
        <v>1510</v>
      </c>
      <c r="D176" s="3" t="s">
        <v>1574</v>
      </c>
      <c r="E176" s="3" t="s">
        <v>1575</v>
      </c>
      <c r="F176" s="3" t="s">
        <v>1567</v>
      </c>
      <c r="G176" s="3" t="s">
        <v>1568</v>
      </c>
      <c r="H176" s="11" t="s">
        <v>8079</v>
      </c>
      <c r="I176" s="3" t="s">
        <v>5108</v>
      </c>
      <c r="J176" s="7">
        <v>1.59</v>
      </c>
      <c r="K176" s="1" t="s">
        <v>5109</v>
      </c>
      <c r="L176" s="2">
        <v>5.5500000000000001E-2</v>
      </c>
      <c r="M176" s="2">
        <f>6722/100000</f>
        <v>6.7220000000000002E-2</v>
      </c>
      <c r="N176" s="2">
        <v>0.28895110000000002</v>
      </c>
      <c r="O176" s="3" t="s">
        <v>5110</v>
      </c>
      <c r="P176" s="7">
        <v>1.5</v>
      </c>
      <c r="Q176" s="1" t="s">
        <v>5111</v>
      </c>
      <c r="R176" s="2">
        <v>9.6799999999999997E-2</v>
      </c>
      <c r="S176" s="2">
        <f>10526/100000</f>
        <v>0.10526000000000001</v>
      </c>
      <c r="T176" s="2">
        <v>0.36332550000000002</v>
      </c>
    </row>
    <row r="177" spans="1:20">
      <c r="A177" s="3" t="s">
        <v>1580</v>
      </c>
      <c r="B177" s="1" t="s">
        <v>1509</v>
      </c>
      <c r="C177" s="3" t="s">
        <v>1510</v>
      </c>
      <c r="D177" s="3" t="s">
        <v>1581</v>
      </c>
      <c r="E177" s="3" t="s">
        <v>1582</v>
      </c>
      <c r="F177" s="3" t="s">
        <v>1567</v>
      </c>
      <c r="G177" s="3" t="s">
        <v>1568</v>
      </c>
      <c r="H177" s="11" t="s">
        <v>8141</v>
      </c>
      <c r="I177" s="3" t="s">
        <v>5112</v>
      </c>
      <c r="J177" s="7">
        <v>1.65</v>
      </c>
      <c r="K177" s="1" t="s">
        <v>5113</v>
      </c>
      <c r="L177" s="2">
        <v>4.4200000000000003E-2</v>
      </c>
      <c r="M177" s="2">
        <f>5658/100000</f>
        <v>5.6579999999999998E-2</v>
      </c>
      <c r="N177" s="2">
        <v>0.26183869999999998</v>
      </c>
      <c r="O177" s="3" t="s">
        <v>5114</v>
      </c>
      <c r="P177" s="7">
        <v>1.28</v>
      </c>
      <c r="Q177" s="1" t="s">
        <v>5115</v>
      </c>
      <c r="R177" s="2">
        <v>0.38400000000000001</v>
      </c>
      <c r="S177" s="2">
        <f>42257/100000</f>
        <v>0.42257</v>
      </c>
      <c r="T177" s="2">
        <v>0.67878280000000002</v>
      </c>
    </row>
    <row r="178" spans="1:20">
      <c r="A178" s="3" t="s">
        <v>1587</v>
      </c>
      <c r="B178" s="1" t="s">
        <v>1509</v>
      </c>
      <c r="C178" s="3" t="s">
        <v>1510</v>
      </c>
      <c r="D178" s="3" t="s">
        <v>1588</v>
      </c>
      <c r="E178" s="3" t="s">
        <v>1589</v>
      </c>
      <c r="F178" s="3" t="s">
        <v>1513</v>
      </c>
      <c r="G178" s="3" t="s">
        <v>1514</v>
      </c>
      <c r="H178" s="11" t="s">
        <v>8142</v>
      </c>
      <c r="I178" s="3" t="s">
        <v>5116</v>
      </c>
      <c r="J178" s="7">
        <v>0.95</v>
      </c>
      <c r="K178" s="1" t="s">
        <v>5117</v>
      </c>
      <c r="L178" s="2">
        <v>0.79400000000000004</v>
      </c>
      <c r="M178" s="2">
        <f>83803/100000</f>
        <v>0.83803000000000005</v>
      </c>
      <c r="N178" s="2">
        <v>0.82929589999999997</v>
      </c>
      <c r="O178" s="3" t="s">
        <v>5118</v>
      </c>
      <c r="P178" s="7">
        <v>1.61</v>
      </c>
      <c r="Q178" s="1" t="s">
        <v>5119</v>
      </c>
      <c r="R178" s="2">
        <v>4.2700000000000004E-3</v>
      </c>
      <c r="S178" s="2">
        <f>553/100000</f>
        <v>5.5300000000000002E-3</v>
      </c>
      <c r="T178" s="2">
        <v>5.7716570000000002E-2</v>
      </c>
    </row>
    <row r="179" spans="1:20">
      <c r="A179" s="3" t="s">
        <v>1594</v>
      </c>
      <c r="B179" s="1" t="s">
        <v>1509</v>
      </c>
      <c r="C179" s="3" t="s">
        <v>1510</v>
      </c>
      <c r="D179" s="3" t="s">
        <v>1595</v>
      </c>
      <c r="E179" s="3" t="s">
        <v>1596</v>
      </c>
      <c r="F179" s="3" t="s">
        <v>1597</v>
      </c>
      <c r="G179" s="3" t="s">
        <v>1598</v>
      </c>
      <c r="H179" s="11" t="s">
        <v>8080</v>
      </c>
      <c r="I179" s="3" t="s">
        <v>5120</v>
      </c>
      <c r="J179" s="7">
        <v>1.39</v>
      </c>
      <c r="K179" s="1" t="s">
        <v>5121</v>
      </c>
      <c r="L179" s="2">
        <v>0.113</v>
      </c>
      <c r="M179" s="2">
        <f>12317/100000</f>
        <v>0.12317</v>
      </c>
      <c r="N179" s="2">
        <v>0.38891930000000002</v>
      </c>
      <c r="O179" s="3" t="s">
        <v>5122</v>
      </c>
      <c r="P179" s="7">
        <v>0.96</v>
      </c>
      <c r="Q179" s="1" t="s">
        <v>5123</v>
      </c>
      <c r="R179" s="2">
        <v>0.85699999999999998</v>
      </c>
      <c r="S179" s="2">
        <f>90745/100000</f>
        <v>0.90744999999999998</v>
      </c>
      <c r="T179" s="2">
        <v>0.82929589999999997</v>
      </c>
    </row>
    <row r="180" spans="1:20">
      <c r="A180" s="3" t="s">
        <v>1603</v>
      </c>
      <c r="B180" s="1" t="s">
        <v>1509</v>
      </c>
      <c r="C180" s="3" t="s">
        <v>1510</v>
      </c>
      <c r="D180" s="3" t="s">
        <v>1604</v>
      </c>
      <c r="E180" s="3" t="s">
        <v>1605</v>
      </c>
      <c r="F180" s="3" t="s">
        <v>1606</v>
      </c>
      <c r="G180" s="3" t="s">
        <v>1607</v>
      </c>
      <c r="H180" s="11" t="s">
        <v>8078</v>
      </c>
      <c r="I180" s="3" t="s">
        <v>5124</v>
      </c>
      <c r="J180" s="7">
        <v>0.36</v>
      </c>
      <c r="K180" s="1" t="s">
        <v>5125</v>
      </c>
      <c r="L180" s="2">
        <v>0.28100000000000003</v>
      </c>
      <c r="M180" s="2">
        <f>37687/100000</f>
        <v>0.37686999999999998</v>
      </c>
      <c r="N180" s="2">
        <v>0.65084330000000001</v>
      </c>
      <c r="O180" s="3" t="s">
        <v>5126</v>
      </c>
      <c r="P180" s="7">
        <v>0.32</v>
      </c>
      <c r="Q180" s="1" t="s">
        <v>5127</v>
      </c>
      <c r="R180" s="2">
        <v>0.23499999999999999</v>
      </c>
      <c r="S180" s="2">
        <f>27482/100000</f>
        <v>0.27482000000000001</v>
      </c>
      <c r="T180" s="2">
        <v>0.56620890000000001</v>
      </c>
    </row>
    <row r="181" spans="1:20">
      <c r="A181" s="3" t="s">
        <v>1612</v>
      </c>
      <c r="B181" s="1" t="s">
        <v>1509</v>
      </c>
      <c r="C181" s="3" t="s">
        <v>1510</v>
      </c>
      <c r="D181" s="3" t="s">
        <v>1613</v>
      </c>
      <c r="E181" s="3" t="s">
        <v>1614</v>
      </c>
      <c r="F181" s="3" t="s">
        <v>1606</v>
      </c>
      <c r="G181" s="3" t="s">
        <v>1607</v>
      </c>
      <c r="H181" s="11" t="s">
        <v>8079</v>
      </c>
      <c r="I181" s="3" t="s">
        <v>5128</v>
      </c>
      <c r="J181" s="7">
        <v>2.25</v>
      </c>
      <c r="K181" s="1" t="s">
        <v>5129</v>
      </c>
      <c r="L181" s="2">
        <v>0.10299999999999999</v>
      </c>
      <c r="M181" s="2">
        <f>11216/100000</f>
        <v>0.11216</v>
      </c>
      <c r="N181" s="2">
        <v>0.37638739999999998</v>
      </c>
      <c r="O181" s="3" t="s">
        <v>5130</v>
      </c>
      <c r="P181" s="7">
        <v>2.17</v>
      </c>
      <c r="Q181" s="1" t="s">
        <v>5131</v>
      </c>
      <c r="R181" s="2">
        <v>0.12</v>
      </c>
      <c r="S181" s="2">
        <f>12200/100000</f>
        <v>0.122</v>
      </c>
      <c r="T181" s="2">
        <v>0.38766709999999999</v>
      </c>
    </row>
    <row r="182" spans="1:20">
      <c r="A182" s="3" t="s">
        <v>1619</v>
      </c>
      <c r="B182" s="1" t="s">
        <v>1509</v>
      </c>
      <c r="C182" s="3" t="s">
        <v>1510</v>
      </c>
      <c r="D182" s="3" t="s">
        <v>1620</v>
      </c>
      <c r="E182" s="3" t="s">
        <v>1621</v>
      </c>
      <c r="F182" s="3" t="s">
        <v>1606</v>
      </c>
      <c r="G182" s="3" t="s">
        <v>1607</v>
      </c>
      <c r="H182" s="11" t="s">
        <v>8078</v>
      </c>
      <c r="I182" s="3" t="s">
        <v>5132</v>
      </c>
      <c r="J182" s="7">
        <v>1.36</v>
      </c>
      <c r="K182" s="1" t="s">
        <v>5133</v>
      </c>
      <c r="L182" s="2">
        <v>0.59899999999999998</v>
      </c>
      <c r="M182" s="2">
        <f>73026/100000</f>
        <v>0.73026000000000002</v>
      </c>
      <c r="N182" s="2">
        <v>0.82137769999999999</v>
      </c>
      <c r="O182" s="3" t="s">
        <v>5134</v>
      </c>
      <c r="P182" s="7">
        <v>0.46</v>
      </c>
      <c r="Q182" s="1" t="s">
        <v>5135</v>
      </c>
      <c r="R182" s="2">
        <v>0.42499999999999999</v>
      </c>
      <c r="S182" s="2">
        <f>53099/100000</f>
        <v>0.53098999999999996</v>
      </c>
      <c r="T182" s="2">
        <v>0.74478149999999999</v>
      </c>
    </row>
    <row r="183" spans="1:20">
      <c r="A183" s="3" t="s">
        <v>1626</v>
      </c>
      <c r="B183" s="1" t="s">
        <v>1509</v>
      </c>
      <c r="C183" s="3" t="s">
        <v>1510</v>
      </c>
      <c r="D183" s="3" t="s">
        <v>1627</v>
      </c>
      <c r="E183" s="3" t="s">
        <v>1628</v>
      </c>
      <c r="F183" s="3" t="s">
        <v>1629</v>
      </c>
      <c r="G183" s="3" t="s">
        <v>1630</v>
      </c>
      <c r="H183" s="11" t="s">
        <v>8078</v>
      </c>
      <c r="I183" s="3" t="s">
        <v>5136</v>
      </c>
      <c r="J183" s="7">
        <v>0.91</v>
      </c>
      <c r="K183" s="1" t="s">
        <v>5137</v>
      </c>
      <c r="L183" s="2">
        <v>0.81399999999999995</v>
      </c>
      <c r="M183" s="2">
        <f>85743/100000</f>
        <v>0.85743000000000003</v>
      </c>
      <c r="N183" s="2">
        <v>0.82929589999999997</v>
      </c>
      <c r="O183" s="3" t="s">
        <v>5138</v>
      </c>
      <c r="P183" s="7">
        <v>1.4</v>
      </c>
      <c r="Q183" s="1" t="s">
        <v>5139</v>
      </c>
      <c r="R183" s="2">
        <v>0.35399999999999998</v>
      </c>
      <c r="S183" s="2">
        <f>39403/100000</f>
        <v>0.39402999999999999</v>
      </c>
      <c r="T183" s="2">
        <v>0.65983250000000004</v>
      </c>
    </row>
    <row r="184" spans="1:20">
      <c r="A184" s="3" t="s">
        <v>1635</v>
      </c>
      <c r="B184" s="1" t="s">
        <v>1509</v>
      </c>
      <c r="C184" s="3" t="s">
        <v>1510</v>
      </c>
      <c r="D184" s="3" t="s">
        <v>1636</v>
      </c>
      <c r="E184" s="3" t="s">
        <v>1637</v>
      </c>
      <c r="F184" s="3" t="s">
        <v>1629</v>
      </c>
      <c r="G184" s="3" t="s">
        <v>1630</v>
      </c>
      <c r="H184" s="11" t="s">
        <v>8079</v>
      </c>
      <c r="I184" s="3" t="s">
        <v>5140</v>
      </c>
      <c r="J184" s="7">
        <v>1.28</v>
      </c>
      <c r="K184" s="1" t="s">
        <v>5141</v>
      </c>
      <c r="L184" s="2">
        <v>0.36399999999999999</v>
      </c>
      <c r="M184" s="2">
        <f>44062/100000</f>
        <v>0.44062000000000001</v>
      </c>
      <c r="N184" s="2">
        <v>0.69125000000000003</v>
      </c>
      <c r="O184" s="3" t="s">
        <v>5142</v>
      </c>
      <c r="P184" s="7">
        <v>1.0900000000000001</v>
      </c>
      <c r="Q184" s="1" t="s">
        <v>5143</v>
      </c>
      <c r="R184" s="2">
        <v>0.77200000000000002</v>
      </c>
      <c r="S184" s="2">
        <f>87251/100000</f>
        <v>0.87251000000000001</v>
      </c>
      <c r="T184" s="2">
        <v>0.82929589999999997</v>
      </c>
    </row>
    <row r="185" spans="1:20">
      <c r="A185" s="3" t="s">
        <v>1642</v>
      </c>
      <c r="B185" s="1" t="s">
        <v>1509</v>
      </c>
      <c r="C185" s="3" t="s">
        <v>1510</v>
      </c>
      <c r="D185" s="3" t="s">
        <v>1643</v>
      </c>
      <c r="E185" s="3" t="s">
        <v>1644</v>
      </c>
      <c r="F185" s="3" t="s">
        <v>1629</v>
      </c>
      <c r="G185" s="3" t="s">
        <v>1630</v>
      </c>
      <c r="H185" s="11" t="s">
        <v>8141</v>
      </c>
      <c r="I185" s="3" t="s">
        <v>5144</v>
      </c>
      <c r="J185" s="7">
        <v>0.99</v>
      </c>
      <c r="K185" s="1" t="s">
        <v>5145</v>
      </c>
      <c r="L185" s="2">
        <v>0.96</v>
      </c>
      <c r="M185" s="2">
        <f>100000/100000</f>
        <v>1</v>
      </c>
      <c r="N185" s="2">
        <v>0.82929589999999997</v>
      </c>
      <c r="O185" s="3" t="s">
        <v>5146</v>
      </c>
      <c r="P185" s="7">
        <v>1.56</v>
      </c>
      <c r="Q185" s="1" t="s">
        <v>5147</v>
      </c>
      <c r="R185" s="2">
        <v>6.0100000000000001E-2</v>
      </c>
      <c r="S185" s="2">
        <f>7911/100000</f>
        <v>7.911E-2</v>
      </c>
      <c r="T185" s="2">
        <v>0.31723240000000003</v>
      </c>
    </row>
    <row r="186" spans="1:20">
      <c r="A186" s="3" t="s">
        <v>1649</v>
      </c>
      <c r="B186" s="1" t="s">
        <v>1650</v>
      </c>
      <c r="C186" s="3" t="s">
        <v>1651</v>
      </c>
      <c r="D186" s="3" t="s">
        <v>1652</v>
      </c>
      <c r="E186" s="3" t="s">
        <v>1653</v>
      </c>
      <c r="F186" s="3" t="s">
        <v>1654</v>
      </c>
      <c r="G186" s="3" t="s">
        <v>1655</v>
      </c>
      <c r="H186" s="11" t="s">
        <v>8143</v>
      </c>
      <c r="I186" s="3" t="s">
        <v>5148</v>
      </c>
      <c r="J186" s="7">
        <v>0.41</v>
      </c>
      <c r="K186" s="1" t="s">
        <v>5149</v>
      </c>
      <c r="L186" s="2">
        <v>0.36499999999999999</v>
      </c>
      <c r="M186" s="2">
        <f>52468/100000</f>
        <v>0.52468000000000004</v>
      </c>
      <c r="N186" s="2">
        <v>0.74478149999999999</v>
      </c>
      <c r="O186" s="3" t="s">
        <v>5150</v>
      </c>
      <c r="P186" s="7">
        <v>0.43</v>
      </c>
      <c r="Q186" s="1" t="s">
        <v>5151</v>
      </c>
      <c r="R186" s="2">
        <v>0.38600000000000001</v>
      </c>
      <c r="S186" s="2">
        <f>52561/100000</f>
        <v>0.52561000000000002</v>
      </c>
      <c r="T186" s="2">
        <v>0.74478149999999999</v>
      </c>
    </row>
    <row r="187" spans="1:20">
      <c r="A187" s="3" t="s">
        <v>1660</v>
      </c>
      <c r="B187" s="1" t="s">
        <v>1661</v>
      </c>
      <c r="C187" s="3" t="s">
        <v>1662</v>
      </c>
      <c r="D187" s="3" t="s">
        <v>1663</v>
      </c>
      <c r="E187" s="3" t="s">
        <v>1664</v>
      </c>
      <c r="F187" s="3" t="s">
        <v>1665</v>
      </c>
      <c r="G187" s="3" t="s">
        <v>1666</v>
      </c>
      <c r="H187" s="11" t="s">
        <v>8144</v>
      </c>
      <c r="I187" s="3" t="s">
        <v>5152</v>
      </c>
      <c r="J187" s="7">
        <v>0.27</v>
      </c>
      <c r="K187" s="1" t="s">
        <v>5153</v>
      </c>
      <c r="L187" s="2">
        <v>0.161</v>
      </c>
      <c r="M187" s="2">
        <f>19270/100000</f>
        <v>0.19270000000000001</v>
      </c>
      <c r="N187" s="2">
        <v>0.48203059999999998</v>
      </c>
      <c r="O187" s="3" t="s">
        <v>5154</v>
      </c>
      <c r="P187" s="7">
        <v>2.54</v>
      </c>
      <c r="Q187" s="1" t="s">
        <v>5155</v>
      </c>
      <c r="R187" s="2">
        <v>5.0000000000000001E-3</v>
      </c>
      <c r="S187" s="2">
        <f>1148/100000</f>
        <v>1.1480000000000001E-2</v>
      </c>
      <c r="T187" s="2">
        <v>9.3142740000000002E-2</v>
      </c>
    </row>
    <row r="188" spans="1:20">
      <c r="A188" s="3" t="s">
        <v>1671</v>
      </c>
      <c r="B188" s="1" t="s">
        <v>1661</v>
      </c>
      <c r="C188" s="3" t="s">
        <v>1662</v>
      </c>
      <c r="D188" s="3" t="s">
        <v>1672</v>
      </c>
      <c r="E188" s="3" t="s">
        <v>1673</v>
      </c>
      <c r="F188" s="3" t="s">
        <v>1665</v>
      </c>
      <c r="G188" s="3" t="s">
        <v>1666</v>
      </c>
      <c r="H188" s="11" t="s">
        <v>8144</v>
      </c>
      <c r="I188" s="3" t="s">
        <v>5156</v>
      </c>
      <c r="J188" s="7">
        <v>1.23</v>
      </c>
      <c r="K188" s="1" t="s">
        <v>5157</v>
      </c>
      <c r="L188" s="2">
        <v>0.68100000000000005</v>
      </c>
      <c r="M188" s="2">
        <f>77568/100000</f>
        <v>0.77568000000000004</v>
      </c>
      <c r="N188" s="2">
        <v>0.82929589999999997</v>
      </c>
      <c r="O188" s="3" t="s">
        <v>5158</v>
      </c>
      <c r="P188" s="7">
        <v>1.59</v>
      </c>
      <c r="Q188" s="1" t="s">
        <v>5159</v>
      </c>
      <c r="R188" s="2">
        <v>0.25800000000000001</v>
      </c>
      <c r="S188" s="2">
        <f>29018/100000</f>
        <v>0.29017999999999999</v>
      </c>
      <c r="T188" s="2">
        <v>0.57823020000000003</v>
      </c>
    </row>
    <row r="189" spans="1:20">
      <c r="A189" s="3" t="s">
        <v>1678</v>
      </c>
      <c r="B189" s="1" t="s">
        <v>1661</v>
      </c>
      <c r="C189" s="3" t="s">
        <v>1662</v>
      </c>
      <c r="D189" s="3" t="s">
        <v>1679</v>
      </c>
      <c r="E189" s="3" t="s">
        <v>1680</v>
      </c>
      <c r="F189" s="3" t="s">
        <v>1681</v>
      </c>
      <c r="G189" s="3" t="s">
        <v>1682</v>
      </c>
      <c r="H189" s="11" t="s">
        <v>8144</v>
      </c>
      <c r="I189" s="3" t="s">
        <v>5160</v>
      </c>
      <c r="J189" s="7">
        <v>1.53</v>
      </c>
      <c r="K189" s="1" t="s">
        <v>5161</v>
      </c>
      <c r="L189" s="2">
        <v>0.30599999999999999</v>
      </c>
      <c r="M189" s="2">
        <f>29888/100000</f>
        <v>0.29887999999999998</v>
      </c>
      <c r="N189" s="2">
        <v>0.58423329999999996</v>
      </c>
      <c r="O189" s="3" t="s">
        <v>5162</v>
      </c>
      <c r="P189" s="7">
        <v>0.92</v>
      </c>
      <c r="Q189" s="1" t="s">
        <v>5037</v>
      </c>
      <c r="R189" s="2">
        <v>0.88200000000000001</v>
      </c>
      <c r="S189" s="2">
        <f>100000/100000</f>
        <v>1</v>
      </c>
      <c r="T189" s="2">
        <v>0.82929589999999997</v>
      </c>
    </row>
    <row r="190" spans="1:20">
      <c r="A190" s="3" t="s">
        <v>1687</v>
      </c>
      <c r="B190" s="1" t="s">
        <v>1661</v>
      </c>
      <c r="C190" s="3" t="s">
        <v>1662</v>
      </c>
      <c r="D190" s="3" t="s">
        <v>1688</v>
      </c>
      <c r="E190" s="3" t="s">
        <v>1689</v>
      </c>
      <c r="F190" s="3" t="s">
        <v>1681</v>
      </c>
      <c r="G190" s="3" t="s">
        <v>1682</v>
      </c>
      <c r="H190" s="11" t="s">
        <v>8144</v>
      </c>
      <c r="I190" s="3" t="s">
        <v>5163</v>
      </c>
      <c r="J190" s="7">
        <v>1.54</v>
      </c>
      <c r="K190" s="1" t="s">
        <v>5164</v>
      </c>
      <c r="L190" s="2">
        <v>0.54</v>
      </c>
      <c r="M190" s="2">
        <f>64256/100000</f>
        <v>0.64256000000000002</v>
      </c>
      <c r="N190" s="2">
        <v>0.79869500000000004</v>
      </c>
      <c r="O190" s="3" t="s">
        <v>5165</v>
      </c>
      <c r="P190" s="7">
        <v>2.73</v>
      </c>
      <c r="Q190" s="1" t="s">
        <v>5166</v>
      </c>
      <c r="R190" s="2">
        <v>4.0500000000000001E-2</v>
      </c>
      <c r="S190" s="2">
        <f>6450/100000</f>
        <v>6.4500000000000002E-2</v>
      </c>
      <c r="T190" s="2">
        <v>0.2821188</v>
      </c>
    </row>
    <row r="191" spans="1:20">
      <c r="A191" s="3" t="s">
        <v>1694</v>
      </c>
      <c r="B191" s="1" t="s">
        <v>1695</v>
      </c>
      <c r="C191" s="3" t="s">
        <v>1696</v>
      </c>
      <c r="D191" s="3" t="s">
        <v>1697</v>
      </c>
      <c r="E191" s="3" t="s">
        <v>1698</v>
      </c>
      <c r="F191" s="3" t="s">
        <v>1699</v>
      </c>
      <c r="G191" s="3" t="s">
        <v>1700</v>
      </c>
      <c r="H191" s="12" t="s">
        <v>8145</v>
      </c>
      <c r="I191" s="3" t="s">
        <v>5167</v>
      </c>
      <c r="J191" s="7">
        <v>2.2799999999999998</v>
      </c>
      <c r="K191" s="1" t="s">
        <v>5168</v>
      </c>
      <c r="L191" s="2">
        <v>3.4000000000000001E-6</v>
      </c>
      <c r="M191" s="2">
        <f>6/100000</f>
        <v>6.0000000000000002E-5</v>
      </c>
      <c r="N191" s="2">
        <v>1.6564520000000001E-3</v>
      </c>
      <c r="O191" s="3" t="s">
        <v>5169</v>
      </c>
      <c r="P191" s="7">
        <v>1.29</v>
      </c>
      <c r="Q191" s="1" t="s">
        <v>5170</v>
      </c>
      <c r="R191" s="2">
        <v>0.29099999999999998</v>
      </c>
      <c r="S191" s="2">
        <f>33585/100000</f>
        <v>0.33584999999999998</v>
      </c>
      <c r="T191" s="2">
        <v>0.61526179999999997</v>
      </c>
    </row>
    <row r="192" spans="1:20">
      <c r="A192" s="3" t="s">
        <v>1705</v>
      </c>
      <c r="B192" s="1" t="s">
        <v>1706</v>
      </c>
      <c r="C192" s="3" t="s">
        <v>1707</v>
      </c>
      <c r="D192" s="3" t="s">
        <v>1708</v>
      </c>
      <c r="E192" s="3" t="s">
        <v>1709</v>
      </c>
      <c r="F192" s="3" t="s">
        <v>1710</v>
      </c>
      <c r="G192" s="3" t="s">
        <v>1711</v>
      </c>
      <c r="H192" s="11" t="s">
        <v>8072</v>
      </c>
      <c r="I192" s="3" t="s">
        <v>5171</v>
      </c>
      <c r="J192" s="7">
        <v>2.39</v>
      </c>
      <c r="K192" s="1" t="s">
        <v>5172</v>
      </c>
      <c r="L192" s="2">
        <v>8.9899999999999997E-3</v>
      </c>
      <c r="M192" s="2">
        <f>1703/100000</f>
        <v>1.703E-2</v>
      </c>
      <c r="N192" s="2">
        <v>0.1239986</v>
      </c>
      <c r="O192" s="3" t="s">
        <v>5173</v>
      </c>
      <c r="P192" s="7">
        <v>1.0900000000000001</v>
      </c>
      <c r="Q192" s="1" t="s">
        <v>5174</v>
      </c>
      <c r="R192" s="2">
        <v>0.878</v>
      </c>
      <c r="S192" s="2">
        <f>100000/100000</f>
        <v>1</v>
      </c>
      <c r="T192" s="2">
        <v>0.82929589999999997</v>
      </c>
    </row>
    <row r="193" spans="1:20">
      <c r="A193" s="3" t="s">
        <v>1716</v>
      </c>
      <c r="B193" s="1" t="s">
        <v>1717</v>
      </c>
      <c r="C193" s="3" t="s">
        <v>1718</v>
      </c>
      <c r="D193" s="3" t="s">
        <v>1719</v>
      </c>
      <c r="E193" s="3" t="s">
        <v>1720</v>
      </c>
      <c r="F193" s="3" t="s">
        <v>1721</v>
      </c>
      <c r="G193" s="3" t="s">
        <v>1722</v>
      </c>
      <c r="H193" s="11" t="s">
        <v>8146</v>
      </c>
      <c r="I193" s="3" t="s">
        <v>5175</v>
      </c>
      <c r="J193" s="7">
        <v>1.6</v>
      </c>
      <c r="K193" s="1" t="s">
        <v>5176</v>
      </c>
      <c r="L193" s="2">
        <v>0.51100000000000001</v>
      </c>
      <c r="M193" s="2">
        <f>64064/100000</f>
        <v>0.64063999999999999</v>
      </c>
      <c r="N193" s="2">
        <v>0.79869500000000004</v>
      </c>
      <c r="O193" s="3" t="s">
        <v>5177</v>
      </c>
      <c r="P193" s="7">
        <v>0.94</v>
      </c>
      <c r="Q193" s="1" t="s">
        <v>4881</v>
      </c>
      <c r="R193" s="2">
        <v>0.93300000000000005</v>
      </c>
      <c r="S193" s="2">
        <f>100000/100000</f>
        <v>1</v>
      </c>
      <c r="T193" s="2">
        <v>0.82929589999999997</v>
      </c>
    </row>
    <row r="194" spans="1:20">
      <c r="A194" s="3" t="s">
        <v>1727</v>
      </c>
      <c r="B194" s="1" t="s">
        <v>1728</v>
      </c>
      <c r="C194" s="3" t="s">
        <v>1729</v>
      </c>
      <c r="D194" s="3" t="s">
        <v>1730</v>
      </c>
      <c r="E194" s="3" t="s">
        <v>1731</v>
      </c>
      <c r="F194" s="3" t="s">
        <v>1732</v>
      </c>
      <c r="G194" s="3" t="s">
        <v>1733</v>
      </c>
      <c r="H194" s="11" t="s">
        <v>8147</v>
      </c>
      <c r="I194" s="3" t="s">
        <v>5178</v>
      </c>
      <c r="J194" s="7">
        <v>0.38</v>
      </c>
      <c r="K194" s="1" t="s">
        <v>5179</v>
      </c>
      <c r="L194" s="2">
        <v>0.32200000000000001</v>
      </c>
      <c r="M194" s="2">
        <f>38562/100000</f>
        <v>0.38562000000000002</v>
      </c>
      <c r="N194" s="2">
        <v>0.65243910000000005</v>
      </c>
      <c r="O194" s="3" t="s">
        <v>5180</v>
      </c>
      <c r="P194" s="7">
        <v>0.82</v>
      </c>
      <c r="Q194" s="1" t="s">
        <v>5181</v>
      </c>
      <c r="R194" s="2">
        <v>0.72599999999999998</v>
      </c>
      <c r="S194" s="2">
        <f>80886/100000</f>
        <v>0.80886000000000002</v>
      </c>
      <c r="T194" s="2">
        <v>0.82929589999999997</v>
      </c>
    </row>
    <row r="195" spans="1:20">
      <c r="A195" s="3" t="s">
        <v>1738</v>
      </c>
      <c r="B195" s="1" t="s">
        <v>1728</v>
      </c>
      <c r="C195" s="3" t="s">
        <v>1729</v>
      </c>
      <c r="D195" s="3" t="s">
        <v>1739</v>
      </c>
      <c r="E195" s="3" t="s">
        <v>1740</v>
      </c>
      <c r="F195" s="3" t="s">
        <v>1741</v>
      </c>
      <c r="G195" s="3" t="s">
        <v>1742</v>
      </c>
      <c r="H195" s="11" t="s">
        <v>8147</v>
      </c>
      <c r="I195" s="3" t="s">
        <v>5182</v>
      </c>
      <c r="J195" s="7">
        <v>1.63</v>
      </c>
      <c r="K195" s="1" t="s">
        <v>5183</v>
      </c>
      <c r="L195" s="2">
        <v>0.39800000000000002</v>
      </c>
      <c r="M195" s="2">
        <f>43840/100000</f>
        <v>0.43840000000000001</v>
      </c>
      <c r="N195" s="2">
        <v>0.68822830000000002</v>
      </c>
      <c r="O195" s="3" t="s">
        <v>5184</v>
      </c>
      <c r="P195" s="7">
        <v>1.63</v>
      </c>
      <c r="Q195" s="1" t="s">
        <v>5185</v>
      </c>
      <c r="R195" s="2">
        <v>0.28299999999999997</v>
      </c>
      <c r="S195" s="2">
        <f>38030/100000</f>
        <v>0.38030000000000003</v>
      </c>
      <c r="T195" s="2">
        <v>0.65084330000000001</v>
      </c>
    </row>
    <row r="196" spans="1:20">
      <c r="A196" s="3" t="s">
        <v>1747</v>
      </c>
      <c r="B196" s="1" t="s">
        <v>1748</v>
      </c>
      <c r="C196" s="3" t="s">
        <v>1749</v>
      </c>
      <c r="D196" s="3" t="s">
        <v>1750</v>
      </c>
      <c r="E196" s="3" t="s">
        <v>1751</v>
      </c>
      <c r="F196" s="3" t="s">
        <v>1752</v>
      </c>
      <c r="G196" s="3" t="s">
        <v>1753</v>
      </c>
      <c r="H196" s="11" t="s">
        <v>8148</v>
      </c>
      <c r="I196" s="3" t="s">
        <v>5186</v>
      </c>
      <c r="J196" s="7">
        <v>1.7</v>
      </c>
      <c r="K196" s="1" t="s">
        <v>5187</v>
      </c>
      <c r="L196" s="2">
        <v>0.19900000000000001</v>
      </c>
      <c r="M196" s="2">
        <f>27407/100000</f>
        <v>0.27406999999999998</v>
      </c>
      <c r="N196" s="2">
        <v>0.56620890000000001</v>
      </c>
      <c r="O196" s="3" t="s">
        <v>5188</v>
      </c>
      <c r="P196" s="7">
        <v>0.43</v>
      </c>
      <c r="Q196" s="1" t="s">
        <v>5151</v>
      </c>
      <c r="R196" s="2">
        <v>0.38500000000000001</v>
      </c>
      <c r="S196" s="2">
        <f>52822/100000</f>
        <v>0.52822000000000002</v>
      </c>
      <c r="T196" s="2">
        <v>0.74478149999999999</v>
      </c>
    </row>
    <row r="197" spans="1:20">
      <c r="A197" s="3" t="s">
        <v>1758</v>
      </c>
      <c r="B197" s="1" t="s">
        <v>1748</v>
      </c>
      <c r="C197" s="3" t="s">
        <v>1749</v>
      </c>
      <c r="D197" s="3" t="s">
        <v>1759</v>
      </c>
      <c r="E197" s="3" t="s">
        <v>1760</v>
      </c>
      <c r="F197" s="3" t="s">
        <v>1750</v>
      </c>
      <c r="G197" s="3" t="s">
        <v>1751</v>
      </c>
      <c r="H197" s="11" t="s">
        <v>8081</v>
      </c>
      <c r="I197" s="3" t="s">
        <v>5189</v>
      </c>
      <c r="J197" s="7">
        <v>0.39</v>
      </c>
      <c r="K197" s="1" t="s">
        <v>5190</v>
      </c>
      <c r="L197" s="2">
        <v>0.32800000000000001</v>
      </c>
      <c r="M197" s="2">
        <f>38766/100000</f>
        <v>0.38766</v>
      </c>
      <c r="N197" s="2">
        <v>0.65409720000000005</v>
      </c>
      <c r="O197" s="3" t="s">
        <v>5191</v>
      </c>
      <c r="P197" s="7">
        <v>1.78</v>
      </c>
      <c r="Q197" s="1" t="s">
        <v>5192</v>
      </c>
      <c r="R197" s="2">
        <v>0.20300000000000001</v>
      </c>
      <c r="S197" s="2">
        <f>21482/100000</f>
        <v>0.21482000000000001</v>
      </c>
      <c r="T197" s="2">
        <v>0.50736440000000005</v>
      </c>
    </row>
    <row r="198" spans="1:20">
      <c r="A198" s="3" t="s">
        <v>1765</v>
      </c>
      <c r="B198" s="1" t="s">
        <v>1748</v>
      </c>
      <c r="C198" s="3" t="s">
        <v>1749</v>
      </c>
      <c r="D198" s="3" t="s">
        <v>1766</v>
      </c>
      <c r="E198" s="3" t="s">
        <v>1767</v>
      </c>
      <c r="F198" s="3" t="s">
        <v>1750</v>
      </c>
      <c r="G198" s="3" t="s">
        <v>1751</v>
      </c>
      <c r="H198" s="11" t="s">
        <v>8081</v>
      </c>
      <c r="I198" s="3" t="s">
        <v>5193</v>
      </c>
      <c r="J198" s="7">
        <v>0.83</v>
      </c>
      <c r="K198" s="1" t="s">
        <v>5194</v>
      </c>
      <c r="L198" s="2">
        <v>0.755</v>
      </c>
      <c r="M198" s="2">
        <f>80500/100000</f>
        <v>0.80500000000000005</v>
      </c>
      <c r="N198" s="2">
        <v>0.82929589999999997</v>
      </c>
      <c r="O198" s="3" t="s">
        <v>5195</v>
      </c>
      <c r="P198" s="7">
        <v>0.3</v>
      </c>
      <c r="Q198" s="1" t="s">
        <v>5196</v>
      </c>
      <c r="R198" s="2">
        <v>0.20399999999999999</v>
      </c>
      <c r="S198" s="2">
        <f>26760/100000</f>
        <v>0.2676</v>
      </c>
      <c r="T198" s="2">
        <v>0.56620890000000001</v>
      </c>
    </row>
    <row r="199" spans="1:20">
      <c r="A199" s="3" t="s">
        <v>1771</v>
      </c>
      <c r="B199" s="1" t="s">
        <v>1772</v>
      </c>
      <c r="C199" s="3" t="s">
        <v>1773</v>
      </c>
      <c r="D199" s="3" t="s">
        <v>1774</v>
      </c>
      <c r="E199" s="3" t="s">
        <v>1775</v>
      </c>
      <c r="F199" s="3" t="s">
        <v>1776</v>
      </c>
      <c r="G199" s="3" t="s">
        <v>1777</v>
      </c>
      <c r="H199" s="11" t="s">
        <v>8149</v>
      </c>
      <c r="I199" s="3" t="s">
        <v>5197</v>
      </c>
      <c r="J199" s="7">
        <v>1.76</v>
      </c>
      <c r="K199" s="1" t="s">
        <v>5198</v>
      </c>
      <c r="L199" s="2">
        <v>9.7100000000000002E-5</v>
      </c>
      <c r="M199" s="2">
        <f>21/100000</f>
        <v>2.1000000000000001E-4</v>
      </c>
      <c r="N199" s="2">
        <v>4.8140630000000004E-3</v>
      </c>
      <c r="O199" s="3" t="s">
        <v>5199</v>
      </c>
      <c r="P199" s="7">
        <v>1.66</v>
      </c>
      <c r="Q199" s="1" t="s">
        <v>5200</v>
      </c>
      <c r="R199" s="2">
        <v>1.2999999999999999E-2</v>
      </c>
      <c r="S199" s="2">
        <f>1582/100000</f>
        <v>1.5820000000000001E-2</v>
      </c>
      <c r="T199" s="2">
        <v>0.11826970000000001</v>
      </c>
    </row>
    <row r="200" spans="1:20">
      <c r="A200" s="3" t="s">
        <v>1782</v>
      </c>
      <c r="B200" s="1" t="s">
        <v>1772</v>
      </c>
      <c r="C200" s="3" t="s">
        <v>1773</v>
      </c>
      <c r="D200" s="3" t="s">
        <v>1783</v>
      </c>
      <c r="E200" s="3" t="s">
        <v>1784</v>
      </c>
      <c r="F200" s="3" t="s">
        <v>1776</v>
      </c>
      <c r="G200" s="3" t="s">
        <v>1777</v>
      </c>
      <c r="H200" s="11" t="s">
        <v>8149</v>
      </c>
      <c r="I200" s="3" t="s">
        <v>5201</v>
      </c>
      <c r="J200" s="7">
        <v>1.61</v>
      </c>
      <c r="K200" s="1" t="s">
        <v>5202</v>
      </c>
      <c r="L200" s="2">
        <v>1.09E-3</v>
      </c>
      <c r="M200" s="2">
        <f>151/100000</f>
        <v>1.5100000000000001E-3</v>
      </c>
      <c r="N200" s="2">
        <v>2.2027979999999999E-2</v>
      </c>
      <c r="O200" s="3" t="s">
        <v>5203</v>
      </c>
      <c r="P200" s="7">
        <v>1.64</v>
      </c>
      <c r="Q200" s="1" t="s">
        <v>5204</v>
      </c>
      <c r="R200" s="2">
        <v>1.21E-2</v>
      </c>
      <c r="S200" s="2">
        <f>1488/100000</f>
        <v>1.4880000000000001E-2</v>
      </c>
      <c r="T200" s="2">
        <v>0.1131827</v>
      </c>
    </row>
    <row r="201" spans="1:20">
      <c r="A201" s="3" t="s">
        <v>1789</v>
      </c>
      <c r="B201" s="1" t="s">
        <v>1772</v>
      </c>
      <c r="C201" s="3" t="s">
        <v>1773</v>
      </c>
      <c r="D201" s="3" t="s">
        <v>1776</v>
      </c>
      <c r="E201" s="3" t="s">
        <v>1777</v>
      </c>
      <c r="F201" s="3" t="s">
        <v>1790</v>
      </c>
      <c r="G201" s="3" t="s">
        <v>1791</v>
      </c>
      <c r="H201" s="12" t="s">
        <v>8150</v>
      </c>
      <c r="I201" s="3" t="s">
        <v>5205</v>
      </c>
      <c r="J201" s="7">
        <v>1.59</v>
      </c>
      <c r="K201" s="1" t="s">
        <v>5206</v>
      </c>
      <c r="L201" s="2">
        <v>7.9000000000000001E-2</v>
      </c>
      <c r="M201" s="2">
        <f>9758/100000</f>
        <v>9.758E-2</v>
      </c>
      <c r="N201" s="2">
        <v>0.3565972</v>
      </c>
      <c r="O201" s="3" t="s">
        <v>5207</v>
      </c>
      <c r="P201" s="7">
        <v>1.33</v>
      </c>
      <c r="Q201" s="1" t="s">
        <v>5208</v>
      </c>
      <c r="R201" s="2">
        <v>0.25900000000000001</v>
      </c>
      <c r="S201" s="2">
        <f>31823/100000</f>
        <v>0.31823000000000001</v>
      </c>
      <c r="T201" s="2">
        <v>0.60300220000000004</v>
      </c>
    </row>
    <row r="202" spans="1:20">
      <c r="A202" s="3" t="s">
        <v>1796</v>
      </c>
      <c r="B202" s="1" t="s">
        <v>1797</v>
      </c>
      <c r="C202" s="3" t="s">
        <v>1798</v>
      </c>
      <c r="D202" s="3" t="s">
        <v>1799</v>
      </c>
      <c r="E202" s="3" t="s">
        <v>1800</v>
      </c>
      <c r="F202" s="3" t="s">
        <v>1801</v>
      </c>
      <c r="G202" s="3" t="s">
        <v>1802</v>
      </c>
      <c r="H202" s="11" t="s">
        <v>8151</v>
      </c>
      <c r="I202" s="3" t="s">
        <v>5209</v>
      </c>
      <c r="J202" s="7">
        <v>1.52</v>
      </c>
      <c r="K202" s="1" t="s">
        <v>5210</v>
      </c>
      <c r="L202" s="2">
        <v>0.17899999999999999</v>
      </c>
      <c r="M202" s="2">
        <f>18429/100000</f>
        <v>0.18429000000000001</v>
      </c>
      <c r="N202" s="2">
        <v>0.47147699999999998</v>
      </c>
      <c r="O202" s="3" t="s">
        <v>5211</v>
      </c>
      <c r="P202" s="7">
        <v>1.72</v>
      </c>
      <c r="Q202" s="1" t="s">
        <v>5212</v>
      </c>
      <c r="R202" s="2">
        <v>0.192</v>
      </c>
      <c r="S202" s="2">
        <f>27027/100000</f>
        <v>0.27027000000000001</v>
      </c>
      <c r="T202" s="2">
        <v>0.56620890000000001</v>
      </c>
    </row>
    <row r="203" spans="1:20">
      <c r="A203" s="3" t="s">
        <v>1807</v>
      </c>
      <c r="B203" s="1" t="s">
        <v>1797</v>
      </c>
      <c r="C203" s="3" t="s">
        <v>1798</v>
      </c>
      <c r="D203" s="3" t="s">
        <v>1808</v>
      </c>
      <c r="E203" s="3" t="s">
        <v>1809</v>
      </c>
      <c r="F203" s="3" t="s">
        <v>1801</v>
      </c>
      <c r="G203" s="3" t="s">
        <v>1802</v>
      </c>
      <c r="H203" s="11" t="s">
        <v>8082</v>
      </c>
      <c r="I203" s="3" t="s">
        <v>5213</v>
      </c>
      <c r="J203" s="7">
        <v>0</v>
      </c>
      <c r="K203" s="1" t="s">
        <v>774</v>
      </c>
      <c r="L203" s="2">
        <v>0.38200000000000001</v>
      </c>
      <c r="M203" s="2">
        <f>63932/100000</f>
        <v>0.63932</v>
      </c>
      <c r="N203" s="2">
        <v>0.79869500000000004</v>
      </c>
      <c r="O203" s="3" t="s">
        <v>5214</v>
      </c>
      <c r="P203" s="7">
        <v>0</v>
      </c>
      <c r="Q203" s="1" t="s">
        <v>774</v>
      </c>
      <c r="R203" s="2">
        <v>0.40300000000000002</v>
      </c>
      <c r="S203" s="2">
        <f>65122/100000</f>
        <v>0.65122000000000002</v>
      </c>
      <c r="T203" s="2">
        <v>0.80357809999999996</v>
      </c>
    </row>
    <row r="204" spans="1:20">
      <c r="A204" s="3" t="s">
        <v>1814</v>
      </c>
      <c r="B204" s="1" t="s">
        <v>1797</v>
      </c>
      <c r="C204" s="3" t="s">
        <v>1798</v>
      </c>
      <c r="D204" s="3" t="s">
        <v>1815</v>
      </c>
      <c r="E204" s="3" t="s">
        <v>1816</v>
      </c>
      <c r="F204" s="3" t="s">
        <v>1801</v>
      </c>
      <c r="G204" s="3" t="s">
        <v>1802</v>
      </c>
      <c r="H204" s="11" t="s">
        <v>8152</v>
      </c>
      <c r="I204" s="3" t="s">
        <v>5215</v>
      </c>
      <c r="J204" s="7">
        <v>1.1599999999999999</v>
      </c>
      <c r="K204" s="1" t="s">
        <v>1147</v>
      </c>
      <c r="L204" s="2">
        <v>0.44700000000000001</v>
      </c>
      <c r="M204" s="2">
        <f>48193/100000</f>
        <v>0.48193000000000003</v>
      </c>
      <c r="N204" s="2">
        <v>0.72967870000000001</v>
      </c>
      <c r="O204" s="3" t="s">
        <v>5216</v>
      </c>
      <c r="P204" s="7">
        <v>0.28999999999999998</v>
      </c>
      <c r="Q204" s="1" t="s">
        <v>5217</v>
      </c>
      <c r="R204" s="2">
        <v>6.7299999999999999E-2</v>
      </c>
      <c r="S204" s="2">
        <f>7159/100000</f>
        <v>7.1590000000000001E-2</v>
      </c>
      <c r="T204" s="2">
        <v>0.29982039999999999</v>
      </c>
    </row>
    <row r="205" spans="1:20">
      <c r="A205" s="3" t="s">
        <v>1821</v>
      </c>
      <c r="B205" s="1" t="s">
        <v>1797</v>
      </c>
      <c r="C205" s="3" t="s">
        <v>1798</v>
      </c>
      <c r="D205" s="3" t="s">
        <v>1822</v>
      </c>
      <c r="E205" s="3" t="s">
        <v>1823</v>
      </c>
      <c r="F205" s="3" t="s">
        <v>1801</v>
      </c>
      <c r="G205" s="3" t="s">
        <v>1802</v>
      </c>
      <c r="H205" s="12" t="s">
        <v>8082</v>
      </c>
      <c r="I205" s="3" t="s">
        <v>5218</v>
      </c>
      <c r="J205" s="7">
        <v>1.05</v>
      </c>
      <c r="K205" s="1" t="s">
        <v>4781</v>
      </c>
      <c r="L205" s="2">
        <v>0.84199999999999997</v>
      </c>
      <c r="M205" s="2">
        <f>90244/100000</f>
        <v>0.90244000000000002</v>
      </c>
      <c r="N205" s="2">
        <v>0.82929589999999997</v>
      </c>
      <c r="O205" s="3" t="s">
        <v>5219</v>
      </c>
      <c r="P205" s="7">
        <v>1.95</v>
      </c>
      <c r="Q205" s="1" t="s">
        <v>5220</v>
      </c>
      <c r="R205" s="2">
        <v>9.6200000000000001E-3</v>
      </c>
      <c r="S205" s="2">
        <f>1463/100000</f>
        <v>1.4630000000000001E-2</v>
      </c>
      <c r="T205" s="2">
        <v>0.1112329</v>
      </c>
    </row>
    <row r="206" spans="1:20">
      <c r="A206" s="3" t="s">
        <v>1828</v>
      </c>
      <c r="B206" s="1" t="s">
        <v>1797</v>
      </c>
      <c r="C206" s="3" t="s">
        <v>1798</v>
      </c>
      <c r="D206" s="3" t="s">
        <v>1829</v>
      </c>
      <c r="E206" s="3" t="s">
        <v>1830</v>
      </c>
      <c r="F206" s="3" t="s">
        <v>1831</v>
      </c>
      <c r="G206" s="3" t="s">
        <v>1832</v>
      </c>
      <c r="H206" s="11" t="s">
        <v>8151</v>
      </c>
      <c r="I206" s="3" t="s">
        <v>5221</v>
      </c>
      <c r="J206" s="7">
        <v>1.66</v>
      </c>
      <c r="K206" s="1" t="s">
        <v>5222</v>
      </c>
      <c r="L206" s="2">
        <v>2.2599999999999999E-4</v>
      </c>
      <c r="M206" s="2">
        <f>40/100000</f>
        <v>4.0000000000000002E-4</v>
      </c>
      <c r="N206" s="2">
        <v>8.3495930000000006E-3</v>
      </c>
      <c r="O206" s="3" t="s">
        <v>5223</v>
      </c>
      <c r="P206" s="7">
        <v>1.39</v>
      </c>
      <c r="Q206" s="1" t="s">
        <v>5224</v>
      </c>
      <c r="R206" s="2">
        <v>6.8599999999999994E-2</v>
      </c>
      <c r="S206" s="2">
        <f>7794/100000</f>
        <v>7.7939999999999995E-2</v>
      </c>
      <c r="T206" s="2">
        <v>0.31447839999999999</v>
      </c>
    </row>
    <row r="207" spans="1:20">
      <c r="A207" s="3" t="s">
        <v>1837</v>
      </c>
      <c r="B207" s="1" t="s">
        <v>1797</v>
      </c>
      <c r="C207" s="3" t="s">
        <v>1798</v>
      </c>
      <c r="D207" s="3" t="s">
        <v>1838</v>
      </c>
      <c r="E207" s="3" t="s">
        <v>1839</v>
      </c>
      <c r="F207" s="3" t="s">
        <v>1831</v>
      </c>
      <c r="G207" s="3" t="s">
        <v>1832</v>
      </c>
      <c r="H207" s="11" t="s">
        <v>8153</v>
      </c>
      <c r="I207" s="3" t="s">
        <v>5225</v>
      </c>
      <c r="J207" s="7">
        <v>1.68</v>
      </c>
      <c r="K207" s="1" t="s">
        <v>5226</v>
      </c>
      <c r="L207" s="2">
        <v>7.9299999999999995E-3</v>
      </c>
      <c r="M207" s="2">
        <f>1144/100000</f>
        <v>1.1440000000000001E-2</v>
      </c>
      <c r="N207" s="2">
        <v>9.2919050000000003E-2</v>
      </c>
      <c r="O207" s="3" t="s">
        <v>5227</v>
      </c>
      <c r="P207" s="7">
        <v>1.78</v>
      </c>
      <c r="Q207" s="1" t="s">
        <v>5228</v>
      </c>
      <c r="R207" s="2">
        <v>7.9799999999999992E-3</v>
      </c>
      <c r="S207" s="2">
        <f>1127/100000</f>
        <v>1.1270000000000001E-2</v>
      </c>
      <c r="T207" s="2">
        <v>9.2919050000000003E-2</v>
      </c>
    </row>
    <row r="208" spans="1:20">
      <c r="A208" s="3" t="s">
        <v>1844</v>
      </c>
      <c r="B208" s="1" t="s">
        <v>1797</v>
      </c>
      <c r="C208" s="3" t="s">
        <v>1798</v>
      </c>
      <c r="D208" s="3" t="s">
        <v>1845</v>
      </c>
      <c r="E208" s="3" t="s">
        <v>1846</v>
      </c>
      <c r="F208" s="3" t="s">
        <v>1831</v>
      </c>
      <c r="G208" s="3" t="s">
        <v>1832</v>
      </c>
      <c r="H208" s="11" t="s">
        <v>8152</v>
      </c>
      <c r="I208" s="3" t="s">
        <v>5229</v>
      </c>
      <c r="J208" s="7">
        <v>1.49</v>
      </c>
      <c r="K208" s="1" t="s">
        <v>5230</v>
      </c>
      <c r="L208" s="2">
        <v>1.1999999999999999E-3</v>
      </c>
      <c r="M208" s="2">
        <f>140/100000</f>
        <v>1.4E-3</v>
      </c>
      <c r="N208" s="2">
        <v>2.1543389999999999E-2</v>
      </c>
      <c r="O208" s="3" t="s">
        <v>5231</v>
      </c>
      <c r="P208" s="7">
        <v>1.23</v>
      </c>
      <c r="Q208" s="1" t="s">
        <v>5232</v>
      </c>
      <c r="R208" s="2">
        <v>0.20100000000000001</v>
      </c>
      <c r="S208" s="2">
        <f>21327/100000</f>
        <v>0.21326999999999999</v>
      </c>
      <c r="T208" s="2">
        <v>0.50543210000000005</v>
      </c>
    </row>
    <row r="209" spans="1:20">
      <c r="A209" s="3" t="s">
        <v>1851</v>
      </c>
      <c r="B209" s="1" t="s">
        <v>1797</v>
      </c>
      <c r="C209" s="3" t="s">
        <v>1798</v>
      </c>
      <c r="D209" s="3" t="s">
        <v>1852</v>
      </c>
      <c r="E209" s="3" t="s">
        <v>1853</v>
      </c>
      <c r="F209" s="3" t="s">
        <v>1831</v>
      </c>
      <c r="G209" s="3" t="s">
        <v>1832</v>
      </c>
      <c r="H209" s="12" t="s">
        <v>8082</v>
      </c>
      <c r="I209" s="3" t="s">
        <v>5233</v>
      </c>
      <c r="J209" s="7">
        <v>1.27</v>
      </c>
      <c r="K209" s="1" t="s">
        <v>5234</v>
      </c>
      <c r="L209" s="2">
        <v>9.7799999999999998E-2</v>
      </c>
      <c r="M209" s="2">
        <f>10746/100000</f>
        <v>0.10746</v>
      </c>
      <c r="N209" s="2">
        <v>0.36580889999999999</v>
      </c>
      <c r="O209" s="3" t="s">
        <v>5235</v>
      </c>
      <c r="P209" s="7">
        <v>1.73</v>
      </c>
      <c r="Q209" s="1" t="s">
        <v>5236</v>
      </c>
      <c r="R209" s="2">
        <v>1.6699999999999999E-4</v>
      </c>
      <c r="S209" s="2">
        <f>26/100000</f>
        <v>2.5999999999999998E-4</v>
      </c>
      <c r="T209" s="2">
        <v>5.7547409999999998E-3</v>
      </c>
    </row>
    <row r="210" spans="1:20">
      <c r="A210" s="3" t="s">
        <v>1858</v>
      </c>
      <c r="B210" s="1" t="s">
        <v>1859</v>
      </c>
      <c r="C210" s="3" t="s">
        <v>1860</v>
      </c>
      <c r="D210" s="3" t="s">
        <v>1861</v>
      </c>
      <c r="E210" s="3" t="s">
        <v>1862</v>
      </c>
      <c r="F210" s="3" t="s">
        <v>1863</v>
      </c>
      <c r="G210" s="3" t="s">
        <v>1864</v>
      </c>
      <c r="H210" s="11" t="s">
        <v>8154</v>
      </c>
      <c r="I210" s="3" t="s">
        <v>5237</v>
      </c>
      <c r="J210" s="7">
        <v>0.78</v>
      </c>
      <c r="K210" s="1" t="s">
        <v>5238</v>
      </c>
      <c r="L210" s="2">
        <v>0.57799999999999996</v>
      </c>
      <c r="M210" s="2">
        <f>68939/100000</f>
        <v>0.68938999999999995</v>
      </c>
      <c r="N210" s="2">
        <v>0.81339530000000004</v>
      </c>
      <c r="O210" s="3" t="s">
        <v>5239</v>
      </c>
      <c r="P210" s="7">
        <v>1.63</v>
      </c>
      <c r="Q210" s="1" t="s">
        <v>5240</v>
      </c>
      <c r="R210" s="2">
        <v>0.128</v>
      </c>
      <c r="S210" s="2">
        <f>14814/100000</f>
        <v>0.14813999999999999</v>
      </c>
      <c r="T210" s="2">
        <v>0.42080840000000003</v>
      </c>
    </row>
    <row r="211" spans="1:20">
      <c r="A211" s="3" t="s">
        <v>1869</v>
      </c>
      <c r="B211" s="1" t="s">
        <v>1870</v>
      </c>
      <c r="C211" s="3" t="s">
        <v>1871</v>
      </c>
      <c r="D211" s="3" t="s">
        <v>1872</v>
      </c>
      <c r="E211" s="3" t="s">
        <v>1873</v>
      </c>
      <c r="F211" s="3" t="s">
        <v>1874</v>
      </c>
      <c r="G211" s="3" t="s">
        <v>1875</v>
      </c>
      <c r="H211" s="11" t="s">
        <v>8155</v>
      </c>
      <c r="I211" s="3" t="s">
        <v>5241</v>
      </c>
      <c r="J211" s="7">
        <v>1.86</v>
      </c>
      <c r="K211" s="1" t="s">
        <v>5242</v>
      </c>
      <c r="L211" s="2">
        <v>4.2900000000000001E-2</v>
      </c>
      <c r="M211" s="2">
        <f>5713/100000</f>
        <v>5.713E-2</v>
      </c>
      <c r="N211" s="2">
        <v>0.26225179999999998</v>
      </c>
      <c r="O211" s="3" t="s">
        <v>5243</v>
      </c>
      <c r="P211" s="7">
        <v>1.06</v>
      </c>
      <c r="Q211" s="1" t="s">
        <v>5244</v>
      </c>
      <c r="R211" s="2">
        <v>0.86499999999999999</v>
      </c>
      <c r="S211" s="2">
        <f>100000/100000</f>
        <v>1</v>
      </c>
      <c r="T211" s="2">
        <v>0.82929589999999997</v>
      </c>
    </row>
    <row r="212" spans="1:20">
      <c r="A212" s="3" t="s">
        <v>1880</v>
      </c>
      <c r="B212" s="1" t="s">
        <v>1870</v>
      </c>
      <c r="C212" s="3" t="s">
        <v>1871</v>
      </c>
      <c r="D212" s="3" t="s">
        <v>1881</v>
      </c>
      <c r="E212" s="3" t="s">
        <v>1882</v>
      </c>
      <c r="F212" s="3" t="s">
        <v>1883</v>
      </c>
      <c r="G212" s="3" t="s">
        <v>1884</v>
      </c>
      <c r="H212" s="11" t="s">
        <v>8155</v>
      </c>
      <c r="I212" s="3" t="s">
        <v>5245</v>
      </c>
      <c r="J212" s="7">
        <v>1.35</v>
      </c>
      <c r="K212" s="1" t="s">
        <v>5246</v>
      </c>
      <c r="L212" s="2">
        <v>0.47399999999999998</v>
      </c>
      <c r="M212" s="2">
        <f>63197/100000</f>
        <v>0.63197000000000003</v>
      </c>
      <c r="N212" s="2">
        <v>0.79869500000000004</v>
      </c>
      <c r="O212" s="3" t="s">
        <v>5247</v>
      </c>
      <c r="P212" s="7">
        <v>1.17</v>
      </c>
      <c r="Q212" s="1" t="s">
        <v>5248</v>
      </c>
      <c r="R212" s="2">
        <v>0.65500000000000003</v>
      </c>
      <c r="S212" s="2">
        <f>69297/100000</f>
        <v>0.69296999999999997</v>
      </c>
      <c r="T212" s="2">
        <v>0.81405680000000002</v>
      </c>
    </row>
    <row r="213" spans="1:20">
      <c r="A213" s="3" t="s">
        <v>1889</v>
      </c>
      <c r="B213" s="1" t="s">
        <v>1870</v>
      </c>
      <c r="C213" s="3" t="s">
        <v>1871</v>
      </c>
      <c r="D213" s="3" t="s">
        <v>1890</v>
      </c>
      <c r="E213" s="3" t="s">
        <v>1891</v>
      </c>
      <c r="F213" s="3" t="s">
        <v>1892</v>
      </c>
      <c r="G213" s="3" t="s">
        <v>1893</v>
      </c>
      <c r="H213" s="11" t="s">
        <v>8155</v>
      </c>
      <c r="I213" s="3" t="s">
        <v>5249</v>
      </c>
      <c r="J213" s="7">
        <v>1.45</v>
      </c>
      <c r="K213" s="1" t="s">
        <v>5250</v>
      </c>
      <c r="L213" s="2">
        <v>0.111</v>
      </c>
      <c r="M213" s="2">
        <f>12971/100000</f>
        <v>0.12970999999999999</v>
      </c>
      <c r="N213" s="2">
        <v>0.39640740000000002</v>
      </c>
      <c r="O213" s="3" t="s">
        <v>5251</v>
      </c>
      <c r="P213" s="7">
        <v>1</v>
      </c>
      <c r="Q213" s="1" t="s">
        <v>5252</v>
      </c>
      <c r="R213" s="2">
        <v>0.99199999999999999</v>
      </c>
      <c r="S213" s="2">
        <f>100000/100000</f>
        <v>1</v>
      </c>
      <c r="T213" s="2">
        <v>0.82929589999999997</v>
      </c>
    </row>
    <row r="214" spans="1:20">
      <c r="A214" s="3" t="s">
        <v>1898</v>
      </c>
      <c r="B214" s="1" t="s">
        <v>1899</v>
      </c>
      <c r="C214" s="3" t="s">
        <v>1900</v>
      </c>
      <c r="D214" s="3" t="s">
        <v>1901</v>
      </c>
      <c r="E214" s="3" t="s">
        <v>1902</v>
      </c>
      <c r="F214" s="3" t="s">
        <v>1903</v>
      </c>
      <c r="G214" s="3" t="s">
        <v>1904</v>
      </c>
      <c r="H214" s="11" t="s">
        <v>8156</v>
      </c>
      <c r="I214" s="3" t="s">
        <v>5253</v>
      </c>
      <c r="J214" s="7">
        <v>1.58</v>
      </c>
      <c r="K214" s="1" t="s">
        <v>5254</v>
      </c>
      <c r="L214" s="2">
        <v>0.27</v>
      </c>
      <c r="M214" s="2">
        <f>29083/100000</f>
        <v>0.29082999999999998</v>
      </c>
      <c r="N214" s="2">
        <v>0.57823020000000003</v>
      </c>
      <c r="O214" s="3" t="s">
        <v>5245</v>
      </c>
      <c r="P214" s="7">
        <v>1.35</v>
      </c>
      <c r="Q214" s="1" t="s">
        <v>5246</v>
      </c>
      <c r="R214" s="2">
        <v>0.47399999999999998</v>
      </c>
      <c r="S214" s="2">
        <f>63577/100000</f>
        <v>0.63576999999999995</v>
      </c>
      <c r="T214" s="2">
        <v>0.79869500000000004</v>
      </c>
    </row>
    <row r="215" spans="1:20">
      <c r="A215" s="3" t="s">
        <v>1909</v>
      </c>
      <c r="B215" s="1" t="s">
        <v>1899</v>
      </c>
      <c r="C215" s="3" t="s">
        <v>1900</v>
      </c>
      <c r="D215" s="3" t="s">
        <v>1910</v>
      </c>
      <c r="E215" s="3" t="s">
        <v>1911</v>
      </c>
      <c r="F215" s="3" t="s">
        <v>1903</v>
      </c>
      <c r="G215" s="3" t="s">
        <v>1904</v>
      </c>
      <c r="H215" s="11" t="s">
        <v>8157</v>
      </c>
      <c r="I215" s="3" t="s">
        <v>5255</v>
      </c>
      <c r="J215" s="7">
        <v>0.99</v>
      </c>
      <c r="K215" s="1" t="s">
        <v>5256</v>
      </c>
      <c r="L215" s="2">
        <v>0.98099999999999998</v>
      </c>
      <c r="M215" s="2">
        <f>100000/100000</f>
        <v>1</v>
      </c>
      <c r="N215" s="2">
        <v>0.82929589999999997</v>
      </c>
      <c r="O215" s="3" t="s">
        <v>5257</v>
      </c>
      <c r="P215" s="7">
        <v>1.0900000000000001</v>
      </c>
      <c r="Q215" s="1" t="s">
        <v>5258</v>
      </c>
      <c r="R215" s="2">
        <v>0.85899999999999999</v>
      </c>
      <c r="S215" s="2">
        <f>100000/100000</f>
        <v>1</v>
      </c>
      <c r="T215" s="2">
        <v>0.82929589999999997</v>
      </c>
    </row>
    <row r="216" spans="1:20">
      <c r="A216" s="3" t="s">
        <v>1916</v>
      </c>
      <c r="B216" s="1" t="s">
        <v>1899</v>
      </c>
      <c r="C216" s="3" t="s">
        <v>1900</v>
      </c>
      <c r="D216" s="3" t="s">
        <v>1917</v>
      </c>
      <c r="E216" s="3" t="s">
        <v>1918</v>
      </c>
      <c r="F216" s="3" t="s">
        <v>1903</v>
      </c>
      <c r="G216" s="3" t="s">
        <v>1904</v>
      </c>
      <c r="H216" s="11" t="s">
        <v>8156</v>
      </c>
      <c r="I216" s="3" t="s">
        <v>5259</v>
      </c>
      <c r="J216" s="7">
        <v>1.1499999999999999</v>
      </c>
      <c r="K216" s="1" t="s">
        <v>5260</v>
      </c>
      <c r="L216" s="2">
        <v>0.72899999999999998</v>
      </c>
      <c r="M216" s="2">
        <f>82223/100000</f>
        <v>0.82223000000000002</v>
      </c>
      <c r="N216" s="2">
        <v>0.82929589999999997</v>
      </c>
      <c r="O216" s="3" t="s">
        <v>5261</v>
      </c>
      <c r="P216" s="7">
        <v>0.52</v>
      </c>
      <c r="Q216" s="1" t="s">
        <v>5262</v>
      </c>
      <c r="R216" s="2">
        <v>0.35199999999999998</v>
      </c>
      <c r="S216" s="2">
        <f>44617/100000</f>
        <v>0.44617000000000001</v>
      </c>
      <c r="T216" s="2">
        <v>0.69724940000000002</v>
      </c>
    </row>
    <row r="217" spans="1:20">
      <c r="A217" s="3" t="s">
        <v>1923</v>
      </c>
      <c r="B217" s="1" t="s">
        <v>1924</v>
      </c>
      <c r="C217" s="3" t="s">
        <v>1925</v>
      </c>
      <c r="D217" s="3" t="s">
        <v>1926</v>
      </c>
      <c r="E217" s="3" t="s">
        <v>1927</v>
      </c>
      <c r="F217" s="3" t="s">
        <v>1928</v>
      </c>
      <c r="G217" s="3" t="s">
        <v>1929</v>
      </c>
      <c r="H217" s="11" t="s">
        <v>8083</v>
      </c>
      <c r="I217" s="3" t="s">
        <v>5263</v>
      </c>
      <c r="J217" s="7">
        <v>1.29</v>
      </c>
      <c r="K217" s="1" t="s">
        <v>5264</v>
      </c>
      <c r="L217" s="2">
        <v>0.28699999999999998</v>
      </c>
      <c r="M217" s="2">
        <f>34863/100000</f>
        <v>0.34863</v>
      </c>
      <c r="N217" s="2">
        <v>0.62617579999999995</v>
      </c>
      <c r="O217" s="3" t="s">
        <v>5265</v>
      </c>
      <c r="P217" s="7">
        <v>0.79</v>
      </c>
      <c r="Q217" s="1" t="s">
        <v>5266</v>
      </c>
      <c r="R217" s="2">
        <v>0.47399999999999998</v>
      </c>
      <c r="S217" s="2">
        <f>55983/100000</f>
        <v>0.55983000000000005</v>
      </c>
      <c r="T217" s="2">
        <v>0.75993659999999996</v>
      </c>
    </row>
    <row r="218" spans="1:20">
      <c r="A218" s="3" t="s">
        <v>1934</v>
      </c>
      <c r="B218" s="1" t="s">
        <v>1935</v>
      </c>
      <c r="C218" s="3" t="s">
        <v>1936</v>
      </c>
      <c r="D218" s="3" t="s">
        <v>1937</v>
      </c>
      <c r="E218" s="3" t="s">
        <v>1938</v>
      </c>
      <c r="F218" s="3" t="s">
        <v>1939</v>
      </c>
      <c r="G218" s="3" t="s">
        <v>1940</v>
      </c>
      <c r="H218" s="11" t="s">
        <v>8158</v>
      </c>
      <c r="I218" s="3" t="s">
        <v>5267</v>
      </c>
      <c r="J218" s="7">
        <v>0.93</v>
      </c>
      <c r="K218" s="1" t="s">
        <v>5268</v>
      </c>
      <c r="L218" s="2">
        <v>0.878</v>
      </c>
      <c r="M218" s="2">
        <f>100000/100000</f>
        <v>1</v>
      </c>
      <c r="N218" s="2">
        <v>0.82929589999999997</v>
      </c>
      <c r="O218" s="3" t="s">
        <v>5269</v>
      </c>
      <c r="P218" s="7">
        <v>0.83</v>
      </c>
      <c r="Q218" s="1" t="s">
        <v>5270</v>
      </c>
      <c r="R218" s="2">
        <v>0.71199999999999997</v>
      </c>
      <c r="S218" s="2">
        <f>82300/100000</f>
        <v>0.82299999999999995</v>
      </c>
      <c r="T218" s="2">
        <v>0.82929589999999997</v>
      </c>
    </row>
    <row r="219" spans="1:20">
      <c r="A219" s="3" t="s">
        <v>1945</v>
      </c>
      <c r="B219" s="1" t="s">
        <v>1935</v>
      </c>
      <c r="C219" s="3" t="s">
        <v>1936</v>
      </c>
      <c r="D219" s="3" t="s">
        <v>1946</v>
      </c>
      <c r="E219" s="3" t="s">
        <v>1947</v>
      </c>
      <c r="F219" s="3" t="s">
        <v>1939</v>
      </c>
      <c r="G219" s="3" t="s">
        <v>1940</v>
      </c>
      <c r="H219" s="11" t="s">
        <v>8158</v>
      </c>
      <c r="I219" s="3" t="s">
        <v>5271</v>
      </c>
      <c r="J219" s="7">
        <v>0.74</v>
      </c>
      <c r="K219" s="1" t="s">
        <v>5272</v>
      </c>
      <c r="L219" s="2">
        <v>0.67200000000000004</v>
      </c>
      <c r="M219" s="2">
        <f>77545/100000</f>
        <v>0.77544999999999997</v>
      </c>
      <c r="N219" s="2">
        <v>0.82929589999999997</v>
      </c>
      <c r="O219" s="3" t="s">
        <v>5273</v>
      </c>
      <c r="P219" s="7">
        <v>2.23</v>
      </c>
      <c r="Q219" s="1" t="s">
        <v>5274</v>
      </c>
      <c r="R219" s="2">
        <v>5.0700000000000002E-2</v>
      </c>
      <c r="S219" s="2">
        <f>6021/100000</f>
        <v>6.021E-2</v>
      </c>
      <c r="T219" s="2">
        <v>0.26974429999999999</v>
      </c>
    </row>
    <row r="220" spans="1:20">
      <c r="A220" s="3" t="s">
        <v>1952</v>
      </c>
      <c r="B220" s="1" t="s">
        <v>1953</v>
      </c>
      <c r="C220" s="3" t="s">
        <v>1954</v>
      </c>
      <c r="D220" s="3" t="s">
        <v>1955</v>
      </c>
      <c r="E220" s="3" t="s">
        <v>1956</v>
      </c>
      <c r="F220" s="3" t="s">
        <v>1957</v>
      </c>
      <c r="G220" s="3" t="s">
        <v>1958</v>
      </c>
      <c r="H220" s="11" t="s">
        <v>8159</v>
      </c>
      <c r="I220" s="3" t="s">
        <v>5275</v>
      </c>
      <c r="J220" s="7">
        <v>1.33</v>
      </c>
      <c r="K220" s="1" t="s">
        <v>5276</v>
      </c>
      <c r="L220" s="2">
        <v>0.42899999999999999</v>
      </c>
      <c r="M220" s="2">
        <f>53477/100000</f>
        <v>0.53476999999999997</v>
      </c>
      <c r="N220" s="2">
        <v>0.74478149999999999</v>
      </c>
      <c r="O220" s="3" t="s">
        <v>5277</v>
      </c>
      <c r="P220" s="7">
        <v>0.38</v>
      </c>
      <c r="Q220" s="1" t="s">
        <v>5278</v>
      </c>
      <c r="R220" s="2">
        <v>0.159</v>
      </c>
      <c r="S220" s="2">
        <f>18478/100000</f>
        <v>0.18478</v>
      </c>
      <c r="T220" s="2">
        <v>0.47215459999999998</v>
      </c>
    </row>
    <row r="221" spans="1:20">
      <c r="A221" s="3" t="s">
        <v>1963</v>
      </c>
      <c r="B221" s="1" t="s">
        <v>1964</v>
      </c>
      <c r="C221" s="3" t="s">
        <v>1965</v>
      </c>
      <c r="D221" s="3" t="s">
        <v>1966</v>
      </c>
      <c r="E221" s="3" t="s">
        <v>1967</v>
      </c>
      <c r="F221" s="3" t="s">
        <v>1968</v>
      </c>
      <c r="G221" s="3" t="s">
        <v>1969</v>
      </c>
      <c r="H221" s="11" t="s">
        <v>8160</v>
      </c>
      <c r="I221" s="3" t="s">
        <v>5279</v>
      </c>
      <c r="J221" s="7">
        <v>0.64</v>
      </c>
      <c r="K221" s="1" t="s">
        <v>5280</v>
      </c>
      <c r="L221" s="2">
        <v>0.18</v>
      </c>
      <c r="M221" s="2">
        <f>21102/100000</f>
        <v>0.21102000000000001</v>
      </c>
      <c r="N221" s="2">
        <v>0.50207829999999998</v>
      </c>
      <c r="O221" s="3" t="s">
        <v>5281</v>
      </c>
      <c r="P221" s="7">
        <v>1.1100000000000001</v>
      </c>
      <c r="Q221" s="1" t="s">
        <v>5282</v>
      </c>
      <c r="R221" s="2">
        <v>0.68500000000000005</v>
      </c>
      <c r="S221" s="2">
        <f>77758/100000</f>
        <v>0.77758000000000005</v>
      </c>
      <c r="T221" s="2">
        <v>0.82929589999999997</v>
      </c>
    </row>
    <row r="222" spans="1:20">
      <c r="A222" s="3" t="s">
        <v>1974</v>
      </c>
      <c r="B222" s="1" t="s">
        <v>1964</v>
      </c>
      <c r="C222" s="3" t="s">
        <v>1965</v>
      </c>
      <c r="D222" s="3" t="s">
        <v>1975</v>
      </c>
      <c r="E222" s="3" t="s">
        <v>1976</v>
      </c>
      <c r="F222" s="3" t="s">
        <v>1977</v>
      </c>
      <c r="G222" s="3" t="s">
        <v>1978</v>
      </c>
      <c r="H222" s="11" t="s">
        <v>8160</v>
      </c>
      <c r="I222" s="3" t="s">
        <v>5283</v>
      </c>
      <c r="J222" s="7">
        <v>1.1299999999999999</v>
      </c>
      <c r="K222" s="1" t="s">
        <v>5284</v>
      </c>
      <c r="L222" s="2">
        <v>0.72499999999999998</v>
      </c>
      <c r="M222" s="2">
        <f>85676/100000</f>
        <v>0.85675999999999997</v>
      </c>
      <c r="N222" s="2">
        <v>0.82929589999999997</v>
      </c>
      <c r="O222" s="3" t="s">
        <v>5285</v>
      </c>
      <c r="P222" s="7">
        <v>1.47</v>
      </c>
      <c r="Q222" s="1" t="s">
        <v>5286</v>
      </c>
      <c r="R222" s="2">
        <v>0.39700000000000002</v>
      </c>
      <c r="S222" s="2">
        <f>40195/100000</f>
        <v>0.40194999999999997</v>
      </c>
      <c r="T222" s="2">
        <v>0.66589350000000003</v>
      </c>
    </row>
    <row r="223" spans="1:20">
      <c r="A223" s="3" t="s">
        <v>1983</v>
      </c>
      <c r="B223" s="1" t="s">
        <v>1984</v>
      </c>
      <c r="C223" s="3" t="s">
        <v>1985</v>
      </c>
      <c r="D223" s="3" t="s">
        <v>1986</v>
      </c>
      <c r="E223" s="3" t="s">
        <v>1987</v>
      </c>
      <c r="F223" s="3" t="s">
        <v>1988</v>
      </c>
      <c r="G223" s="3" t="s">
        <v>1989</v>
      </c>
      <c r="H223" s="11" t="s">
        <v>8161</v>
      </c>
      <c r="I223" s="3" t="s">
        <v>5287</v>
      </c>
      <c r="J223" s="7">
        <v>1.08</v>
      </c>
      <c r="K223" s="1" t="s">
        <v>5288</v>
      </c>
      <c r="L223" s="2">
        <v>0.74</v>
      </c>
      <c r="M223" s="2">
        <f>81941/100000</f>
        <v>0.81940999999999997</v>
      </c>
      <c r="N223" s="2">
        <v>0.82929589999999997</v>
      </c>
      <c r="O223" s="3" t="s">
        <v>5289</v>
      </c>
      <c r="P223" s="7">
        <v>0.42</v>
      </c>
      <c r="Q223" s="1" t="s">
        <v>5290</v>
      </c>
      <c r="R223" s="2">
        <v>9.0200000000000002E-3</v>
      </c>
      <c r="S223" s="2">
        <f>1059/100000</f>
        <v>1.059E-2</v>
      </c>
      <c r="T223" s="2">
        <v>8.9820129999999998E-2</v>
      </c>
    </row>
    <row r="224" spans="1:20">
      <c r="A224" s="3" t="s">
        <v>1994</v>
      </c>
      <c r="B224" s="1" t="s">
        <v>1995</v>
      </c>
      <c r="C224" s="3" t="s">
        <v>1996</v>
      </c>
      <c r="D224" s="3" t="s">
        <v>1997</v>
      </c>
      <c r="E224" s="3" t="s">
        <v>1998</v>
      </c>
      <c r="F224" s="3" t="s">
        <v>1999</v>
      </c>
      <c r="G224" s="3" t="s">
        <v>2000</v>
      </c>
      <c r="H224" s="11" t="s">
        <v>8162</v>
      </c>
      <c r="I224" s="3" t="s">
        <v>5291</v>
      </c>
      <c r="J224" s="7">
        <v>0.44</v>
      </c>
      <c r="K224" s="1" t="s">
        <v>5292</v>
      </c>
      <c r="L224" s="2">
        <v>0.40500000000000003</v>
      </c>
      <c r="M224" s="2">
        <f>52475/100000</f>
        <v>0.52475000000000005</v>
      </c>
      <c r="N224" s="2">
        <v>0.74478149999999999</v>
      </c>
      <c r="O224" s="3" t="s">
        <v>5293</v>
      </c>
      <c r="P224" s="7">
        <v>1.95</v>
      </c>
      <c r="Q224" s="1" t="s">
        <v>5294</v>
      </c>
      <c r="R224" s="2">
        <v>0.184</v>
      </c>
      <c r="S224" s="2">
        <f>27980/100000</f>
        <v>0.27979999999999999</v>
      </c>
      <c r="T224" s="2">
        <v>0.56965129999999997</v>
      </c>
    </row>
    <row r="225" spans="1:20">
      <c r="A225" s="3" t="s">
        <v>2005</v>
      </c>
      <c r="B225" s="1" t="s">
        <v>1995</v>
      </c>
      <c r="C225" s="3" t="s">
        <v>1996</v>
      </c>
      <c r="D225" s="3" t="s">
        <v>2006</v>
      </c>
      <c r="E225" s="3" t="s">
        <v>2007</v>
      </c>
      <c r="F225" s="3" t="s">
        <v>2008</v>
      </c>
      <c r="G225" s="3" t="s">
        <v>2009</v>
      </c>
      <c r="H225" s="11" t="s">
        <v>8162</v>
      </c>
      <c r="I225" s="3" t="s">
        <v>5295</v>
      </c>
      <c r="J225" s="7">
        <v>1.07</v>
      </c>
      <c r="K225" s="1" t="s">
        <v>5296</v>
      </c>
      <c r="L225" s="2">
        <v>0.77</v>
      </c>
      <c r="M225" s="2">
        <f>82102/100000</f>
        <v>0.82101999999999997</v>
      </c>
      <c r="N225" s="2">
        <v>0.82929589999999997</v>
      </c>
      <c r="O225" s="3" t="s">
        <v>5297</v>
      </c>
      <c r="P225" s="7">
        <v>1.01</v>
      </c>
      <c r="Q225" s="1" t="s">
        <v>5298</v>
      </c>
      <c r="R225" s="2">
        <v>0.96699999999999997</v>
      </c>
      <c r="S225" s="2">
        <f>100000/100000</f>
        <v>1</v>
      </c>
      <c r="T225" s="2">
        <v>0.82929589999999997</v>
      </c>
    </row>
    <row r="226" spans="1:20">
      <c r="A226" s="3" t="s">
        <v>2014</v>
      </c>
      <c r="B226" s="1" t="s">
        <v>2015</v>
      </c>
      <c r="C226" s="3" t="s">
        <v>2016</v>
      </c>
      <c r="D226" s="3" t="s">
        <v>2017</v>
      </c>
      <c r="E226" s="3" t="s">
        <v>2018</v>
      </c>
      <c r="F226" s="3" t="s">
        <v>2019</v>
      </c>
      <c r="G226" s="3" t="s">
        <v>2020</v>
      </c>
      <c r="H226" s="11" t="s">
        <v>8163</v>
      </c>
      <c r="I226" s="3" t="s">
        <v>5299</v>
      </c>
      <c r="J226" s="7">
        <v>1</v>
      </c>
      <c r="K226" s="1" t="s">
        <v>5300</v>
      </c>
      <c r="L226" s="2">
        <v>0.995</v>
      </c>
      <c r="M226" s="2">
        <f>100000/100000</f>
        <v>1</v>
      </c>
      <c r="N226" s="2">
        <v>0.82929589999999997</v>
      </c>
      <c r="O226" s="3" t="s">
        <v>5301</v>
      </c>
      <c r="P226" s="7">
        <v>1.01</v>
      </c>
      <c r="Q226" s="1" t="s">
        <v>5302</v>
      </c>
      <c r="R226" s="2">
        <v>0.96399999999999997</v>
      </c>
      <c r="S226" s="2">
        <f>100000/100000</f>
        <v>1</v>
      </c>
      <c r="T226" s="2">
        <v>0.82929589999999997</v>
      </c>
    </row>
    <row r="227" spans="1:20">
      <c r="A227" s="3" t="s">
        <v>2025</v>
      </c>
      <c r="B227" s="1" t="s">
        <v>2026</v>
      </c>
      <c r="C227" s="3" t="s">
        <v>2027</v>
      </c>
      <c r="D227" s="3" t="s">
        <v>1986</v>
      </c>
      <c r="E227" s="3" t="s">
        <v>1987</v>
      </c>
      <c r="F227" s="3" t="s">
        <v>1988</v>
      </c>
      <c r="G227" s="3" t="s">
        <v>1989</v>
      </c>
      <c r="H227" s="11" t="s">
        <v>8161</v>
      </c>
      <c r="I227" s="3" t="s">
        <v>5287</v>
      </c>
      <c r="J227" s="7">
        <v>1.08</v>
      </c>
      <c r="K227" s="1" t="s">
        <v>5288</v>
      </c>
      <c r="L227" s="2">
        <v>0.74</v>
      </c>
      <c r="M227" s="2">
        <f>81941/100000</f>
        <v>0.81940999999999997</v>
      </c>
      <c r="N227" s="2">
        <v>0.82929589999999997</v>
      </c>
      <c r="O227" s="3" t="s">
        <v>5289</v>
      </c>
      <c r="P227" s="7">
        <v>0.42</v>
      </c>
      <c r="Q227" s="1" t="s">
        <v>5290</v>
      </c>
      <c r="R227" s="2">
        <v>9.0200000000000002E-3</v>
      </c>
      <c r="S227" s="2">
        <f>1059/100000</f>
        <v>1.059E-2</v>
      </c>
      <c r="T227" s="2">
        <v>8.9820129999999998E-2</v>
      </c>
    </row>
    <row r="228" spans="1:20">
      <c r="A228" s="3" t="s">
        <v>2028</v>
      </c>
      <c r="B228" s="1" t="s">
        <v>2029</v>
      </c>
      <c r="C228" s="3" t="s">
        <v>2030</v>
      </c>
      <c r="D228" s="3" t="s">
        <v>2031</v>
      </c>
      <c r="E228" s="3" t="s">
        <v>2032</v>
      </c>
      <c r="F228" s="3" t="s">
        <v>2033</v>
      </c>
      <c r="G228" s="3" t="s">
        <v>2034</v>
      </c>
      <c r="H228" s="11" t="s">
        <v>8164</v>
      </c>
      <c r="I228" s="3" t="s">
        <v>5303</v>
      </c>
      <c r="J228" s="7">
        <v>0.15</v>
      </c>
      <c r="K228" s="1" t="s">
        <v>1092</v>
      </c>
      <c r="L228" s="2">
        <v>3.0300000000000001E-2</v>
      </c>
      <c r="M228" s="2">
        <f>3853/100000</f>
        <v>3.8530000000000002E-2</v>
      </c>
      <c r="N228" s="2">
        <v>0.20679649999999999</v>
      </c>
      <c r="O228" s="3" t="s">
        <v>5304</v>
      </c>
      <c r="P228" s="7">
        <v>1.1499999999999999</v>
      </c>
      <c r="Q228" s="1" t="s">
        <v>5305</v>
      </c>
      <c r="R228" s="2">
        <v>0.76400000000000001</v>
      </c>
      <c r="S228" s="2">
        <f>80147/100000</f>
        <v>0.80147000000000002</v>
      </c>
      <c r="T228" s="2">
        <v>0.82929589999999997</v>
      </c>
    </row>
    <row r="229" spans="1:20">
      <c r="A229" s="3" t="s">
        <v>2039</v>
      </c>
      <c r="B229" s="1" t="s">
        <v>2040</v>
      </c>
      <c r="C229" s="3" t="s">
        <v>2041</v>
      </c>
      <c r="D229" s="3" t="s">
        <v>2042</v>
      </c>
      <c r="E229" s="3" t="s">
        <v>2043</v>
      </c>
      <c r="F229" s="3" t="s">
        <v>2044</v>
      </c>
      <c r="G229" s="3" t="s">
        <v>2045</v>
      </c>
      <c r="H229" s="11" t="s">
        <v>8165</v>
      </c>
      <c r="I229" s="3" t="s">
        <v>5306</v>
      </c>
      <c r="J229" s="7">
        <v>1.1299999999999999</v>
      </c>
      <c r="K229" s="1" t="s">
        <v>5307</v>
      </c>
      <c r="L229" s="2">
        <v>0.68700000000000006</v>
      </c>
      <c r="M229" s="2">
        <f>75374/100000</f>
        <v>0.75373999999999997</v>
      </c>
      <c r="N229" s="2">
        <v>0.82929589999999997</v>
      </c>
      <c r="O229" s="3" t="s">
        <v>5308</v>
      </c>
      <c r="P229" s="7">
        <v>1.53</v>
      </c>
      <c r="Q229" s="1" t="s">
        <v>5309</v>
      </c>
      <c r="R229" s="2">
        <v>5.4100000000000002E-2</v>
      </c>
      <c r="S229" s="2">
        <f>5964/100000</f>
        <v>5.9639999999999999E-2</v>
      </c>
      <c r="T229" s="2">
        <v>0.26799119999999998</v>
      </c>
    </row>
    <row r="230" spans="1:20">
      <c r="A230" s="3" t="s">
        <v>2050</v>
      </c>
      <c r="B230" s="1" t="s">
        <v>2040</v>
      </c>
      <c r="C230" s="3" t="s">
        <v>2041</v>
      </c>
      <c r="D230" s="3" t="s">
        <v>2051</v>
      </c>
      <c r="E230" s="3" t="s">
        <v>2052</v>
      </c>
      <c r="F230" s="3" t="s">
        <v>2053</v>
      </c>
      <c r="G230" s="3" t="s">
        <v>2054</v>
      </c>
      <c r="H230" s="11" t="s">
        <v>8165</v>
      </c>
      <c r="I230" s="3" t="s">
        <v>5310</v>
      </c>
      <c r="J230" s="7">
        <v>1.17</v>
      </c>
      <c r="K230" s="1" t="s">
        <v>5311</v>
      </c>
      <c r="L230" s="2">
        <v>0.73099999999999998</v>
      </c>
      <c r="M230" s="2">
        <f>80578/100000</f>
        <v>0.80578000000000005</v>
      </c>
      <c r="N230" s="2">
        <v>0.82929589999999997</v>
      </c>
      <c r="O230" s="3" t="s">
        <v>5312</v>
      </c>
      <c r="P230" s="7">
        <v>2.2999999999999998</v>
      </c>
      <c r="Q230" s="1" t="s">
        <v>5313</v>
      </c>
      <c r="R230" s="2">
        <v>4.1700000000000001E-3</v>
      </c>
      <c r="S230" s="2">
        <f>891/100000</f>
        <v>8.9099999999999995E-3</v>
      </c>
      <c r="T230" s="2">
        <v>8.0550800000000006E-2</v>
      </c>
    </row>
    <row r="231" spans="1:20">
      <c r="A231" s="3" t="s">
        <v>2059</v>
      </c>
      <c r="B231" s="1" t="s">
        <v>2060</v>
      </c>
      <c r="C231" s="3" t="s">
        <v>2061</v>
      </c>
      <c r="D231" s="3" t="s">
        <v>2062</v>
      </c>
      <c r="E231" s="3" t="s">
        <v>2063</v>
      </c>
      <c r="F231" s="3" t="s">
        <v>2064</v>
      </c>
      <c r="G231" s="3" t="s">
        <v>2065</v>
      </c>
      <c r="H231" s="11" t="s">
        <v>8085</v>
      </c>
      <c r="I231" s="3" t="s">
        <v>5314</v>
      </c>
      <c r="J231" s="7">
        <v>0.86</v>
      </c>
      <c r="K231" s="1" t="s">
        <v>5315</v>
      </c>
      <c r="L231" s="2">
        <v>0.74299999999999999</v>
      </c>
      <c r="M231" s="2">
        <f>83694/100000</f>
        <v>0.83694000000000002</v>
      </c>
      <c r="N231" s="2">
        <v>0.82929589999999997</v>
      </c>
      <c r="O231" s="3" t="s">
        <v>5316</v>
      </c>
      <c r="P231" s="7">
        <v>2.44</v>
      </c>
      <c r="Q231" s="1" t="s">
        <v>5317</v>
      </c>
      <c r="R231" s="2">
        <v>7.2499999999999995E-2</v>
      </c>
      <c r="S231" s="2">
        <f>8981/100000</f>
        <v>8.9810000000000001E-2</v>
      </c>
      <c r="T231" s="2">
        <v>0.3430975</v>
      </c>
    </row>
    <row r="232" spans="1:20">
      <c r="A232" s="3" t="s">
        <v>2070</v>
      </c>
      <c r="B232" s="1" t="s">
        <v>2071</v>
      </c>
      <c r="C232" s="3" t="s">
        <v>2072</v>
      </c>
      <c r="D232" s="3" t="s">
        <v>2073</v>
      </c>
      <c r="E232" s="3" t="s">
        <v>2074</v>
      </c>
      <c r="F232" s="3" t="s">
        <v>2075</v>
      </c>
      <c r="G232" s="3" t="s">
        <v>2076</v>
      </c>
      <c r="H232" s="11" t="s">
        <v>8166</v>
      </c>
      <c r="I232" s="3" t="s">
        <v>5318</v>
      </c>
      <c r="J232" s="7">
        <v>1.05</v>
      </c>
      <c r="K232" s="1" t="s">
        <v>5319</v>
      </c>
      <c r="L232" s="2">
        <v>0.85599999999999998</v>
      </c>
      <c r="M232" s="2">
        <f>88752/100000</f>
        <v>0.88751999999999998</v>
      </c>
      <c r="N232" s="2">
        <v>0.82929589999999997</v>
      </c>
      <c r="O232" s="3" t="s">
        <v>5320</v>
      </c>
      <c r="P232" s="7">
        <v>1.58</v>
      </c>
      <c r="Q232" s="1" t="s">
        <v>5321</v>
      </c>
      <c r="R232" s="2">
        <v>5.5399999999999998E-2</v>
      </c>
      <c r="S232" s="2">
        <f>5814/100000</f>
        <v>5.8139999999999997E-2</v>
      </c>
      <c r="T232" s="2">
        <v>0.2640208</v>
      </c>
    </row>
    <row r="233" spans="1:20">
      <c r="A233" s="3" t="s">
        <v>2081</v>
      </c>
      <c r="B233" s="1" t="s">
        <v>2082</v>
      </c>
      <c r="C233" s="3" t="s">
        <v>2083</v>
      </c>
      <c r="D233" s="3" t="s">
        <v>2084</v>
      </c>
      <c r="E233" s="3" t="s">
        <v>2085</v>
      </c>
      <c r="F233" s="3" t="s">
        <v>2086</v>
      </c>
      <c r="G233" s="3" t="s">
        <v>2087</v>
      </c>
      <c r="H233" s="11" t="s">
        <v>8167</v>
      </c>
      <c r="I233" s="3" t="s">
        <v>5322</v>
      </c>
      <c r="J233" s="7">
        <v>1.0900000000000001</v>
      </c>
      <c r="K233" s="1" t="s">
        <v>5323</v>
      </c>
      <c r="L233" s="2">
        <v>0.84199999999999997</v>
      </c>
      <c r="M233" s="2">
        <f>100000/100000</f>
        <v>1</v>
      </c>
      <c r="N233" s="2">
        <v>0.82929589999999997</v>
      </c>
      <c r="O233" s="3" t="s">
        <v>5324</v>
      </c>
      <c r="P233" s="7">
        <v>1.19</v>
      </c>
      <c r="Q233" s="1" t="s">
        <v>5325</v>
      </c>
      <c r="R233" s="2">
        <v>0.69699999999999995</v>
      </c>
      <c r="S233" s="2">
        <f>80137/100000</f>
        <v>0.80137000000000003</v>
      </c>
      <c r="T233" s="2">
        <v>0.82929589999999997</v>
      </c>
    </row>
    <row r="234" spans="1:20">
      <c r="A234" s="3" t="s">
        <v>2092</v>
      </c>
      <c r="B234" s="1" t="s">
        <v>2093</v>
      </c>
      <c r="C234" s="3" t="s">
        <v>2094</v>
      </c>
      <c r="D234" s="3" t="s">
        <v>2095</v>
      </c>
      <c r="E234" s="3" t="s">
        <v>2096</v>
      </c>
      <c r="F234" s="3" t="s">
        <v>2097</v>
      </c>
      <c r="G234" s="3" t="s">
        <v>2098</v>
      </c>
      <c r="H234" s="11" t="s">
        <v>8161</v>
      </c>
      <c r="I234" s="3" t="s">
        <v>5326</v>
      </c>
      <c r="J234" s="7">
        <v>1.05</v>
      </c>
      <c r="K234" s="1" t="s">
        <v>5327</v>
      </c>
      <c r="L234" s="2">
        <v>0.89100000000000001</v>
      </c>
      <c r="M234" s="2">
        <f>100000/100000</f>
        <v>1</v>
      </c>
      <c r="N234" s="2">
        <v>0.82929589999999997</v>
      </c>
      <c r="O234" s="3" t="s">
        <v>5328</v>
      </c>
      <c r="P234" s="7">
        <v>0.91</v>
      </c>
      <c r="Q234" s="1" t="s">
        <v>5329</v>
      </c>
      <c r="R234" s="2">
        <v>0.85799999999999998</v>
      </c>
      <c r="S234" s="2">
        <f>100000/100000</f>
        <v>1</v>
      </c>
      <c r="T234" s="2">
        <v>0.82929589999999997</v>
      </c>
    </row>
    <row r="235" spans="1:20">
      <c r="A235" s="3" t="s">
        <v>2103</v>
      </c>
      <c r="B235" s="1" t="s">
        <v>2104</v>
      </c>
      <c r="C235" s="3" t="s">
        <v>2105</v>
      </c>
      <c r="D235" s="3" t="s">
        <v>2106</v>
      </c>
      <c r="E235" s="3" t="s">
        <v>2107</v>
      </c>
      <c r="F235" s="3" t="s">
        <v>2108</v>
      </c>
      <c r="G235" s="3" t="s">
        <v>2109</v>
      </c>
      <c r="H235" s="11" t="s">
        <v>8168</v>
      </c>
      <c r="I235" s="3" t="s">
        <v>5330</v>
      </c>
      <c r="J235" s="7">
        <v>0.51</v>
      </c>
      <c r="K235" s="1" t="s">
        <v>5331</v>
      </c>
      <c r="L235" s="2">
        <v>0.48899999999999999</v>
      </c>
      <c r="M235" s="2">
        <f>72510/100000</f>
        <v>0.72509999999999997</v>
      </c>
      <c r="N235" s="2">
        <v>0.82137769999999999</v>
      </c>
      <c r="O235" s="3" t="s">
        <v>5332</v>
      </c>
      <c r="P235" s="7">
        <v>0.97</v>
      </c>
      <c r="Q235" s="1" t="s">
        <v>5333</v>
      </c>
      <c r="R235" s="2">
        <v>0.95199999999999996</v>
      </c>
      <c r="S235" s="2">
        <f>100000/100000</f>
        <v>1</v>
      </c>
      <c r="T235" s="2">
        <v>0.82929589999999997</v>
      </c>
    </row>
    <row r="236" spans="1:20">
      <c r="A236" s="3" t="s">
        <v>2114</v>
      </c>
      <c r="B236" s="1" t="s">
        <v>2115</v>
      </c>
      <c r="C236" s="3" t="s">
        <v>2116</v>
      </c>
      <c r="D236" s="3" t="s">
        <v>2117</v>
      </c>
      <c r="E236" s="3" t="s">
        <v>2118</v>
      </c>
      <c r="F236" s="3" t="s">
        <v>2119</v>
      </c>
      <c r="G236" s="3" t="s">
        <v>2120</v>
      </c>
      <c r="H236" s="11" t="s">
        <v>8169</v>
      </c>
      <c r="I236" s="3" t="s">
        <v>5334</v>
      </c>
      <c r="J236" s="7">
        <v>1.33</v>
      </c>
      <c r="K236" s="1" t="s">
        <v>5335</v>
      </c>
      <c r="L236" s="2">
        <v>0.40200000000000002</v>
      </c>
      <c r="M236" s="2">
        <f>43163/100000</f>
        <v>0.43163000000000001</v>
      </c>
      <c r="N236" s="2">
        <v>0.68614220000000004</v>
      </c>
      <c r="O236" s="3" t="s">
        <v>5336</v>
      </c>
      <c r="P236" s="7">
        <v>0.83</v>
      </c>
      <c r="Q236" s="1" t="s">
        <v>5337</v>
      </c>
      <c r="R236" s="2">
        <v>0.65300000000000002</v>
      </c>
      <c r="S236" s="2">
        <f>71187/100000</f>
        <v>0.71187</v>
      </c>
      <c r="T236" s="2">
        <v>0.82137769999999999</v>
      </c>
    </row>
    <row r="237" spans="1:20">
      <c r="A237" s="3" t="s">
        <v>2125</v>
      </c>
      <c r="B237" s="1" t="s">
        <v>2115</v>
      </c>
      <c r="C237" s="3" t="s">
        <v>2116</v>
      </c>
      <c r="D237" s="3" t="s">
        <v>2126</v>
      </c>
      <c r="E237" s="3" t="s">
        <v>2127</v>
      </c>
      <c r="F237" s="3" t="s">
        <v>2119</v>
      </c>
      <c r="G237" s="3" t="s">
        <v>2120</v>
      </c>
      <c r="H237" s="11" t="s">
        <v>8169</v>
      </c>
      <c r="I237" s="3" t="s">
        <v>5338</v>
      </c>
      <c r="J237" s="7">
        <v>1.64</v>
      </c>
      <c r="K237" s="1" t="s">
        <v>5339</v>
      </c>
      <c r="L237" s="2">
        <v>0.16900000000000001</v>
      </c>
      <c r="M237" s="2">
        <f>16721/100000</f>
        <v>0.16721</v>
      </c>
      <c r="N237" s="2">
        <v>0.45324789999999998</v>
      </c>
      <c r="O237" s="3" t="s">
        <v>5340</v>
      </c>
      <c r="P237" s="7">
        <v>0.54</v>
      </c>
      <c r="Q237" s="1" t="s">
        <v>5341</v>
      </c>
      <c r="R237" s="2">
        <v>0.28999999999999998</v>
      </c>
      <c r="S237" s="2">
        <f>38026/100000</f>
        <v>0.38025999999999999</v>
      </c>
      <c r="T237" s="2">
        <v>0.65084330000000001</v>
      </c>
    </row>
    <row r="238" spans="1:20">
      <c r="A238" s="3" t="s">
        <v>2132</v>
      </c>
      <c r="B238" s="1" t="s">
        <v>2133</v>
      </c>
      <c r="C238" s="3" t="s">
        <v>2134</v>
      </c>
      <c r="D238" s="3" t="s">
        <v>2135</v>
      </c>
      <c r="E238" s="3" t="s">
        <v>2136</v>
      </c>
      <c r="F238" s="3" t="s">
        <v>2137</v>
      </c>
      <c r="G238" s="3" t="s">
        <v>2138</v>
      </c>
      <c r="H238" s="11" t="s">
        <v>8087</v>
      </c>
      <c r="I238" s="3" t="s">
        <v>5342</v>
      </c>
      <c r="J238" s="7">
        <v>1.42</v>
      </c>
      <c r="K238" s="1" t="s">
        <v>5343</v>
      </c>
      <c r="L238" s="2">
        <v>0.27900000000000003</v>
      </c>
      <c r="M238" s="2">
        <f>33734/100000</f>
        <v>0.33733999999999997</v>
      </c>
      <c r="N238" s="2">
        <v>0.61526179999999997</v>
      </c>
      <c r="O238" s="3" t="s">
        <v>5344</v>
      </c>
      <c r="P238" s="7">
        <v>0.65</v>
      </c>
      <c r="Q238" s="1" t="s">
        <v>5345</v>
      </c>
      <c r="R238" s="2">
        <v>0.34799999999999998</v>
      </c>
      <c r="S238" s="2">
        <f>36734/100000</f>
        <v>0.36734</v>
      </c>
      <c r="T238" s="2">
        <v>0.64231249999999995</v>
      </c>
    </row>
    <row r="239" spans="1:20">
      <c r="A239" s="3" t="s">
        <v>2143</v>
      </c>
      <c r="B239" s="1" t="s">
        <v>2144</v>
      </c>
      <c r="C239" s="3" t="s">
        <v>2145</v>
      </c>
      <c r="D239" s="3" t="s">
        <v>2146</v>
      </c>
      <c r="E239" s="3" t="s">
        <v>2147</v>
      </c>
      <c r="F239" s="3" t="s">
        <v>2148</v>
      </c>
      <c r="G239" s="3" t="s">
        <v>2149</v>
      </c>
      <c r="H239" s="11" t="s">
        <v>8170</v>
      </c>
      <c r="I239" s="3" t="s">
        <v>5346</v>
      </c>
      <c r="J239" s="7">
        <v>1.51</v>
      </c>
      <c r="K239" s="1" t="s">
        <v>5347</v>
      </c>
      <c r="L239" s="2">
        <v>0.36099999999999999</v>
      </c>
      <c r="M239" s="2">
        <f>38944/100000</f>
        <v>0.38944000000000001</v>
      </c>
      <c r="N239" s="2">
        <v>0.65449380000000001</v>
      </c>
      <c r="O239" s="3" t="s">
        <v>5348</v>
      </c>
      <c r="P239" s="7">
        <v>0.98</v>
      </c>
      <c r="Q239" s="1" t="s">
        <v>5349</v>
      </c>
      <c r="R239" s="2">
        <v>0.96499999999999997</v>
      </c>
      <c r="S239" s="2">
        <f>100000/100000</f>
        <v>1</v>
      </c>
      <c r="T239" s="2">
        <v>0.82929589999999997</v>
      </c>
    </row>
    <row r="240" spans="1:20">
      <c r="A240" s="3" t="s">
        <v>2154</v>
      </c>
      <c r="B240" s="1" t="s">
        <v>2155</v>
      </c>
      <c r="C240" s="3" t="s">
        <v>2156</v>
      </c>
      <c r="D240" s="3" t="s">
        <v>2157</v>
      </c>
      <c r="E240" s="3" t="s">
        <v>2158</v>
      </c>
      <c r="F240" s="3" t="s">
        <v>2159</v>
      </c>
      <c r="G240" s="3" t="s">
        <v>2160</v>
      </c>
      <c r="H240" s="11" t="s">
        <v>8171</v>
      </c>
      <c r="I240" s="3" t="s">
        <v>5350</v>
      </c>
      <c r="J240" s="7">
        <v>0.92</v>
      </c>
      <c r="K240" s="1" t="s">
        <v>5351</v>
      </c>
      <c r="L240" s="2">
        <v>0.78100000000000003</v>
      </c>
      <c r="M240" s="2">
        <f>88609/100000</f>
        <v>0.88609000000000004</v>
      </c>
      <c r="N240" s="2">
        <v>0.82929589999999997</v>
      </c>
      <c r="O240" s="3" t="s">
        <v>5352</v>
      </c>
      <c r="P240" s="7">
        <v>0.77</v>
      </c>
      <c r="Q240" s="1" t="s">
        <v>5353</v>
      </c>
      <c r="R240" s="2">
        <v>0.44600000000000001</v>
      </c>
      <c r="S240" s="2">
        <f>46115/100000</f>
        <v>0.46115</v>
      </c>
      <c r="T240" s="2">
        <v>0.70495379999999996</v>
      </c>
    </row>
    <row r="241" spans="1:20">
      <c r="A241" s="3" t="s">
        <v>2165</v>
      </c>
      <c r="B241" s="1" t="s">
        <v>2166</v>
      </c>
      <c r="C241" s="3" t="s">
        <v>2167</v>
      </c>
      <c r="D241" s="3" t="s">
        <v>2168</v>
      </c>
      <c r="E241" s="3" t="s">
        <v>2169</v>
      </c>
      <c r="F241" s="3" t="s">
        <v>2170</v>
      </c>
      <c r="G241" s="3" t="s">
        <v>2171</v>
      </c>
      <c r="H241" s="11" t="s">
        <v>8172</v>
      </c>
      <c r="I241" s="3" t="s">
        <v>5354</v>
      </c>
      <c r="J241" s="7">
        <v>1.26</v>
      </c>
      <c r="K241" s="1" t="s">
        <v>5355</v>
      </c>
      <c r="L241" s="2">
        <v>0.55100000000000005</v>
      </c>
      <c r="M241" s="2">
        <f>66349/100000</f>
        <v>0.66349000000000002</v>
      </c>
      <c r="N241" s="2">
        <v>0.80511429999999995</v>
      </c>
      <c r="O241" s="3" t="s">
        <v>5356</v>
      </c>
      <c r="P241" s="7">
        <v>0.77</v>
      </c>
      <c r="Q241" s="1" t="s">
        <v>5357</v>
      </c>
      <c r="R241" s="2">
        <v>0.56799999999999995</v>
      </c>
      <c r="S241" s="2">
        <f>68869/100000</f>
        <v>0.68869000000000002</v>
      </c>
      <c r="T241" s="2">
        <v>0.81339530000000004</v>
      </c>
    </row>
    <row r="242" spans="1:20">
      <c r="A242" s="3" t="s">
        <v>2176</v>
      </c>
      <c r="B242" s="1" t="s">
        <v>2166</v>
      </c>
      <c r="C242" s="3" t="s">
        <v>2167</v>
      </c>
      <c r="D242" s="3" t="s">
        <v>2177</v>
      </c>
      <c r="E242" s="3" t="s">
        <v>2178</v>
      </c>
      <c r="F242" s="3" t="s">
        <v>2179</v>
      </c>
      <c r="G242" s="3" t="s">
        <v>2180</v>
      </c>
      <c r="H242" s="11" t="s">
        <v>8173</v>
      </c>
      <c r="I242" s="3" t="s">
        <v>5358</v>
      </c>
      <c r="J242" s="7">
        <v>1.38</v>
      </c>
      <c r="K242" s="1" t="s">
        <v>5359</v>
      </c>
      <c r="L242" s="2">
        <v>0.20599999999999999</v>
      </c>
      <c r="M242" s="2">
        <f>25097/100000</f>
        <v>0.25097000000000003</v>
      </c>
      <c r="N242" s="2">
        <v>0.55316949999999998</v>
      </c>
      <c r="O242" s="3" t="s">
        <v>5360</v>
      </c>
      <c r="P242" s="7">
        <v>0.8</v>
      </c>
      <c r="Q242" s="1" t="s">
        <v>5361</v>
      </c>
      <c r="R242" s="2">
        <v>0.50800000000000001</v>
      </c>
      <c r="S242" s="2">
        <f>55605/100000</f>
        <v>0.55605000000000004</v>
      </c>
      <c r="T242" s="2">
        <v>0.75690880000000005</v>
      </c>
    </row>
    <row r="243" spans="1:20">
      <c r="A243" s="3" t="s">
        <v>2185</v>
      </c>
      <c r="B243" s="1" t="s">
        <v>2186</v>
      </c>
      <c r="C243" s="3" t="s">
        <v>2187</v>
      </c>
      <c r="D243" s="3" t="s">
        <v>2188</v>
      </c>
      <c r="E243" s="3" t="s">
        <v>2189</v>
      </c>
      <c r="F243" s="3" t="s">
        <v>2190</v>
      </c>
      <c r="G243" s="3" t="s">
        <v>2191</v>
      </c>
      <c r="H243" s="11" t="s">
        <v>8051</v>
      </c>
      <c r="I243" s="3" t="s">
        <v>5362</v>
      </c>
      <c r="J243" s="7">
        <v>1.17</v>
      </c>
      <c r="K243" s="1" t="s">
        <v>5363</v>
      </c>
      <c r="L243" s="2">
        <v>0.51100000000000001</v>
      </c>
      <c r="M243" s="2">
        <f>51022/100000</f>
        <v>0.51022000000000001</v>
      </c>
      <c r="N243" s="2">
        <v>0.74123870000000003</v>
      </c>
      <c r="O243" s="3" t="s">
        <v>5364</v>
      </c>
      <c r="P243" s="7">
        <v>1.43</v>
      </c>
      <c r="Q243" s="1" t="s">
        <v>5365</v>
      </c>
      <c r="R243" s="2">
        <v>0.124</v>
      </c>
      <c r="S243" s="2">
        <f>13317/100000</f>
        <v>0.13317000000000001</v>
      </c>
      <c r="T243" s="2">
        <v>0.40098479999999997</v>
      </c>
    </row>
    <row r="244" spans="1:20">
      <c r="A244" s="3" t="s">
        <v>2195</v>
      </c>
      <c r="B244" s="1" t="s">
        <v>2186</v>
      </c>
      <c r="C244" s="3" t="s">
        <v>2187</v>
      </c>
      <c r="D244" s="3" t="s">
        <v>2196</v>
      </c>
      <c r="E244" s="3" t="s">
        <v>2197</v>
      </c>
      <c r="F244" s="3" t="s">
        <v>2198</v>
      </c>
      <c r="G244" s="3" t="s">
        <v>2199</v>
      </c>
      <c r="H244" s="11" t="s">
        <v>8051</v>
      </c>
      <c r="I244" s="3" t="s">
        <v>5366</v>
      </c>
      <c r="J244" s="7">
        <v>1.37</v>
      </c>
      <c r="K244" s="1" t="s">
        <v>5367</v>
      </c>
      <c r="L244" s="2">
        <v>0.151</v>
      </c>
      <c r="M244" s="2">
        <f>16520/100000</f>
        <v>0.16520000000000001</v>
      </c>
      <c r="N244" s="2">
        <v>0.45067819999999997</v>
      </c>
      <c r="O244" s="3" t="s">
        <v>5368</v>
      </c>
      <c r="P244" s="7">
        <v>1.01</v>
      </c>
      <c r="Q244" s="1" t="s">
        <v>5369</v>
      </c>
      <c r="R244" s="2">
        <v>0.95499999999999996</v>
      </c>
      <c r="S244" s="2">
        <f>100000/100000</f>
        <v>1</v>
      </c>
      <c r="T244" s="2">
        <v>0.82929589999999997</v>
      </c>
    </row>
    <row r="245" spans="1:20">
      <c r="A245" s="3" t="s">
        <v>2204</v>
      </c>
      <c r="B245" s="1" t="s">
        <v>2186</v>
      </c>
      <c r="C245" s="3" t="s">
        <v>2187</v>
      </c>
      <c r="D245" s="3" t="s">
        <v>2205</v>
      </c>
      <c r="E245" s="3" t="s">
        <v>2206</v>
      </c>
      <c r="F245" s="3" t="s">
        <v>2207</v>
      </c>
      <c r="G245" s="3" t="s">
        <v>2208</v>
      </c>
      <c r="H245" s="11" t="s">
        <v>8051</v>
      </c>
      <c r="I245" s="3" t="s">
        <v>5370</v>
      </c>
      <c r="J245" s="7">
        <v>1.4</v>
      </c>
      <c r="K245" s="1" t="s">
        <v>5371</v>
      </c>
      <c r="L245" s="2">
        <v>0.17100000000000001</v>
      </c>
      <c r="M245" s="2">
        <f>19919/100000</f>
        <v>0.19919000000000001</v>
      </c>
      <c r="N245" s="2">
        <v>0.48870029999999998</v>
      </c>
      <c r="O245" s="3" t="s">
        <v>5372</v>
      </c>
      <c r="P245" s="7">
        <v>1.07</v>
      </c>
      <c r="Q245" s="1" t="s">
        <v>1982</v>
      </c>
      <c r="R245" s="2">
        <v>0.80400000000000005</v>
      </c>
      <c r="S245" s="2">
        <f>89348/100000</f>
        <v>0.89348000000000005</v>
      </c>
      <c r="T245" s="2">
        <v>0.82929589999999997</v>
      </c>
    </row>
    <row r="246" spans="1:20">
      <c r="A246" s="3" t="s">
        <v>2213</v>
      </c>
      <c r="B246" s="1" t="s">
        <v>2186</v>
      </c>
      <c r="C246" s="3" t="s">
        <v>2187</v>
      </c>
      <c r="D246" s="3" t="s">
        <v>2214</v>
      </c>
      <c r="E246" s="3" t="s">
        <v>2215</v>
      </c>
      <c r="F246" s="3" t="s">
        <v>2216</v>
      </c>
      <c r="G246" s="3" t="s">
        <v>2217</v>
      </c>
      <c r="H246" s="11" t="s">
        <v>8051</v>
      </c>
      <c r="I246" s="3" t="s">
        <v>5373</v>
      </c>
      <c r="J246" s="7">
        <v>1.55</v>
      </c>
      <c r="K246" s="1" t="s">
        <v>5374</v>
      </c>
      <c r="L246" s="2">
        <v>7.0499999999999993E-2</v>
      </c>
      <c r="M246" s="2">
        <f>7333/100000</f>
        <v>7.3330000000000006E-2</v>
      </c>
      <c r="N246" s="2">
        <v>0.3045271</v>
      </c>
      <c r="O246" s="3" t="s">
        <v>5375</v>
      </c>
      <c r="P246" s="7">
        <v>1.36</v>
      </c>
      <c r="Q246" s="1" t="s">
        <v>5376</v>
      </c>
      <c r="R246" s="2">
        <v>0.19700000000000001</v>
      </c>
      <c r="S246" s="2">
        <f>21811/100000</f>
        <v>0.21811</v>
      </c>
      <c r="T246" s="2">
        <v>0.5106889</v>
      </c>
    </row>
    <row r="247" spans="1:20">
      <c r="A247" s="3" t="s">
        <v>2222</v>
      </c>
      <c r="B247" s="1" t="s">
        <v>2186</v>
      </c>
      <c r="C247" s="3" t="s">
        <v>2187</v>
      </c>
      <c r="D247" s="3" t="s">
        <v>2223</v>
      </c>
      <c r="E247" s="3" t="s">
        <v>2224</v>
      </c>
      <c r="F247" s="3" t="s">
        <v>2225</v>
      </c>
      <c r="G247" s="3" t="s">
        <v>2226</v>
      </c>
      <c r="H247" s="11" t="s">
        <v>8051</v>
      </c>
      <c r="I247" s="3" t="s">
        <v>5377</v>
      </c>
      <c r="J247" s="7">
        <v>1.29</v>
      </c>
      <c r="K247" s="1" t="s">
        <v>5378</v>
      </c>
      <c r="L247" s="2">
        <v>0.33300000000000002</v>
      </c>
      <c r="M247" s="2">
        <f>36615/100000</f>
        <v>0.36614999999999998</v>
      </c>
      <c r="N247" s="2">
        <v>0.64231249999999995</v>
      </c>
      <c r="O247" s="3" t="s">
        <v>5379</v>
      </c>
      <c r="P247" s="7">
        <v>0.85</v>
      </c>
      <c r="Q247" s="1" t="s">
        <v>5380</v>
      </c>
      <c r="R247" s="2">
        <v>0.59199999999999997</v>
      </c>
      <c r="S247" s="2">
        <f>66602/100000</f>
        <v>0.66601999999999995</v>
      </c>
      <c r="T247" s="2">
        <v>0.80511429999999995</v>
      </c>
    </row>
    <row r="248" spans="1:20">
      <c r="A248" s="3" t="s">
        <v>2231</v>
      </c>
      <c r="B248" s="1" t="s">
        <v>2186</v>
      </c>
      <c r="C248" s="3" t="s">
        <v>2187</v>
      </c>
      <c r="D248" s="3" t="s">
        <v>2232</v>
      </c>
      <c r="E248" s="3" t="s">
        <v>2233</v>
      </c>
      <c r="F248" s="3" t="s">
        <v>2234</v>
      </c>
      <c r="G248" s="3" t="s">
        <v>2235</v>
      </c>
      <c r="H248" s="11" t="s">
        <v>8051</v>
      </c>
      <c r="I248" s="3" t="s">
        <v>5381</v>
      </c>
      <c r="J248" s="7">
        <v>1.43</v>
      </c>
      <c r="K248" s="1" t="s">
        <v>5382</v>
      </c>
      <c r="L248" s="2">
        <v>0.154</v>
      </c>
      <c r="M248" s="2">
        <f>18017/100000</f>
        <v>0.18017</v>
      </c>
      <c r="N248" s="2">
        <v>0.46871200000000002</v>
      </c>
      <c r="O248" s="3" t="s">
        <v>5383</v>
      </c>
      <c r="P248" s="7">
        <v>1.1000000000000001</v>
      </c>
      <c r="Q248" s="1" t="s">
        <v>5384</v>
      </c>
      <c r="R248" s="2">
        <v>0.73199999999999998</v>
      </c>
      <c r="S248" s="2">
        <f>77392/100000</f>
        <v>0.77392000000000005</v>
      </c>
      <c r="T248" s="2">
        <v>0.82929589999999997</v>
      </c>
    </row>
    <row r="249" spans="1:20">
      <c r="A249" s="3" t="s">
        <v>2240</v>
      </c>
      <c r="B249" s="1" t="s">
        <v>2186</v>
      </c>
      <c r="C249" s="3" t="s">
        <v>2187</v>
      </c>
      <c r="D249" s="3" t="s">
        <v>2241</v>
      </c>
      <c r="E249" s="3" t="s">
        <v>2242</v>
      </c>
      <c r="F249" s="3" t="s">
        <v>2243</v>
      </c>
      <c r="G249" s="3" t="s">
        <v>2244</v>
      </c>
      <c r="H249" s="11" t="s">
        <v>8051</v>
      </c>
      <c r="I249" s="3" t="s">
        <v>5385</v>
      </c>
      <c r="J249" s="7">
        <v>1.91</v>
      </c>
      <c r="K249" s="1" t="s">
        <v>5386</v>
      </c>
      <c r="L249" s="2">
        <v>1.48E-3</v>
      </c>
      <c r="M249" s="2">
        <f>271/100000</f>
        <v>2.7100000000000002E-3</v>
      </c>
      <c r="N249" s="2">
        <v>3.3613160000000003E-2</v>
      </c>
      <c r="O249" s="3" t="s">
        <v>5387</v>
      </c>
      <c r="P249" s="7">
        <v>0.89</v>
      </c>
      <c r="Q249" s="1" t="s">
        <v>5388</v>
      </c>
      <c r="R249" s="2">
        <v>0.67200000000000004</v>
      </c>
      <c r="S249" s="2">
        <f>69898/100000</f>
        <v>0.69898000000000005</v>
      </c>
      <c r="T249" s="2">
        <v>0.81762299999999999</v>
      </c>
    </row>
    <row r="250" spans="1:20">
      <c r="A250" s="3" t="s">
        <v>2249</v>
      </c>
      <c r="B250" s="1" t="s">
        <v>2250</v>
      </c>
      <c r="C250" s="3" t="s">
        <v>2251</v>
      </c>
      <c r="D250" s="3" t="s">
        <v>2252</v>
      </c>
      <c r="E250" s="3" t="s">
        <v>2253</v>
      </c>
      <c r="F250" s="3" t="s">
        <v>2254</v>
      </c>
      <c r="G250" s="3" t="s">
        <v>2255</v>
      </c>
      <c r="H250" s="11" t="s">
        <v>8174</v>
      </c>
      <c r="I250" s="3" t="s">
        <v>5389</v>
      </c>
      <c r="J250" s="7">
        <v>0.34</v>
      </c>
      <c r="K250" s="1" t="s">
        <v>5390</v>
      </c>
      <c r="L250" s="2">
        <v>0.11</v>
      </c>
      <c r="M250" s="2">
        <f>13488/100000</f>
        <v>0.13488</v>
      </c>
      <c r="N250" s="2">
        <v>0.40163670000000001</v>
      </c>
      <c r="O250" s="3" t="s">
        <v>5391</v>
      </c>
      <c r="P250" s="7">
        <v>1.17</v>
      </c>
      <c r="Q250" s="1" t="s">
        <v>5392</v>
      </c>
      <c r="R250" s="2">
        <v>0.75600000000000001</v>
      </c>
      <c r="S250" s="2">
        <f>77914/100000</f>
        <v>0.77914000000000005</v>
      </c>
      <c r="T250" s="2">
        <v>0.82929589999999997</v>
      </c>
    </row>
    <row r="251" spans="1:20">
      <c r="A251" s="3" t="s">
        <v>2259</v>
      </c>
      <c r="B251" s="1" t="s">
        <v>2250</v>
      </c>
      <c r="C251" s="3" t="s">
        <v>2251</v>
      </c>
      <c r="D251" s="3" t="s">
        <v>2260</v>
      </c>
      <c r="E251" s="3" t="s">
        <v>2261</v>
      </c>
      <c r="F251" s="3" t="s">
        <v>2262</v>
      </c>
      <c r="G251" s="3" t="s">
        <v>2263</v>
      </c>
      <c r="H251" s="11" t="s">
        <v>8174</v>
      </c>
      <c r="I251" s="3" t="s">
        <v>5393</v>
      </c>
      <c r="J251" s="7">
        <v>0.63</v>
      </c>
      <c r="K251" s="1" t="s">
        <v>5394</v>
      </c>
      <c r="L251" s="2">
        <v>0.20399999999999999</v>
      </c>
      <c r="M251" s="2">
        <f>24088/100000</f>
        <v>0.24088000000000001</v>
      </c>
      <c r="N251" s="2">
        <v>0.54088069999999999</v>
      </c>
      <c r="O251" s="3" t="s">
        <v>5395</v>
      </c>
      <c r="P251" s="7">
        <v>0.87</v>
      </c>
      <c r="Q251" s="1" t="s">
        <v>5396</v>
      </c>
      <c r="R251" s="2">
        <v>0.64300000000000002</v>
      </c>
      <c r="S251" s="2">
        <f>66972/100000</f>
        <v>0.66971999999999998</v>
      </c>
      <c r="T251" s="2">
        <v>0.80511429999999995</v>
      </c>
    </row>
    <row r="252" spans="1:20">
      <c r="A252" s="3" t="s">
        <v>2268</v>
      </c>
      <c r="B252" s="1" t="s">
        <v>2250</v>
      </c>
      <c r="C252" s="3" t="s">
        <v>2251</v>
      </c>
      <c r="D252" s="3" t="s">
        <v>2269</v>
      </c>
      <c r="E252" s="3" t="s">
        <v>2270</v>
      </c>
      <c r="F252" s="3" t="s">
        <v>2271</v>
      </c>
      <c r="G252" s="3" t="s">
        <v>2272</v>
      </c>
      <c r="H252" s="11" t="s">
        <v>8174</v>
      </c>
      <c r="I252" s="3" t="s">
        <v>5397</v>
      </c>
      <c r="J252" s="7">
        <v>1.01</v>
      </c>
      <c r="K252" s="1" t="s">
        <v>5398</v>
      </c>
      <c r="L252" s="2">
        <v>0.98599999999999999</v>
      </c>
      <c r="M252" s="2">
        <f>100000/100000</f>
        <v>1</v>
      </c>
      <c r="N252" s="2">
        <v>0.82929589999999997</v>
      </c>
      <c r="O252" s="3" t="s">
        <v>5399</v>
      </c>
      <c r="P252" s="7">
        <v>0.51</v>
      </c>
      <c r="Q252" s="1" t="s">
        <v>5400</v>
      </c>
      <c r="R252" s="2">
        <v>9.8100000000000007E-2</v>
      </c>
      <c r="S252" s="2">
        <f>12544/100000</f>
        <v>0.12544</v>
      </c>
      <c r="T252" s="2">
        <v>0.39282440000000002</v>
      </c>
    </row>
    <row r="253" spans="1:20">
      <c r="A253" s="3" t="s">
        <v>2277</v>
      </c>
      <c r="B253" s="1" t="s">
        <v>2278</v>
      </c>
      <c r="C253" s="3" t="s">
        <v>2279</v>
      </c>
      <c r="D253" s="3" t="s">
        <v>2280</v>
      </c>
      <c r="E253" s="3" t="s">
        <v>2281</v>
      </c>
      <c r="F253" s="3" t="s">
        <v>2282</v>
      </c>
      <c r="G253" s="3" t="s">
        <v>2283</v>
      </c>
      <c r="H253" s="11" t="s">
        <v>8175</v>
      </c>
      <c r="I253" s="3" t="s">
        <v>5401</v>
      </c>
      <c r="J253" s="7">
        <v>0.94</v>
      </c>
      <c r="K253" s="1" t="s">
        <v>5402</v>
      </c>
      <c r="L253" s="2">
        <v>0.92100000000000004</v>
      </c>
      <c r="M253" s="2">
        <f>100000/100000</f>
        <v>1</v>
      </c>
      <c r="N253" s="2">
        <v>0.82929589999999997</v>
      </c>
      <c r="O253" s="3" t="s">
        <v>5403</v>
      </c>
      <c r="P253" s="7">
        <v>0.55000000000000004</v>
      </c>
      <c r="Q253" s="1" t="s">
        <v>5404</v>
      </c>
      <c r="R253" s="2">
        <v>0.39900000000000002</v>
      </c>
      <c r="S253" s="2">
        <f>45459/100000</f>
        <v>0.45458999999999999</v>
      </c>
      <c r="T253" s="2">
        <v>0.70036719999999997</v>
      </c>
    </row>
    <row r="254" spans="1:20">
      <c r="A254" s="3" t="s">
        <v>2288</v>
      </c>
      <c r="B254" s="1" t="s">
        <v>2289</v>
      </c>
      <c r="C254" s="3" t="s">
        <v>2290</v>
      </c>
      <c r="D254" s="3" t="s">
        <v>2291</v>
      </c>
      <c r="E254" s="3" t="s">
        <v>2292</v>
      </c>
      <c r="F254" s="3" t="s">
        <v>2293</v>
      </c>
      <c r="G254" s="3" t="s">
        <v>2294</v>
      </c>
      <c r="H254" s="11" t="s">
        <v>8176</v>
      </c>
      <c r="I254" s="3" t="s">
        <v>5405</v>
      </c>
      <c r="J254" s="7">
        <v>1.96</v>
      </c>
      <c r="K254" s="1" t="s">
        <v>5406</v>
      </c>
      <c r="L254" s="2">
        <v>0.1</v>
      </c>
      <c r="M254" s="2">
        <f>13713/100000</f>
        <v>0.13713</v>
      </c>
      <c r="N254" s="2">
        <v>0.40477269999999999</v>
      </c>
      <c r="O254" s="3" t="s">
        <v>5407</v>
      </c>
      <c r="P254" s="7">
        <v>1.58</v>
      </c>
      <c r="Q254" s="1" t="s">
        <v>5408</v>
      </c>
      <c r="R254" s="2">
        <v>0.36399999999999999</v>
      </c>
      <c r="S254" s="2">
        <f>52622/100000</f>
        <v>0.52622000000000002</v>
      </c>
      <c r="T254" s="2">
        <v>0.74478149999999999</v>
      </c>
    </row>
    <row r="255" spans="1:20">
      <c r="A255" s="3" t="s">
        <v>2298</v>
      </c>
      <c r="B255" s="1" t="s">
        <v>2299</v>
      </c>
      <c r="C255" s="3" t="s">
        <v>2300</v>
      </c>
      <c r="D255" s="3" t="s">
        <v>2301</v>
      </c>
      <c r="E255" s="3" t="s">
        <v>2302</v>
      </c>
      <c r="F255" s="3" t="s">
        <v>2303</v>
      </c>
      <c r="G255" s="3" t="s">
        <v>2304</v>
      </c>
      <c r="H255" s="11" t="s">
        <v>8114</v>
      </c>
      <c r="I255" s="3" t="s">
        <v>5409</v>
      </c>
      <c r="J255" s="7">
        <v>0.7</v>
      </c>
      <c r="K255" s="1" t="s">
        <v>5410</v>
      </c>
      <c r="L255" s="2">
        <v>3.6999999999999998E-2</v>
      </c>
      <c r="M255" s="2">
        <f>4225/100000</f>
        <v>4.2250000000000003E-2</v>
      </c>
      <c r="N255" s="2">
        <v>0.2194045</v>
      </c>
      <c r="O255" s="3" t="s">
        <v>5411</v>
      </c>
      <c r="P255" s="7">
        <v>1.57</v>
      </c>
      <c r="Q255" s="1" t="s">
        <v>5412</v>
      </c>
      <c r="R255" s="2">
        <v>8.6200000000000003E-4</v>
      </c>
      <c r="S255" s="2">
        <f>98/100000</f>
        <v>9.7999999999999997E-4</v>
      </c>
      <c r="T255" s="2">
        <v>1.6129170000000002E-2</v>
      </c>
    </row>
    <row r="256" spans="1:20">
      <c r="A256" s="3" t="s">
        <v>2309</v>
      </c>
      <c r="B256" s="1" t="s">
        <v>2310</v>
      </c>
      <c r="C256" s="3" t="s">
        <v>2311</v>
      </c>
      <c r="D256" s="3" t="s">
        <v>2312</v>
      </c>
      <c r="E256" s="3" t="s">
        <v>2313</v>
      </c>
      <c r="F256" s="3" t="s">
        <v>2314</v>
      </c>
      <c r="G256" s="3" t="s">
        <v>2315</v>
      </c>
      <c r="H256" s="11" t="s">
        <v>8177</v>
      </c>
      <c r="I256" s="3" t="s">
        <v>5413</v>
      </c>
      <c r="J256" s="7">
        <v>0.69</v>
      </c>
      <c r="K256" s="1" t="s">
        <v>5414</v>
      </c>
      <c r="L256" s="2">
        <v>0.45800000000000002</v>
      </c>
      <c r="M256" s="2">
        <f>53537/100000</f>
        <v>0.53537000000000001</v>
      </c>
      <c r="N256" s="2">
        <v>0.74478149999999999</v>
      </c>
      <c r="O256" s="3" t="s">
        <v>5415</v>
      </c>
      <c r="P256" s="7">
        <v>2.38</v>
      </c>
      <c r="Q256" s="1" t="s">
        <v>5416</v>
      </c>
      <c r="R256" s="2">
        <v>2.7899999999999999E-3</v>
      </c>
      <c r="S256" s="2">
        <f>715/100000</f>
        <v>7.1500000000000001E-3</v>
      </c>
      <c r="T256" s="2">
        <v>6.8530300000000002E-2</v>
      </c>
    </row>
    <row r="257" spans="1:20">
      <c r="A257" s="3" t="s">
        <v>2320</v>
      </c>
      <c r="B257" s="1" t="s">
        <v>2310</v>
      </c>
      <c r="C257" s="3" t="s">
        <v>2311</v>
      </c>
      <c r="D257" s="3" t="s">
        <v>2321</v>
      </c>
      <c r="E257" s="3" t="s">
        <v>2322</v>
      </c>
      <c r="F257" s="3" t="s">
        <v>2323</v>
      </c>
      <c r="G257" s="3" t="s">
        <v>2324</v>
      </c>
      <c r="H257" s="11" t="s">
        <v>8177</v>
      </c>
      <c r="I257" s="3" t="s">
        <v>5417</v>
      </c>
      <c r="J257" s="7">
        <v>1.26</v>
      </c>
      <c r="K257" s="1" t="s">
        <v>5418</v>
      </c>
      <c r="L257" s="2">
        <v>0.54900000000000004</v>
      </c>
      <c r="M257" s="2">
        <f>66664/100000</f>
        <v>0.66664000000000001</v>
      </c>
      <c r="N257" s="2">
        <v>0.80511429999999995</v>
      </c>
      <c r="O257" s="3" t="s">
        <v>5419</v>
      </c>
      <c r="P257" s="7">
        <v>2.0099999999999998</v>
      </c>
      <c r="Q257" s="1" t="s">
        <v>5420</v>
      </c>
      <c r="R257" s="2">
        <v>2.8899999999999999E-2</v>
      </c>
      <c r="S257" s="2">
        <f>4016/100000</f>
        <v>4.0160000000000001E-2</v>
      </c>
      <c r="T257" s="2">
        <v>0.21413370000000001</v>
      </c>
    </row>
    <row r="258" spans="1:20">
      <c r="A258" s="3" t="s">
        <v>2329</v>
      </c>
      <c r="B258" s="1" t="s">
        <v>2330</v>
      </c>
      <c r="C258" s="3" t="s">
        <v>2331</v>
      </c>
      <c r="D258" s="3" t="s">
        <v>2332</v>
      </c>
      <c r="E258" s="3" t="s">
        <v>2333</v>
      </c>
      <c r="F258" s="3" t="s">
        <v>2334</v>
      </c>
      <c r="G258" s="3" t="s">
        <v>2335</v>
      </c>
      <c r="H258" s="11" t="s">
        <v>8178</v>
      </c>
      <c r="I258" s="3" t="s">
        <v>5421</v>
      </c>
      <c r="J258" s="7">
        <v>0.65</v>
      </c>
      <c r="K258" s="1" t="s">
        <v>5422</v>
      </c>
      <c r="L258" s="2">
        <v>0.66400000000000003</v>
      </c>
      <c r="M258" s="2">
        <f>74362/100000</f>
        <v>0.74361999999999995</v>
      </c>
      <c r="N258" s="2">
        <v>0.82337070000000001</v>
      </c>
      <c r="O258" s="3" t="s">
        <v>5423</v>
      </c>
      <c r="P258" s="7">
        <v>2.21</v>
      </c>
      <c r="Q258" s="1" t="s">
        <v>5424</v>
      </c>
      <c r="R258" s="2">
        <v>0.16900000000000001</v>
      </c>
      <c r="S258" s="2">
        <f>16459/100000</f>
        <v>0.16458999999999999</v>
      </c>
      <c r="T258" s="2">
        <v>0.45067819999999997</v>
      </c>
    </row>
    <row r="259" spans="1:20">
      <c r="A259" s="3" t="s">
        <v>2340</v>
      </c>
      <c r="B259" s="1" t="s">
        <v>2330</v>
      </c>
      <c r="C259" s="3" t="s">
        <v>2331</v>
      </c>
      <c r="D259" s="3" t="s">
        <v>2341</v>
      </c>
      <c r="E259" s="3" t="s">
        <v>2342</v>
      </c>
      <c r="F259" s="3" t="s">
        <v>2334</v>
      </c>
      <c r="G259" s="3" t="s">
        <v>2335</v>
      </c>
      <c r="H259" s="11" t="s">
        <v>8150</v>
      </c>
      <c r="I259" s="3" t="s">
        <v>5425</v>
      </c>
      <c r="J259" s="7">
        <v>1.28</v>
      </c>
      <c r="K259" s="1" t="s">
        <v>5426</v>
      </c>
      <c r="L259" s="2">
        <v>0.80700000000000005</v>
      </c>
      <c r="M259" s="2">
        <f>100000/100000</f>
        <v>1</v>
      </c>
      <c r="N259" s="2">
        <v>0.82929589999999997</v>
      </c>
      <c r="O259" s="3" t="s">
        <v>5427</v>
      </c>
      <c r="P259" s="7">
        <v>2.76</v>
      </c>
      <c r="Q259" s="1" t="s">
        <v>5428</v>
      </c>
      <c r="R259" s="2">
        <v>0.14599999999999999</v>
      </c>
      <c r="S259" s="2">
        <f>17370/100000</f>
        <v>0.17369999999999999</v>
      </c>
      <c r="T259" s="2">
        <v>0.46294819999999998</v>
      </c>
    </row>
    <row r="260" spans="1:20">
      <c r="A260" s="3" t="s">
        <v>2347</v>
      </c>
      <c r="B260" s="1" t="s">
        <v>2330</v>
      </c>
      <c r="C260" s="3" t="s">
        <v>2331</v>
      </c>
      <c r="D260" s="3" t="s">
        <v>2332</v>
      </c>
      <c r="E260" s="3" t="s">
        <v>2333</v>
      </c>
      <c r="F260" s="3" t="s">
        <v>2341</v>
      </c>
      <c r="G260" s="3" t="s">
        <v>2342</v>
      </c>
      <c r="H260" s="11" t="s">
        <v>8178</v>
      </c>
      <c r="I260" s="3" t="s">
        <v>5429</v>
      </c>
      <c r="J260" s="7">
        <v>1.7</v>
      </c>
      <c r="K260" s="1" t="s">
        <v>5430</v>
      </c>
      <c r="L260" s="2">
        <v>0.36499999999999999</v>
      </c>
      <c r="M260" s="2">
        <f>43197/100000</f>
        <v>0.43197000000000002</v>
      </c>
      <c r="N260" s="2">
        <v>0.68614220000000004</v>
      </c>
      <c r="O260" s="3" t="s">
        <v>5431</v>
      </c>
      <c r="P260" s="7">
        <v>0.52</v>
      </c>
      <c r="Q260" s="1" t="s">
        <v>5432</v>
      </c>
      <c r="R260" s="2">
        <v>0.50700000000000001</v>
      </c>
      <c r="S260" s="2">
        <f>72585/100000</f>
        <v>0.72585</v>
      </c>
      <c r="T260" s="2">
        <v>0.82137769999999999</v>
      </c>
    </row>
    <row r="261" spans="1:20">
      <c r="A261" s="3" t="s">
        <v>2352</v>
      </c>
      <c r="B261" s="1" t="s">
        <v>2353</v>
      </c>
      <c r="C261" s="3" t="s">
        <v>2354</v>
      </c>
      <c r="D261" s="3" t="s">
        <v>2355</v>
      </c>
      <c r="E261" s="3" t="s">
        <v>2356</v>
      </c>
      <c r="F261" s="3" t="s">
        <v>2357</v>
      </c>
      <c r="G261" s="3" t="s">
        <v>2358</v>
      </c>
      <c r="H261" s="11" t="s">
        <v>8179</v>
      </c>
      <c r="I261" s="3" t="s">
        <v>5433</v>
      </c>
      <c r="J261" s="7">
        <v>0.2</v>
      </c>
      <c r="K261" s="1" t="s">
        <v>5434</v>
      </c>
      <c r="L261" s="2">
        <v>7.85E-2</v>
      </c>
      <c r="M261" s="2">
        <f>9858/100000</f>
        <v>9.8580000000000001E-2</v>
      </c>
      <c r="N261" s="2">
        <v>0.3565972</v>
      </c>
      <c r="O261" s="3" t="s">
        <v>5435</v>
      </c>
      <c r="P261" s="7">
        <v>1.44</v>
      </c>
      <c r="Q261" s="1" t="s">
        <v>5436</v>
      </c>
      <c r="R261" s="2">
        <v>0.34399999999999997</v>
      </c>
      <c r="S261" s="2">
        <f>35138/100000</f>
        <v>0.35138000000000003</v>
      </c>
      <c r="T261" s="2">
        <v>0.62669850000000005</v>
      </c>
    </row>
    <row r="262" spans="1:20">
      <c r="A262" s="3" t="s">
        <v>2363</v>
      </c>
      <c r="B262" s="1" t="s">
        <v>2364</v>
      </c>
      <c r="C262" s="3" t="s">
        <v>2365</v>
      </c>
      <c r="D262" s="3" t="s">
        <v>2366</v>
      </c>
      <c r="E262" s="3" t="s">
        <v>2367</v>
      </c>
      <c r="F262" s="3" t="s">
        <v>2368</v>
      </c>
      <c r="G262" s="3" t="s">
        <v>2369</v>
      </c>
      <c r="H262" s="11" t="s">
        <v>8180</v>
      </c>
      <c r="I262" s="3" t="s">
        <v>5437</v>
      </c>
      <c r="J262" s="7">
        <v>0.79</v>
      </c>
      <c r="K262" s="1" t="s">
        <v>5438</v>
      </c>
      <c r="L262" s="2">
        <v>0.60499999999999998</v>
      </c>
      <c r="M262" s="2">
        <f>69208/100000</f>
        <v>0.69208000000000003</v>
      </c>
      <c r="N262" s="2">
        <v>0.81405680000000002</v>
      </c>
      <c r="O262" s="3" t="s">
        <v>5251</v>
      </c>
      <c r="P262" s="7">
        <v>1</v>
      </c>
      <c r="Q262" s="1" t="s">
        <v>5252</v>
      </c>
      <c r="R262" s="2">
        <v>0.99199999999999999</v>
      </c>
      <c r="S262" s="2">
        <f>100000/100000</f>
        <v>1</v>
      </c>
      <c r="T262" s="2">
        <v>0.82929589999999997</v>
      </c>
    </row>
    <row r="263" spans="1:20">
      <c r="A263" s="3" t="s">
        <v>2374</v>
      </c>
      <c r="B263" s="1" t="s">
        <v>2375</v>
      </c>
      <c r="C263" s="3" t="s">
        <v>2376</v>
      </c>
      <c r="D263" s="3" t="s">
        <v>2377</v>
      </c>
      <c r="E263" s="3" t="s">
        <v>2378</v>
      </c>
      <c r="F263" s="3" t="s">
        <v>2379</v>
      </c>
      <c r="G263" s="3" t="s">
        <v>2380</v>
      </c>
      <c r="H263" s="11" t="s">
        <v>8181</v>
      </c>
      <c r="I263" s="3" t="s">
        <v>5439</v>
      </c>
      <c r="J263" s="7">
        <v>0.89</v>
      </c>
      <c r="K263" s="1" t="s">
        <v>5440</v>
      </c>
      <c r="L263" s="2">
        <v>0.61899999999999999</v>
      </c>
      <c r="M263" s="2">
        <f>66760/100000</f>
        <v>0.66759999999999997</v>
      </c>
      <c r="N263" s="2">
        <v>0.80511429999999995</v>
      </c>
      <c r="O263" s="3" t="s">
        <v>5441</v>
      </c>
      <c r="P263" s="7">
        <v>1.22</v>
      </c>
      <c r="Q263" s="1" t="s">
        <v>5442</v>
      </c>
      <c r="R263" s="2">
        <v>0.32800000000000001</v>
      </c>
      <c r="S263" s="2">
        <f>32900/100000</f>
        <v>0.32900000000000001</v>
      </c>
      <c r="T263" s="2">
        <v>0.61522759999999999</v>
      </c>
    </row>
    <row r="264" spans="1:20">
      <c r="A264" s="3" t="s">
        <v>2385</v>
      </c>
      <c r="B264" s="1" t="s">
        <v>2375</v>
      </c>
      <c r="C264" s="3" t="s">
        <v>2376</v>
      </c>
      <c r="D264" s="3" t="s">
        <v>2386</v>
      </c>
      <c r="E264" s="3" t="s">
        <v>2387</v>
      </c>
      <c r="F264" s="3" t="s">
        <v>2379</v>
      </c>
      <c r="G264" s="3" t="s">
        <v>2380</v>
      </c>
      <c r="H264" s="11" t="s">
        <v>8181</v>
      </c>
      <c r="I264" s="3" t="s">
        <v>5443</v>
      </c>
      <c r="J264" s="7">
        <v>1.03</v>
      </c>
      <c r="K264" s="1" t="s">
        <v>5444</v>
      </c>
      <c r="L264" s="2">
        <v>0.91400000000000003</v>
      </c>
      <c r="M264" s="2">
        <f>100000/100000</f>
        <v>1</v>
      </c>
      <c r="N264" s="2">
        <v>0.82929589999999997</v>
      </c>
      <c r="O264" s="3" t="s">
        <v>5445</v>
      </c>
      <c r="P264" s="7">
        <v>1.29</v>
      </c>
      <c r="Q264" s="1" t="s">
        <v>5446</v>
      </c>
      <c r="R264" s="2">
        <v>0.32200000000000001</v>
      </c>
      <c r="S264" s="2">
        <f>38187/100000</f>
        <v>0.38186999999999999</v>
      </c>
      <c r="T264" s="2">
        <v>0.65125169999999999</v>
      </c>
    </row>
    <row r="265" spans="1:20">
      <c r="A265" s="3" t="s">
        <v>2392</v>
      </c>
      <c r="B265" s="1" t="s">
        <v>2393</v>
      </c>
      <c r="C265" s="3" t="s">
        <v>2394</v>
      </c>
      <c r="D265" s="3" t="s">
        <v>2395</v>
      </c>
      <c r="E265" s="3" t="s">
        <v>2396</v>
      </c>
      <c r="F265" s="3" t="s">
        <v>2397</v>
      </c>
      <c r="G265" s="3" t="s">
        <v>2398</v>
      </c>
      <c r="H265" s="11" t="s">
        <v>8182</v>
      </c>
      <c r="I265" s="3" t="s">
        <v>5447</v>
      </c>
      <c r="J265" s="7">
        <v>0.57999999999999996</v>
      </c>
      <c r="K265" s="1" t="s">
        <v>5448</v>
      </c>
      <c r="L265" s="2">
        <v>0.188</v>
      </c>
      <c r="M265" s="2">
        <f>20063/100000</f>
        <v>0.20063</v>
      </c>
      <c r="N265" s="2">
        <v>0.48870029999999998</v>
      </c>
      <c r="O265" s="3" t="s">
        <v>5449</v>
      </c>
      <c r="P265" s="7">
        <v>1.05</v>
      </c>
      <c r="Q265" s="1" t="s">
        <v>5450</v>
      </c>
      <c r="R265" s="2">
        <v>0.89100000000000001</v>
      </c>
      <c r="S265" s="2">
        <f>100000/100000</f>
        <v>1</v>
      </c>
      <c r="T265" s="2">
        <v>0.82929589999999997</v>
      </c>
    </row>
    <row r="266" spans="1:20">
      <c r="A266" s="3" t="s">
        <v>2403</v>
      </c>
      <c r="B266" s="1" t="s">
        <v>2393</v>
      </c>
      <c r="C266" s="3" t="s">
        <v>2394</v>
      </c>
      <c r="D266" s="3" t="s">
        <v>2404</v>
      </c>
      <c r="E266" s="3" t="s">
        <v>2405</v>
      </c>
      <c r="F266" s="3" t="s">
        <v>2397</v>
      </c>
      <c r="G266" s="3" t="s">
        <v>2398</v>
      </c>
      <c r="H266" s="11" t="s">
        <v>8088</v>
      </c>
      <c r="I266" s="3" t="s">
        <v>5451</v>
      </c>
      <c r="J266" s="7">
        <v>0.9</v>
      </c>
      <c r="K266" s="1" t="s">
        <v>5452</v>
      </c>
      <c r="L266" s="2">
        <v>0.81100000000000005</v>
      </c>
      <c r="M266" s="2">
        <f>83891/100000</f>
        <v>0.83891000000000004</v>
      </c>
      <c r="N266" s="2">
        <v>0.82929589999999997</v>
      </c>
      <c r="O266" s="3" t="s">
        <v>5453</v>
      </c>
      <c r="P266" s="7">
        <v>1.31</v>
      </c>
      <c r="Q266" s="1" t="s">
        <v>5454</v>
      </c>
      <c r="R266" s="2">
        <v>0.45500000000000002</v>
      </c>
      <c r="S266" s="2">
        <f>53602/100000</f>
        <v>0.53602000000000005</v>
      </c>
      <c r="T266" s="2">
        <v>0.74478149999999999</v>
      </c>
    </row>
    <row r="267" spans="1:20">
      <c r="A267" s="3" t="s">
        <v>2409</v>
      </c>
      <c r="B267" s="1" t="s">
        <v>2393</v>
      </c>
      <c r="C267" s="3" t="s">
        <v>2394</v>
      </c>
      <c r="D267" s="3" t="s">
        <v>2410</v>
      </c>
      <c r="E267" s="3" t="s">
        <v>2411</v>
      </c>
      <c r="F267" s="3" t="s">
        <v>2397</v>
      </c>
      <c r="G267" s="3" t="s">
        <v>2398</v>
      </c>
      <c r="H267" s="11" t="s">
        <v>8182</v>
      </c>
      <c r="I267" s="3" t="s">
        <v>5455</v>
      </c>
      <c r="J267" s="7">
        <v>0.79</v>
      </c>
      <c r="K267" s="1" t="s">
        <v>5456</v>
      </c>
      <c r="L267" s="2">
        <v>0.60799999999999998</v>
      </c>
      <c r="M267" s="2">
        <f>69003/100000</f>
        <v>0.69003000000000003</v>
      </c>
      <c r="N267" s="2">
        <v>0.81339530000000004</v>
      </c>
      <c r="O267" s="3" t="s">
        <v>5457</v>
      </c>
      <c r="P267" s="7">
        <v>0.43</v>
      </c>
      <c r="Q267" s="1" t="s">
        <v>5458</v>
      </c>
      <c r="R267" s="2">
        <v>0.13600000000000001</v>
      </c>
      <c r="S267" s="2">
        <f>16933/100000</f>
        <v>0.16933000000000001</v>
      </c>
      <c r="T267" s="2">
        <v>0.45435340000000002</v>
      </c>
    </row>
    <row r="268" spans="1:20">
      <c r="A268" s="3" t="s">
        <v>2416</v>
      </c>
      <c r="B268" s="1" t="s">
        <v>2393</v>
      </c>
      <c r="C268" s="3" t="s">
        <v>2394</v>
      </c>
      <c r="D268" s="3" t="s">
        <v>2417</v>
      </c>
      <c r="E268" s="3" t="s">
        <v>2418</v>
      </c>
      <c r="F268" s="3" t="s">
        <v>2397</v>
      </c>
      <c r="G268" s="3" t="s">
        <v>2398</v>
      </c>
      <c r="H268" s="11" t="s">
        <v>8088</v>
      </c>
      <c r="I268" s="3" t="s">
        <v>5459</v>
      </c>
      <c r="J268" s="7">
        <v>1.25</v>
      </c>
      <c r="K268" s="1" t="s">
        <v>5460</v>
      </c>
      <c r="L268" s="2">
        <v>0.56999999999999995</v>
      </c>
      <c r="M268" s="2">
        <f>66469/100000</f>
        <v>0.66469</v>
      </c>
      <c r="N268" s="2">
        <v>0.80511429999999995</v>
      </c>
      <c r="O268" s="3" t="s">
        <v>5461</v>
      </c>
      <c r="P268" s="7">
        <v>1.78</v>
      </c>
      <c r="Q268" s="1" t="s">
        <v>5462</v>
      </c>
      <c r="R268" s="2">
        <v>7.4499999999999997E-2</v>
      </c>
      <c r="S268" s="2">
        <f>8466/100000</f>
        <v>8.4659999999999999E-2</v>
      </c>
      <c r="T268" s="2">
        <v>0.3313912</v>
      </c>
    </row>
    <row r="269" spans="1:20">
      <c r="A269" s="3" t="s">
        <v>2423</v>
      </c>
      <c r="B269" s="1" t="s">
        <v>2424</v>
      </c>
      <c r="C269" s="3" t="s">
        <v>2425</v>
      </c>
      <c r="D269" s="3" t="s">
        <v>2417</v>
      </c>
      <c r="E269" s="3" t="s">
        <v>2418</v>
      </c>
      <c r="F269" s="3" t="s">
        <v>2397</v>
      </c>
      <c r="G269" s="3" t="s">
        <v>2398</v>
      </c>
      <c r="H269" s="11" t="s">
        <v>8088</v>
      </c>
      <c r="I269" s="3" t="s">
        <v>5459</v>
      </c>
      <c r="J269" s="7">
        <v>1.25</v>
      </c>
      <c r="K269" s="1" t="s">
        <v>5460</v>
      </c>
      <c r="L269" s="2">
        <v>0.56999999999999995</v>
      </c>
      <c r="M269" s="2">
        <f>66469/100000</f>
        <v>0.66469</v>
      </c>
      <c r="N269" s="2">
        <v>0.80511429999999995</v>
      </c>
      <c r="O269" s="3" t="s">
        <v>5461</v>
      </c>
      <c r="P269" s="7">
        <v>1.78</v>
      </c>
      <c r="Q269" s="1" t="s">
        <v>5462</v>
      </c>
      <c r="R269" s="2">
        <v>7.4499999999999997E-2</v>
      </c>
      <c r="S269" s="2">
        <f>8466/100000</f>
        <v>8.4659999999999999E-2</v>
      </c>
      <c r="T269" s="2">
        <v>0.3313912</v>
      </c>
    </row>
    <row r="270" spans="1:20">
      <c r="A270" s="3" t="s">
        <v>2426</v>
      </c>
      <c r="B270" s="1" t="s">
        <v>2424</v>
      </c>
      <c r="C270" s="3" t="s">
        <v>2425</v>
      </c>
      <c r="D270" s="3" t="s">
        <v>2410</v>
      </c>
      <c r="E270" s="3" t="s">
        <v>2411</v>
      </c>
      <c r="F270" s="3" t="s">
        <v>2397</v>
      </c>
      <c r="G270" s="3" t="s">
        <v>2398</v>
      </c>
      <c r="H270" s="11" t="s">
        <v>8182</v>
      </c>
      <c r="I270" s="3" t="s">
        <v>5455</v>
      </c>
      <c r="J270" s="7">
        <v>0.79</v>
      </c>
      <c r="K270" s="1" t="s">
        <v>5456</v>
      </c>
      <c r="L270" s="2">
        <v>0.60799999999999998</v>
      </c>
      <c r="M270" s="2">
        <f>69003/100000</f>
        <v>0.69003000000000003</v>
      </c>
      <c r="N270" s="2">
        <v>0.81339530000000004</v>
      </c>
      <c r="O270" s="3" t="s">
        <v>5457</v>
      </c>
      <c r="P270" s="7">
        <v>0.43</v>
      </c>
      <c r="Q270" s="1" t="s">
        <v>5458</v>
      </c>
      <c r="R270" s="2">
        <v>0.13600000000000001</v>
      </c>
      <c r="S270" s="2">
        <f>16933/100000</f>
        <v>0.16933000000000001</v>
      </c>
      <c r="T270" s="2">
        <v>0.45435340000000002</v>
      </c>
    </row>
    <row r="271" spans="1:20">
      <c r="A271" s="3" t="s">
        <v>2427</v>
      </c>
      <c r="B271" s="1" t="s">
        <v>2424</v>
      </c>
      <c r="C271" s="3" t="s">
        <v>2425</v>
      </c>
      <c r="D271" s="3" t="s">
        <v>2404</v>
      </c>
      <c r="E271" s="3" t="s">
        <v>2405</v>
      </c>
      <c r="F271" s="3" t="s">
        <v>2397</v>
      </c>
      <c r="G271" s="3" t="s">
        <v>2398</v>
      </c>
      <c r="H271" s="11" t="s">
        <v>8088</v>
      </c>
      <c r="I271" s="3" t="s">
        <v>5451</v>
      </c>
      <c r="J271" s="7">
        <v>0.9</v>
      </c>
      <c r="K271" s="1" t="s">
        <v>5452</v>
      </c>
      <c r="L271" s="2">
        <v>0.81100000000000005</v>
      </c>
      <c r="M271" s="2">
        <f>83891/100000</f>
        <v>0.83891000000000004</v>
      </c>
      <c r="N271" s="2">
        <v>0.82929589999999997</v>
      </c>
      <c r="O271" s="3" t="s">
        <v>5453</v>
      </c>
      <c r="P271" s="7">
        <v>1.31</v>
      </c>
      <c r="Q271" s="1" t="s">
        <v>5454</v>
      </c>
      <c r="R271" s="2">
        <v>0.45500000000000002</v>
      </c>
      <c r="S271" s="2">
        <f>53602/100000</f>
        <v>0.53602000000000005</v>
      </c>
      <c r="T271" s="2">
        <v>0.74478149999999999</v>
      </c>
    </row>
    <row r="272" spans="1:20">
      <c r="A272" s="3" t="s">
        <v>2428</v>
      </c>
      <c r="B272" s="1" t="s">
        <v>2424</v>
      </c>
      <c r="C272" s="3" t="s">
        <v>2425</v>
      </c>
      <c r="D272" s="3" t="s">
        <v>2395</v>
      </c>
      <c r="E272" s="3" t="s">
        <v>2396</v>
      </c>
      <c r="F272" s="3" t="s">
        <v>2397</v>
      </c>
      <c r="G272" s="3" t="s">
        <v>2398</v>
      </c>
      <c r="H272" s="11" t="s">
        <v>8182</v>
      </c>
      <c r="I272" s="3" t="s">
        <v>5447</v>
      </c>
      <c r="J272" s="7">
        <v>0.57999999999999996</v>
      </c>
      <c r="K272" s="1" t="s">
        <v>5448</v>
      </c>
      <c r="L272" s="2">
        <v>0.188</v>
      </c>
      <c r="M272" s="2">
        <f>20063/100000</f>
        <v>0.20063</v>
      </c>
      <c r="N272" s="2">
        <v>0.48870029999999998</v>
      </c>
      <c r="O272" s="3" t="s">
        <v>5449</v>
      </c>
      <c r="P272" s="7">
        <v>1.05</v>
      </c>
      <c r="Q272" s="1" t="s">
        <v>5450</v>
      </c>
      <c r="R272" s="2">
        <v>0.89100000000000001</v>
      </c>
      <c r="S272" s="2">
        <f>100000/100000</f>
        <v>1</v>
      </c>
      <c r="T272" s="2">
        <v>0.82929589999999997</v>
      </c>
    </row>
    <row r="273" spans="1:20">
      <c r="A273" s="3" t="s">
        <v>2429</v>
      </c>
      <c r="B273" s="1" t="s">
        <v>2430</v>
      </c>
      <c r="C273" s="3" t="s">
        <v>2431</v>
      </c>
      <c r="D273" s="3" t="s">
        <v>2432</v>
      </c>
      <c r="E273" s="3" t="s">
        <v>2433</v>
      </c>
      <c r="F273" s="3" t="s">
        <v>2434</v>
      </c>
      <c r="G273" s="3" t="s">
        <v>2034</v>
      </c>
      <c r="H273" s="11" t="s">
        <v>8161</v>
      </c>
      <c r="I273" s="3" t="s">
        <v>5463</v>
      </c>
      <c r="J273" s="7">
        <v>1.41</v>
      </c>
      <c r="K273" s="1" t="s">
        <v>5464</v>
      </c>
      <c r="L273" s="2">
        <v>0.36699999999999999</v>
      </c>
      <c r="M273" s="2">
        <f>49364/100000</f>
        <v>0.49364000000000002</v>
      </c>
      <c r="N273" s="2">
        <v>0.73484130000000003</v>
      </c>
      <c r="O273" s="3" t="s">
        <v>5465</v>
      </c>
      <c r="P273" s="7">
        <v>2.2799999999999998</v>
      </c>
      <c r="Q273" s="1" t="s">
        <v>5466</v>
      </c>
      <c r="R273" s="2">
        <v>1.3599999999999999E-2</v>
      </c>
      <c r="S273" s="2">
        <f>2211/100000</f>
        <v>2.2110000000000001E-2</v>
      </c>
      <c r="T273" s="2">
        <v>0.14776500000000001</v>
      </c>
    </row>
    <row r="274" spans="1:20">
      <c r="A274" s="3" t="s">
        <v>2439</v>
      </c>
      <c r="B274" s="1" t="s">
        <v>2440</v>
      </c>
      <c r="C274" s="3" t="s">
        <v>2441</v>
      </c>
      <c r="D274" s="3" t="s">
        <v>2442</v>
      </c>
      <c r="E274" s="3" t="s">
        <v>2443</v>
      </c>
      <c r="F274" s="3" t="s">
        <v>2444</v>
      </c>
      <c r="G274" s="3" t="s">
        <v>2445</v>
      </c>
      <c r="H274" s="11" t="s">
        <v>8183</v>
      </c>
      <c r="I274" s="3" t="s">
        <v>5467</v>
      </c>
      <c r="J274" s="7">
        <v>1.3</v>
      </c>
      <c r="K274" s="1" t="s">
        <v>5468</v>
      </c>
      <c r="L274" s="2">
        <v>0.65100000000000002</v>
      </c>
      <c r="M274" s="2">
        <f>73540/100000</f>
        <v>0.73540000000000005</v>
      </c>
      <c r="N274" s="2">
        <v>0.82137769999999999</v>
      </c>
      <c r="O274" s="3" t="s">
        <v>5469</v>
      </c>
      <c r="P274" s="7">
        <v>1.1100000000000001</v>
      </c>
      <c r="Q274" s="1" t="s">
        <v>5470</v>
      </c>
      <c r="R274" s="2">
        <v>0.879</v>
      </c>
      <c r="S274" s="2">
        <f>100000/100000</f>
        <v>1</v>
      </c>
      <c r="T274" s="2">
        <v>0.82929589999999997</v>
      </c>
    </row>
    <row r="275" spans="1:20">
      <c r="A275" s="3" t="s">
        <v>2449</v>
      </c>
      <c r="B275" s="1" t="s">
        <v>2440</v>
      </c>
      <c r="C275" s="3" t="s">
        <v>2441</v>
      </c>
      <c r="D275" s="3" t="s">
        <v>2450</v>
      </c>
      <c r="E275" s="3" t="s">
        <v>2451</v>
      </c>
      <c r="F275" s="3" t="s">
        <v>2444</v>
      </c>
      <c r="G275" s="3" t="s">
        <v>2445</v>
      </c>
      <c r="H275" s="11" t="s">
        <v>8184</v>
      </c>
      <c r="I275" s="3" t="s">
        <v>5471</v>
      </c>
      <c r="J275" s="7">
        <v>0.44</v>
      </c>
      <c r="K275" s="1" t="s">
        <v>5472</v>
      </c>
      <c r="L275" s="2">
        <v>0.23300000000000001</v>
      </c>
      <c r="M275" s="2">
        <f>33302/100000</f>
        <v>0.33301999999999998</v>
      </c>
      <c r="N275" s="2">
        <v>0.61526179999999997</v>
      </c>
      <c r="O275" s="3" t="s">
        <v>5473</v>
      </c>
      <c r="P275" s="7">
        <v>1.25</v>
      </c>
      <c r="Q275" s="1" t="s">
        <v>5474</v>
      </c>
      <c r="R275" s="2">
        <v>0.623</v>
      </c>
      <c r="S275" s="2">
        <f>80146/100000</f>
        <v>0.80145999999999995</v>
      </c>
      <c r="T275" s="2">
        <v>0.82929589999999997</v>
      </c>
    </row>
    <row r="276" spans="1:20">
      <c r="A276" s="3" t="s">
        <v>2456</v>
      </c>
      <c r="B276" s="1" t="s">
        <v>2457</v>
      </c>
      <c r="C276" s="3" t="s">
        <v>2458</v>
      </c>
      <c r="D276" s="3" t="s">
        <v>2432</v>
      </c>
      <c r="E276" s="3" t="s">
        <v>2433</v>
      </c>
      <c r="F276" s="3" t="s">
        <v>2434</v>
      </c>
      <c r="G276" s="3" t="s">
        <v>2034</v>
      </c>
      <c r="H276" s="11" t="s">
        <v>8161</v>
      </c>
      <c r="I276" s="3" t="s">
        <v>5463</v>
      </c>
      <c r="J276" s="7">
        <v>1.41</v>
      </c>
      <c r="K276" s="1" t="s">
        <v>5464</v>
      </c>
      <c r="L276" s="2">
        <v>0.36699999999999999</v>
      </c>
      <c r="M276" s="2">
        <f>49364/100000</f>
        <v>0.49364000000000002</v>
      </c>
      <c r="N276" s="2">
        <v>0.73484130000000003</v>
      </c>
      <c r="O276" s="3" t="s">
        <v>5465</v>
      </c>
      <c r="P276" s="7">
        <v>2.2799999999999998</v>
      </c>
      <c r="Q276" s="1" t="s">
        <v>5466</v>
      </c>
      <c r="R276" s="2">
        <v>1.3599999999999999E-2</v>
      </c>
      <c r="S276" s="2">
        <f>2211/100000</f>
        <v>2.2110000000000001E-2</v>
      </c>
      <c r="T276" s="2">
        <v>0.14776500000000001</v>
      </c>
    </row>
    <row r="277" spans="1:20">
      <c r="A277" s="3" t="s">
        <v>2459</v>
      </c>
      <c r="B277" s="1" t="s">
        <v>2460</v>
      </c>
      <c r="C277" s="3" t="s">
        <v>2461</v>
      </c>
      <c r="D277" s="3" t="s">
        <v>2462</v>
      </c>
      <c r="E277" s="3" t="s">
        <v>2463</v>
      </c>
      <c r="F277" s="3" t="s">
        <v>2464</v>
      </c>
      <c r="G277" s="3" t="s">
        <v>2465</v>
      </c>
      <c r="H277" s="11" t="s">
        <v>8185</v>
      </c>
      <c r="I277" s="3" t="s">
        <v>5475</v>
      </c>
      <c r="J277" s="7">
        <v>0</v>
      </c>
      <c r="K277" s="1" t="s">
        <v>774</v>
      </c>
      <c r="L277" s="2">
        <v>0.22500000000000001</v>
      </c>
      <c r="M277" s="2">
        <f>40356/100000</f>
        <v>0.40355999999999997</v>
      </c>
      <c r="N277" s="2">
        <v>0.66662600000000005</v>
      </c>
      <c r="O277" s="3" t="s">
        <v>5476</v>
      </c>
      <c r="P277" s="7">
        <v>0.85</v>
      </c>
      <c r="Q277" s="1" t="s">
        <v>5477</v>
      </c>
      <c r="R277" s="2">
        <v>0.872</v>
      </c>
      <c r="S277" s="2">
        <f>100000/100000</f>
        <v>1</v>
      </c>
      <c r="T277" s="2">
        <v>0.82929589999999997</v>
      </c>
    </row>
    <row r="278" spans="1:20">
      <c r="A278" s="3" t="s">
        <v>2470</v>
      </c>
      <c r="B278" s="1" t="s">
        <v>2460</v>
      </c>
      <c r="C278" s="3" t="s">
        <v>2461</v>
      </c>
      <c r="D278" s="3" t="s">
        <v>2471</v>
      </c>
      <c r="E278" s="3" t="s">
        <v>2472</v>
      </c>
      <c r="F278" s="3" t="s">
        <v>2473</v>
      </c>
      <c r="G278" s="3" t="s">
        <v>2474</v>
      </c>
      <c r="H278" s="11" t="s">
        <v>8185</v>
      </c>
      <c r="I278" s="3" t="s">
        <v>5478</v>
      </c>
      <c r="J278" s="7">
        <v>0</v>
      </c>
      <c r="K278" s="1" t="s">
        <v>774</v>
      </c>
      <c r="L278" s="2">
        <v>0.38200000000000001</v>
      </c>
      <c r="M278" s="2">
        <f>64442/100000</f>
        <v>0.64441999999999999</v>
      </c>
      <c r="N278" s="2">
        <v>0.79916379999999998</v>
      </c>
      <c r="O278" s="3" t="s">
        <v>5479</v>
      </c>
      <c r="P278" s="7">
        <v>0</v>
      </c>
      <c r="Q278" s="1" t="s">
        <v>774</v>
      </c>
      <c r="R278" s="2">
        <v>0.47799999999999998</v>
      </c>
      <c r="S278" s="2">
        <f>100000/100000</f>
        <v>1</v>
      </c>
      <c r="T278" s="2">
        <v>0.82929589999999997</v>
      </c>
    </row>
    <row r="279" spans="1:20">
      <c r="A279" s="3" t="s">
        <v>2479</v>
      </c>
      <c r="B279" s="1" t="s">
        <v>2480</v>
      </c>
      <c r="C279" s="3" t="s">
        <v>2481</v>
      </c>
      <c r="D279" s="3" t="s">
        <v>2482</v>
      </c>
      <c r="E279" s="3" t="s">
        <v>2483</v>
      </c>
      <c r="F279" s="3" t="s">
        <v>2484</v>
      </c>
      <c r="G279" s="3" t="s">
        <v>2485</v>
      </c>
      <c r="H279" s="11" t="s">
        <v>8186</v>
      </c>
      <c r="I279" s="3" t="s">
        <v>5480</v>
      </c>
      <c r="J279" s="7">
        <v>1.49</v>
      </c>
      <c r="K279" s="1" t="s">
        <v>5481</v>
      </c>
      <c r="L279" s="2">
        <v>0.38200000000000001</v>
      </c>
      <c r="M279" s="2">
        <f>40130/100000</f>
        <v>0.40129999999999999</v>
      </c>
      <c r="N279" s="2">
        <v>0.66589350000000003</v>
      </c>
      <c r="O279" s="3" t="s">
        <v>5482</v>
      </c>
      <c r="P279" s="7">
        <v>0.41</v>
      </c>
      <c r="Q279" s="1" t="s">
        <v>5483</v>
      </c>
      <c r="R279" s="2">
        <v>0.36099999999999999</v>
      </c>
      <c r="S279" s="2">
        <f>52247/100000</f>
        <v>0.52246999999999999</v>
      </c>
      <c r="T279" s="2">
        <v>0.74478149999999999</v>
      </c>
    </row>
    <row r="280" spans="1:20">
      <c r="A280" s="3" t="s">
        <v>2490</v>
      </c>
      <c r="B280" s="1" t="s">
        <v>2491</v>
      </c>
      <c r="C280" s="3" t="s">
        <v>2492</v>
      </c>
      <c r="D280" s="3" t="s">
        <v>2493</v>
      </c>
      <c r="E280" s="3" t="s">
        <v>2494</v>
      </c>
      <c r="F280" s="3" t="s">
        <v>2495</v>
      </c>
      <c r="G280" s="3" t="s">
        <v>2496</v>
      </c>
      <c r="H280" s="11" t="s">
        <v>8187</v>
      </c>
      <c r="I280" s="3" t="s">
        <v>5484</v>
      </c>
      <c r="J280" s="7">
        <v>1.43</v>
      </c>
      <c r="K280" s="1" t="s">
        <v>5485</v>
      </c>
      <c r="L280" s="2">
        <v>0.39</v>
      </c>
      <c r="M280" s="2">
        <f>45142/100000</f>
        <v>0.45141999999999999</v>
      </c>
      <c r="N280" s="2">
        <v>0.69868149999999996</v>
      </c>
      <c r="O280" s="3" t="s">
        <v>5486</v>
      </c>
      <c r="P280" s="7">
        <v>0.98</v>
      </c>
      <c r="Q280" s="1" t="s">
        <v>5487</v>
      </c>
      <c r="R280" s="2">
        <v>0.97099999999999997</v>
      </c>
      <c r="S280" s="2">
        <f>100000/100000</f>
        <v>1</v>
      </c>
      <c r="T280" s="2">
        <v>0.82929589999999997</v>
      </c>
    </row>
    <row r="281" spans="1:20">
      <c r="A281" s="3" t="s">
        <v>2501</v>
      </c>
      <c r="B281" s="1" t="s">
        <v>2502</v>
      </c>
      <c r="C281" s="3" t="s">
        <v>2503</v>
      </c>
      <c r="D281" s="3" t="s">
        <v>2504</v>
      </c>
      <c r="E281" s="3" t="s">
        <v>2505</v>
      </c>
      <c r="F281" s="3" t="s">
        <v>2506</v>
      </c>
      <c r="G281" s="3" t="s">
        <v>2507</v>
      </c>
      <c r="H281" s="11" t="s">
        <v>8092</v>
      </c>
      <c r="I281" s="3" t="s">
        <v>5488</v>
      </c>
      <c r="J281" s="7">
        <v>1.34</v>
      </c>
      <c r="K281" s="1" t="s">
        <v>5489</v>
      </c>
      <c r="L281" s="2">
        <v>0.192</v>
      </c>
      <c r="M281" s="2">
        <f>19431/100000</f>
        <v>0.19431000000000001</v>
      </c>
      <c r="N281" s="2">
        <v>0.4835874</v>
      </c>
      <c r="O281" s="3" t="s">
        <v>5490</v>
      </c>
      <c r="P281" s="7">
        <v>1.04</v>
      </c>
      <c r="Q281" s="1" t="s">
        <v>5491</v>
      </c>
      <c r="R281" s="2">
        <v>0.86799999999999999</v>
      </c>
      <c r="S281" s="2">
        <f>90106/100000</f>
        <v>0.90105999999999997</v>
      </c>
      <c r="T281" s="2">
        <v>0.82929589999999997</v>
      </c>
    </row>
    <row r="282" spans="1:20">
      <c r="A282" s="3" t="s">
        <v>2512</v>
      </c>
      <c r="B282" s="1" t="s">
        <v>2502</v>
      </c>
      <c r="C282" s="3" t="s">
        <v>2503</v>
      </c>
      <c r="D282" s="3" t="s">
        <v>2513</v>
      </c>
      <c r="E282" s="3" t="s">
        <v>2514</v>
      </c>
      <c r="F282" s="3" t="s">
        <v>2515</v>
      </c>
      <c r="G282" s="3" t="s">
        <v>2516</v>
      </c>
      <c r="H282" s="11" t="s">
        <v>8092</v>
      </c>
      <c r="I282" s="3" t="s">
        <v>5492</v>
      </c>
      <c r="J282" s="7">
        <v>1.33</v>
      </c>
      <c r="K282" s="1" t="s">
        <v>5493</v>
      </c>
      <c r="L282" s="2">
        <v>0.152</v>
      </c>
      <c r="M282" s="2">
        <f>17474/100000</f>
        <v>0.17474000000000001</v>
      </c>
      <c r="N282" s="2">
        <v>0.46368680000000001</v>
      </c>
      <c r="O282" s="3" t="s">
        <v>5494</v>
      </c>
      <c r="P282" s="7">
        <v>1</v>
      </c>
      <c r="Q282" s="1" t="s">
        <v>5495</v>
      </c>
      <c r="R282" s="2">
        <v>0.999</v>
      </c>
      <c r="S282" s="2">
        <f>100000/100000</f>
        <v>1</v>
      </c>
      <c r="T282" s="2">
        <v>0.82929589999999997</v>
      </c>
    </row>
    <row r="283" spans="1:20">
      <c r="A283" s="3" t="s">
        <v>2521</v>
      </c>
      <c r="B283" s="1" t="s">
        <v>2522</v>
      </c>
      <c r="C283" s="3" t="s">
        <v>2523</v>
      </c>
      <c r="D283" s="3" t="s">
        <v>2524</v>
      </c>
      <c r="E283" s="3" t="s">
        <v>2525</v>
      </c>
      <c r="F283" s="3" t="s">
        <v>2526</v>
      </c>
      <c r="G283" s="3" t="s">
        <v>2527</v>
      </c>
      <c r="H283" s="11" t="s">
        <v>8188</v>
      </c>
      <c r="I283" s="3" t="s">
        <v>5496</v>
      </c>
      <c r="J283" s="7">
        <v>1.85</v>
      </c>
      <c r="K283" s="1" t="s">
        <v>5497</v>
      </c>
      <c r="L283" s="2">
        <v>0.13500000000000001</v>
      </c>
      <c r="M283" s="2">
        <f>14944/100000</f>
        <v>0.14943999999999999</v>
      </c>
      <c r="N283" s="2">
        <v>0.42318309999999998</v>
      </c>
      <c r="O283" s="3" t="s">
        <v>5498</v>
      </c>
      <c r="P283" s="7">
        <v>0.34</v>
      </c>
      <c r="Q283" s="1" t="s">
        <v>4769</v>
      </c>
      <c r="R283" s="2">
        <v>0.26</v>
      </c>
      <c r="S283" s="2">
        <f>37797/100000</f>
        <v>0.37796999999999997</v>
      </c>
      <c r="T283" s="2">
        <v>0.65084330000000001</v>
      </c>
    </row>
    <row r="284" spans="1:20">
      <c r="A284" s="3" t="s">
        <v>2532</v>
      </c>
      <c r="B284" s="1" t="s">
        <v>2522</v>
      </c>
      <c r="C284" s="3" t="s">
        <v>2523</v>
      </c>
      <c r="D284" s="3" t="s">
        <v>2533</v>
      </c>
      <c r="E284" s="3" t="s">
        <v>2534</v>
      </c>
      <c r="F284" s="3" t="s">
        <v>2535</v>
      </c>
      <c r="G284" s="3" t="s">
        <v>2536</v>
      </c>
      <c r="H284" s="11" t="s">
        <v>8188</v>
      </c>
      <c r="I284" s="3" t="s">
        <v>5499</v>
      </c>
      <c r="J284" s="7">
        <v>2.0699999999999998</v>
      </c>
      <c r="K284" s="1" t="s">
        <v>5500</v>
      </c>
      <c r="L284" s="2">
        <v>7.5499999999999998E-2</v>
      </c>
      <c r="M284" s="2">
        <f>7961/100000</f>
        <v>7.961E-2</v>
      </c>
      <c r="N284" s="2">
        <v>0.31784289999999998</v>
      </c>
      <c r="O284" s="3" t="s">
        <v>5501</v>
      </c>
      <c r="P284" s="7">
        <v>1.47</v>
      </c>
      <c r="Q284" s="1" t="s">
        <v>5502</v>
      </c>
      <c r="R284" s="2">
        <v>0.443</v>
      </c>
      <c r="S284" s="2">
        <f>53059/100000</f>
        <v>0.53059000000000001</v>
      </c>
      <c r="T284" s="2">
        <v>0.74478149999999999</v>
      </c>
    </row>
    <row r="285" spans="1:20">
      <c r="A285" s="3" t="s">
        <v>2541</v>
      </c>
      <c r="B285" s="1" t="s">
        <v>2522</v>
      </c>
      <c r="C285" s="3" t="s">
        <v>2523</v>
      </c>
      <c r="D285" s="3" t="s">
        <v>2542</v>
      </c>
      <c r="E285" s="3" t="s">
        <v>2543</v>
      </c>
      <c r="F285" s="3" t="s">
        <v>2544</v>
      </c>
      <c r="G285" s="3" t="s">
        <v>2545</v>
      </c>
      <c r="H285" s="11" t="s">
        <v>8188</v>
      </c>
      <c r="I285" s="3" t="s">
        <v>5503</v>
      </c>
      <c r="J285" s="7">
        <v>1.45</v>
      </c>
      <c r="K285" s="1" t="s">
        <v>5107</v>
      </c>
      <c r="L285" s="2">
        <v>0.36799999999999999</v>
      </c>
      <c r="M285" s="2">
        <f>45201/100000</f>
        <v>0.45201000000000002</v>
      </c>
      <c r="N285" s="2">
        <v>0.69868149999999996</v>
      </c>
      <c r="O285" s="3" t="s">
        <v>5504</v>
      </c>
      <c r="P285" s="7">
        <v>1.71</v>
      </c>
      <c r="Q285" s="1" t="s">
        <v>5505</v>
      </c>
      <c r="R285" s="2">
        <v>0.158</v>
      </c>
      <c r="S285" s="2">
        <f>20580/100000</f>
        <v>0.20580000000000001</v>
      </c>
      <c r="T285" s="2">
        <v>0.49476609999999999</v>
      </c>
    </row>
    <row r="286" spans="1:20">
      <c r="A286" s="3" t="s">
        <v>2550</v>
      </c>
      <c r="B286" s="1" t="s">
        <v>2551</v>
      </c>
      <c r="C286" s="3" t="s">
        <v>2552</v>
      </c>
      <c r="D286" s="3" t="s">
        <v>2553</v>
      </c>
      <c r="E286" s="3" t="s">
        <v>2554</v>
      </c>
      <c r="F286" s="3" t="s">
        <v>2555</v>
      </c>
      <c r="G286" s="3" t="s">
        <v>2045</v>
      </c>
      <c r="H286" s="11" t="s">
        <v>8189</v>
      </c>
      <c r="I286" s="3" t="s">
        <v>5506</v>
      </c>
      <c r="J286" s="7">
        <v>0.79</v>
      </c>
      <c r="K286" s="1" t="s">
        <v>5507</v>
      </c>
      <c r="L286" s="2">
        <v>0.44900000000000001</v>
      </c>
      <c r="M286" s="2">
        <f>49113/100000</f>
        <v>0.49113000000000001</v>
      </c>
      <c r="N286" s="2">
        <v>0.73208039999999996</v>
      </c>
      <c r="O286" s="3" t="s">
        <v>5508</v>
      </c>
      <c r="P286" s="7">
        <v>1.42</v>
      </c>
      <c r="Q286" s="1" t="s">
        <v>5509</v>
      </c>
      <c r="R286" s="2">
        <v>9.74E-2</v>
      </c>
      <c r="S286" s="2">
        <f>10444/100000</f>
        <v>0.10444000000000001</v>
      </c>
      <c r="T286" s="2">
        <v>0.36230659999999998</v>
      </c>
    </row>
    <row r="287" spans="1:20">
      <c r="A287" s="3" t="s">
        <v>2560</v>
      </c>
      <c r="B287" s="1" t="s">
        <v>2561</v>
      </c>
      <c r="C287" s="3" t="s">
        <v>2562</v>
      </c>
      <c r="D287" s="3" t="s">
        <v>1663</v>
      </c>
      <c r="E287" s="3" t="s">
        <v>1664</v>
      </c>
      <c r="F287" s="3" t="s">
        <v>1665</v>
      </c>
      <c r="G287" s="3" t="s">
        <v>1666</v>
      </c>
      <c r="H287" s="11" t="s">
        <v>8144</v>
      </c>
      <c r="I287" s="3" t="s">
        <v>5152</v>
      </c>
      <c r="J287" s="7">
        <v>0.27</v>
      </c>
      <c r="K287" s="1" t="s">
        <v>5153</v>
      </c>
      <c r="L287" s="2">
        <v>0.161</v>
      </c>
      <c r="M287" s="2">
        <f>19270/100000</f>
        <v>0.19270000000000001</v>
      </c>
      <c r="N287" s="2">
        <v>0.48203059999999998</v>
      </c>
      <c r="O287" s="3" t="s">
        <v>5154</v>
      </c>
      <c r="P287" s="7">
        <v>2.54</v>
      </c>
      <c r="Q287" s="1" t="s">
        <v>5155</v>
      </c>
      <c r="R287" s="2">
        <v>5.0000000000000001E-3</v>
      </c>
      <c r="S287" s="2">
        <f>1148/100000</f>
        <v>1.1480000000000001E-2</v>
      </c>
      <c r="T287" s="2">
        <v>9.3142740000000002E-2</v>
      </c>
    </row>
    <row r="288" spans="1:20">
      <c r="A288" s="3" t="s">
        <v>2563</v>
      </c>
      <c r="B288" s="1" t="s">
        <v>2561</v>
      </c>
      <c r="C288" s="3" t="s">
        <v>2562</v>
      </c>
      <c r="D288" s="3" t="s">
        <v>1672</v>
      </c>
      <c r="E288" s="3" t="s">
        <v>1673</v>
      </c>
      <c r="F288" s="3" t="s">
        <v>1665</v>
      </c>
      <c r="G288" s="3" t="s">
        <v>1666</v>
      </c>
      <c r="H288" s="11" t="s">
        <v>8144</v>
      </c>
      <c r="I288" s="3" t="s">
        <v>5156</v>
      </c>
      <c r="J288" s="7">
        <v>1.23</v>
      </c>
      <c r="K288" s="1" t="s">
        <v>5157</v>
      </c>
      <c r="L288" s="2">
        <v>0.68100000000000005</v>
      </c>
      <c r="M288" s="2">
        <f>77568/100000</f>
        <v>0.77568000000000004</v>
      </c>
      <c r="N288" s="2">
        <v>0.82929589999999997</v>
      </c>
      <c r="O288" s="3" t="s">
        <v>5158</v>
      </c>
      <c r="P288" s="7">
        <v>1.59</v>
      </c>
      <c r="Q288" s="1" t="s">
        <v>5159</v>
      </c>
      <c r="R288" s="2">
        <v>0.25800000000000001</v>
      </c>
      <c r="S288" s="2">
        <f>29018/100000</f>
        <v>0.29017999999999999</v>
      </c>
      <c r="T288" s="2">
        <v>0.57823020000000003</v>
      </c>
    </row>
    <row r="289" spans="1:20">
      <c r="A289" s="3" t="s">
        <v>2564</v>
      </c>
      <c r="B289" s="1" t="s">
        <v>2561</v>
      </c>
      <c r="C289" s="3" t="s">
        <v>2562</v>
      </c>
      <c r="D289" s="3" t="s">
        <v>1679</v>
      </c>
      <c r="E289" s="3" t="s">
        <v>1680</v>
      </c>
      <c r="F289" s="3" t="s">
        <v>1681</v>
      </c>
      <c r="G289" s="3" t="s">
        <v>1682</v>
      </c>
      <c r="H289" s="11" t="s">
        <v>8144</v>
      </c>
      <c r="I289" s="3" t="s">
        <v>5160</v>
      </c>
      <c r="J289" s="7">
        <v>1.53</v>
      </c>
      <c r="K289" s="1" t="s">
        <v>5161</v>
      </c>
      <c r="L289" s="2">
        <v>0.30599999999999999</v>
      </c>
      <c r="M289" s="2">
        <f>29888/100000</f>
        <v>0.29887999999999998</v>
      </c>
      <c r="N289" s="2">
        <v>0.58423329999999996</v>
      </c>
      <c r="O289" s="3" t="s">
        <v>5162</v>
      </c>
      <c r="P289" s="7">
        <v>0.92</v>
      </c>
      <c r="Q289" s="1" t="s">
        <v>5037</v>
      </c>
      <c r="R289" s="2">
        <v>0.88200000000000001</v>
      </c>
      <c r="S289" s="2">
        <f>100000/100000</f>
        <v>1</v>
      </c>
      <c r="T289" s="2">
        <v>0.82929589999999997</v>
      </c>
    </row>
    <row r="290" spans="1:20">
      <c r="A290" s="3" t="s">
        <v>2565</v>
      </c>
      <c r="B290" s="1" t="s">
        <v>2561</v>
      </c>
      <c r="C290" s="3" t="s">
        <v>2562</v>
      </c>
      <c r="D290" s="3" t="s">
        <v>2566</v>
      </c>
      <c r="E290" s="3" t="s">
        <v>2567</v>
      </c>
      <c r="F290" s="3" t="s">
        <v>1681</v>
      </c>
      <c r="G290" s="3" t="s">
        <v>1682</v>
      </c>
      <c r="H290" s="11" t="s">
        <v>8144</v>
      </c>
      <c r="I290" s="3" t="s">
        <v>5510</v>
      </c>
      <c r="J290" s="7">
        <v>1.27</v>
      </c>
      <c r="K290" s="1" t="s">
        <v>5511</v>
      </c>
      <c r="L290" s="2">
        <v>0.6</v>
      </c>
      <c r="M290" s="2">
        <f>60345/100000</f>
        <v>0.60345000000000004</v>
      </c>
      <c r="N290" s="2">
        <v>0.78509249999999997</v>
      </c>
      <c r="O290" s="3" t="s">
        <v>5512</v>
      </c>
      <c r="P290" s="7">
        <v>1.06</v>
      </c>
      <c r="Q290" s="1" t="s">
        <v>5513</v>
      </c>
      <c r="R290" s="2">
        <v>0.91400000000000003</v>
      </c>
      <c r="S290" s="2">
        <f>100000/100000</f>
        <v>1</v>
      </c>
      <c r="T290" s="2">
        <v>0.82929589999999997</v>
      </c>
    </row>
    <row r="291" spans="1:20">
      <c r="A291" s="3" t="s">
        <v>2572</v>
      </c>
      <c r="B291" s="1" t="s">
        <v>2573</v>
      </c>
      <c r="C291" s="3" t="s">
        <v>2574</v>
      </c>
      <c r="D291" s="3" t="s">
        <v>2575</v>
      </c>
      <c r="E291" s="3" t="s">
        <v>2576</v>
      </c>
      <c r="F291" s="3" t="s">
        <v>2577</v>
      </c>
      <c r="G291" s="3" t="s">
        <v>2578</v>
      </c>
      <c r="H291" s="11" t="s">
        <v>8093</v>
      </c>
      <c r="I291" s="3" t="s">
        <v>5514</v>
      </c>
      <c r="J291" s="7">
        <v>1.95</v>
      </c>
      <c r="K291" s="1" t="s">
        <v>5515</v>
      </c>
      <c r="L291" s="2">
        <v>6.1800000000000001E-2</v>
      </c>
      <c r="M291" s="2">
        <f>7465/100000</f>
        <v>7.4649999999999994E-2</v>
      </c>
      <c r="N291" s="2">
        <v>0.3054017</v>
      </c>
      <c r="O291" s="3" t="s">
        <v>5516</v>
      </c>
      <c r="P291" s="7">
        <v>1.34</v>
      </c>
      <c r="Q291" s="1" t="s">
        <v>5517</v>
      </c>
      <c r="R291" s="2">
        <v>0.56399999999999995</v>
      </c>
      <c r="S291" s="2">
        <f>77367/100000</f>
        <v>0.77366999999999997</v>
      </c>
      <c r="T291" s="2">
        <v>0.82929589999999997</v>
      </c>
    </row>
    <row r="292" spans="1:20">
      <c r="A292" s="3" t="s">
        <v>2583</v>
      </c>
      <c r="B292" s="1" t="s">
        <v>2584</v>
      </c>
      <c r="C292" s="3" t="s">
        <v>2585</v>
      </c>
      <c r="D292" s="3" t="s">
        <v>2586</v>
      </c>
      <c r="E292" s="3" t="s">
        <v>2587</v>
      </c>
      <c r="F292" s="3" t="s">
        <v>2588</v>
      </c>
      <c r="G292" s="3" t="s">
        <v>2589</v>
      </c>
      <c r="H292" s="11" t="s">
        <v>8190</v>
      </c>
      <c r="I292" s="3" t="s">
        <v>5518</v>
      </c>
      <c r="J292" s="7">
        <v>1.1399999999999999</v>
      </c>
      <c r="K292" s="1" t="s">
        <v>5519</v>
      </c>
      <c r="L292" s="2">
        <v>0.59799999999999998</v>
      </c>
      <c r="M292" s="2">
        <f>61016/100000</f>
        <v>0.61016000000000004</v>
      </c>
      <c r="N292" s="2">
        <v>0.78860779999999997</v>
      </c>
      <c r="O292" s="3" t="s">
        <v>5520</v>
      </c>
      <c r="P292" s="7">
        <v>2.08</v>
      </c>
      <c r="Q292" s="1" t="s">
        <v>3558</v>
      </c>
      <c r="R292" s="2">
        <v>3.79E-4</v>
      </c>
      <c r="S292" s="2">
        <f>73/100000</f>
        <v>7.2999999999999996E-4</v>
      </c>
      <c r="T292" s="2">
        <v>1.3292730000000001E-2</v>
      </c>
    </row>
    <row r="293" spans="1:20">
      <c r="A293" s="3" t="s">
        <v>2594</v>
      </c>
      <c r="B293" s="1" t="s">
        <v>2595</v>
      </c>
      <c r="C293" s="3" t="s">
        <v>2596</v>
      </c>
      <c r="D293" s="3" t="s">
        <v>2597</v>
      </c>
      <c r="E293" s="3" t="s">
        <v>2598</v>
      </c>
      <c r="F293" s="3" t="s">
        <v>2599</v>
      </c>
      <c r="G293" s="3" t="s">
        <v>2600</v>
      </c>
      <c r="H293" s="11" t="s">
        <v>8191</v>
      </c>
      <c r="I293" s="3" t="s">
        <v>5521</v>
      </c>
      <c r="J293" s="7">
        <v>1.41</v>
      </c>
      <c r="K293" s="1" t="s">
        <v>5522</v>
      </c>
      <c r="L293" s="2">
        <v>0.309</v>
      </c>
      <c r="M293" s="2">
        <f>30906/100000</f>
        <v>0.30906</v>
      </c>
      <c r="N293" s="2">
        <v>0.59561370000000002</v>
      </c>
      <c r="O293" s="3" t="s">
        <v>5523</v>
      </c>
      <c r="P293" s="7">
        <v>0</v>
      </c>
      <c r="Q293" s="1" t="s">
        <v>774</v>
      </c>
      <c r="R293" s="2">
        <v>1.55E-2</v>
      </c>
      <c r="S293" s="2">
        <f>1569/100000</f>
        <v>1.5689999999999999E-2</v>
      </c>
      <c r="T293" s="2">
        <v>0.11786480000000001</v>
      </c>
    </row>
    <row r="294" spans="1:20">
      <c r="A294" s="3" t="s">
        <v>2605</v>
      </c>
      <c r="B294" s="1" t="s">
        <v>2595</v>
      </c>
      <c r="C294" s="3" t="s">
        <v>2596</v>
      </c>
      <c r="D294" s="3" t="s">
        <v>2606</v>
      </c>
      <c r="E294" s="3" t="s">
        <v>2607</v>
      </c>
      <c r="F294" s="3" t="s">
        <v>2608</v>
      </c>
      <c r="G294" s="3" t="s">
        <v>2609</v>
      </c>
      <c r="H294" s="11" t="s">
        <v>8191</v>
      </c>
      <c r="I294" s="3" t="s">
        <v>5524</v>
      </c>
      <c r="J294" s="7">
        <v>0.61</v>
      </c>
      <c r="K294" s="1" t="s">
        <v>5525</v>
      </c>
      <c r="L294" s="2">
        <v>0.191</v>
      </c>
      <c r="M294" s="2">
        <f>22071/100000</f>
        <v>0.22070999999999999</v>
      </c>
      <c r="N294" s="2">
        <v>0.51489790000000002</v>
      </c>
      <c r="O294" s="3" t="s">
        <v>5526</v>
      </c>
      <c r="P294" s="7">
        <v>1.44</v>
      </c>
      <c r="Q294" s="1" t="s">
        <v>5527</v>
      </c>
      <c r="R294" s="2">
        <v>0.14799999999999999</v>
      </c>
      <c r="S294" s="2">
        <f>18199/100000</f>
        <v>0.18199000000000001</v>
      </c>
      <c r="T294" s="2">
        <v>0.47057909999999997</v>
      </c>
    </row>
    <row r="295" spans="1:20">
      <c r="A295" s="3" t="s">
        <v>2614</v>
      </c>
      <c r="B295" s="1" t="s">
        <v>2615</v>
      </c>
      <c r="C295" s="3" t="s">
        <v>2616</v>
      </c>
      <c r="D295" s="3" t="s">
        <v>2617</v>
      </c>
      <c r="E295" s="3" t="s">
        <v>2618</v>
      </c>
      <c r="F295" s="3" t="s">
        <v>2619</v>
      </c>
      <c r="G295" s="3" t="s">
        <v>2620</v>
      </c>
      <c r="H295" s="11" t="s">
        <v>8192</v>
      </c>
      <c r="I295" s="3" t="s">
        <v>5528</v>
      </c>
      <c r="J295" s="7">
        <v>1.33</v>
      </c>
      <c r="K295" s="1" t="s">
        <v>5529</v>
      </c>
      <c r="L295" s="2">
        <v>0.57299999999999995</v>
      </c>
      <c r="M295" s="2">
        <f>77310/100000</f>
        <v>0.77310000000000001</v>
      </c>
      <c r="N295" s="2">
        <v>0.82929589999999997</v>
      </c>
      <c r="O295" s="3" t="s">
        <v>5530</v>
      </c>
      <c r="P295" s="7">
        <v>0</v>
      </c>
      <c r="Q295" s="1" t="s">
        <v>774</v>
      </c>
      <c r="R295" s="2">
        <v>0.105</v>
      </c>
      <c r="S295" s="2">
        <f>11963/100000</f>
        <v>0.11963</v>
      </c>
      <c r="T295" s="2">
        <v>0.38416460000000002</v>
      </c>
    </row>
    <row r="296" spans="1:20">
      <c r="A296" s="3" t="s">
        <v>2625</v>
      </c>
      <c r="B296" s="1" t="s">
        <v>2615</v>
      </c>
      <c r="C296" s="3" t="s">
        <v>2616</v>
      </c>
      <c r="D296" s="3" t="s">
        <v>2626</v>
      </c>
      <c r="E296" s="3" t="s">
        <v>2627</v>
      </c>
      <c r="F296" s="3" t="s">
        <v>2619</v>
      </c>
      <c r="G296" s="3" t="s">
        <v>2620</v>
      </c>
      <c r="H296" s="11" t="s">
        <v>8072</v>
      </c>
      <c r="I296" s="3" t="s">
        <v>5531</v>
      </c>
      <c r="J296" s="7">
        <v>3.6</v>
      </c>
      <c r="K296" s="1" t="s">
        <v>5532</v>
      </c>
      <c r="L296" s="2">
        <v>4.5300000000000001E-4</v>
      </c>
      <c r="M296" s="2">
        <f>501/100000</f>
        <v>5.0099999999999997E-3</v>
      </c>
      <c r="N296" s="2">
        <v>5.4274999999999997E-2</v>
      </c>
      <c r="O296" s="3" t="s">
        <v>5533</v>
      </c>
      <c r="P296" s="7">
        <v>0</v>
      </c>
      <c r="Q296" s="1" t="s">
        <v>774</v>
      </c>
      <c r="R296" s="2">
        <v>0.214</v>
      </c>
      <c r="S296" s="2">
        <f>28126/100000</f>
        <v>0.28126000000000001</v>
      </c>
      <c r="T296" s="2">
        <v>0.57078130000000005</v>
      </c>
    </row>
    <row r="297" spans="1:20">
      <c r="A297" s="3" t="s">
        <v>2632</v>
      </c>
      <c r="B297" s="1" t="s">
        <v>2615</v>
      </c>
      <c r="C297" s="3" t="s">
        <v>2616</v>
      </c>
      <c r="D297" s="3" t="s">
        <v>2633</v>
      </c>
      <c r="E297" s="3" t="s">
        <v>2634</v>
      </c>
      <c r="F297" s="3" t="s">
        <v>2619</v>
      </c>
      <c r="G297" s="3" t="s">
        <v>2620</v>
      </c>
      <c r="H297" s="11" t="s">
        <v>8193</v>
      </c>
      <c r="I297" s="3" t="s">
        <v>5534</v>
      </c>
      <c r="J297" s="7">
        <v>2.06</v>
      </c>
      <c r="K297" s="1" t="s">
        <v>5535</v>
      </c>
      <c r="L297" s="2">
        <v>5.6000000000000001E-2</v>
      </c>
      <c r="M297" s="2">
        <f>6180/100000</f>
        <v>6.1800000000000001E-2</v>
      </c>
      <c r="N297" s="2">
        <v>0.27451819999999999</v>
      </c>
      <c r="O297" s="3" t="s">
        <v>5536</v>
      </c>
      <c r="P297" s="7">
        <v>0.32</v>
      </c>
      <c r="Q297" s="1" t="s">
        <v>5537</v>
      </c>
      <c r="R297" s="2">
        <v>0.23699999999999999</v>
      </c>
      <c r="S297" s="2">
        <f>27806/100000</f>
        <v>0.27805999999999997</v>
      </c>
      <c r="T297" s="2">
        <v>0.56873700000000005</v>
      </c>
    </row>
    <row r="298" spans="1:20">
      <c r="A298" s="3" t="s">
        <v>2639</v>
      </c>
      <c r="B298" s="1" t="s">
        <v>2615</v>
      </c>
      <c r="C298" s="3" t="s">
        <v>2616</v>
      </c>
      <c r="D298" s="3" t="s">
        <v>2640</v>
      </c>
      <c r="E298" s="3" t="s">
        <v>2641</v>
      </c>
      <c r="F298" s="3" t="s">
        <v>2642</v>
      </c>
      <c r="G298" s="3" t="s">
        <v>2643</v>
      </c>
      <c r="H298" s="11" t="s">
        <v>8192</v>
      </c>
      <c r="I298" s="3" t="s">
        <v>5538</v>
      </c>
      <c r="J298" s="7">
        <v>1.82</v>
      </c>
      <c r="K298" s="1" t="s">
        <v>5539</v>
      </c>
      <c r="L298" s="2">
        <v>0.14299999999999999</v>
      </c>
      <c r="M298" s="2">
        <f>15385/100000</f>
        <v>0.15384999999999999</v>
      </c>
      <c r="N298" s="2">
        <v>0.43024479999999998</v>
      </c>
      <c r="O298" s="3" t="s">
        <v>5540</v>
      </c>
      <c r="P298" s="7">
        <v>0</v>
      </c>
      <c r="Q298" s="1" t="s">
        <v>774</v>
      </c>
      <c r="R298" s="2">
        <v>0.122</v>
      </c>
      <c r="S298" s="2">
        <f>17899/100000</f>
        <v>0.17899000000000001</v>
      </c>
      <c r="T298" s="2">
        <v>0.46658119999999997</v>
      </c>
    </row>
    <row r="299" spans="1:20">
      <c r="A299" s="3" t="s">
        <v>2648</v>
      </c>
      <c r="B299" s="1" t="s">
        <v>2615</v>
      </c>
      <c r="C299" s="3" t="s">
        <v>2616</v>
      </c>
      <c r="D299" s="3" t="s">
        <v>2649</v>
      </c>
      <c r="E299" s="3" t="s">
        <v>2650</v>
      </c>
      <c r="F299" s="3" t="s">
        <v>2642</v>
      </c>
      <c r="G299" s="3" t="s">
        <v>2643</v>
      </c>
      <c r="H299" s="11" t="s">
        <v>8072</v>
      </c>
      <c r="I299" s="3" t="s">
        <v>5541</v>
      </c>
      <c r="J299" s="7">
        <v>1.52</v>
      </c>
      <c r="K299" s="1" t="s">
        <v>5542</v>
      </c>
      <c r="L299" s="2">
        <v>0.40699999999999997</v>
      </c>
      <c r="M299" s="2">
        <f>52797/100000</f>
        <v>0.52797000000000005</v>
      </c>
      <c r="N299" s="2">
        <v>0.74478149999999999</v>
      </c>
      <c r="O299" s="3" t="s">
        <v>5543</v>
      </c>
      <c r="P299" s="7">
        <v>0.69</v>
      </c>
      <c r="Q299" s="1" t="s">
        <v>5544</v>
      </c>
      <c r="R299" s="2">
        <v>0.59599999999999997</v>
      </c>
      <c r="S299" s="2">
        <f>77615/100000</f>
        <v>0.77615000000000001</v>
      </c>
      <c r="T299" s="2">
        <v>0.82929589999999997</v>
      </c>
    </row>
    <row r="300" spans="1:20">
      <c r="A300" s="3" t="s">
        <v>2654</v>
      </c>
      <c r="B300" s="1" t="s">
        <v>2615</v>
      </c>
      <c r="C300" s="3" t="s">
        <v>2616</v>
      </c>
      <c r="D300" s="3" t="s">
        <v>2655</v>
      </c>
      <c r="E300" s="3" t="s">
        <v>2656</v>
      </c>
      <c r="F300" s="3" t="s">
        <v>2642</v>
      </c>
      <c r="G300" s="3" t="s">
        <v>2643</v>
      </c>
      <c r="H300" s="11" t="s">
        <v>8194</v>
      </c>
      <c r="I300" s="3" t="s">
        <v>5545</v>
      </c>
      <c r="J300" s="7">
        <v>1.3</v>
      </c>
      <c r="K300" s="1" t="s">
        <v>5546</v>
      </c>
      <c r="L300" s="2">
        <v>0.59899999999999998</v>
      </c>
      <c r="M300" s="2">
        <f>77382/100000</f>
        <v>0.77381999999999995</v>
      </c>
      <c r="N300" s="2">
        <v>0.82929589999999997</v>
      </c>
      <c r="O300" s="3" t="s">
        <v>5547</v>
      </c>
      <c r="P300" s="7">
        <v>1.24</v>
      </c>
      <c r="Q300" s="1" t="s">
        <v>5548</v>
      </c>
      <c r="R300" s="2">
        <v>0.71199999999999997</v>
      </c>
      <c r="S300" s="2">
        <f>73812/100000</f>
        <v>0.73812</v>
      </c>
      <c r="T300" s="2">
        <v>0.82137769999999999</v>
      </c>
    </row>
    <row r="301" spans="1:20">
      <c r="A301" s="3" t="s">
        <v>2661</v>
      </c>
      <c r="B301" s="1" t="s">
        <v>2615</v>
      </c>
      <c r="C301" s="3" t="s">
        <v>2616</v>
      </c>
      <c r="D301" s="3" t="s">
        <v>2662</v>
      </c>
      <c r="E301" s="3" t="s">
        <v>2663</v>
      </c>
      <c r="F301" s="3" t="s">
        <v>2664</v>
      </c>
      <c r="G301" s="3" t="s">
        <v>2665</v>
      </c>
      <c r="H301" s="11" t="s">
        <v>8192</v>
      </c>
      <c r="I301" s="3" t="s">
        <v>5549</v>
      </c>
      <c r="J301" s="7">
        <v>1.52</v>
      </c>
      <c r="K301" s="1" t="s">
        <v>5550</v>
      </c>
      <c r="L301" s="2">
        <v>0.17699999999999999</v>
      </c>
      <c r="M301" s="2">
        <f>18537/100000</f>
        <v>0.18537000000000001</v>
      </c>
      <c r="N301" s="2">
        <v>0.47215459999999998</v>
      </c>
      <c r="O301" s="3" t="s">
        <v>5551</v>
      </c>
      <c r="P301" s="7">
        <v>1.83</v>
      </c>
      <c r="Q301" s="1" t="s">
        <v>5552</v>
      </c>
      <c r="R301" s="2">
        <v>3.2199999999999999E-2</v>
      </c>
      <c r="S301" s="2">
        <f>3773/100000</f>
        <v>3.773E-2</v>
      </c>
      <c r="T301" s="2">
        <v>0.205509</v>
      </c>
    </row>
    <row r="302" spans="1:20">
      <c r="A302" s="3" t="s">
        <v>2670</v>
      </c>
      <c r="B302" s="1" t="s">
        <v>2671</v>
      </c>
      <c r="C302" s="3" t="s">
        <v>2672</v>
      </c>
      <c r="D302" s="3" t="s">
        <v>2673</v>
      </c>
      <c r="E302" s="3" t="s">
        <v>2674</v>
      </c>
      <c r="F302" s="3" t="s">
        <v>2675</v>
      </c>
      <c r="G302" s="3" t="s">
        <v>2676</v>
      </c>
      <c r="H302" s="11" t="s">
        <v>8195</v>
      </c>
      <c r="I302" s="3" t="s">
        <v>5553</v>
      </c>
      <c r="J302" s="7">
        <v>1.19</v>
      </c>
      <c r="K302" s="1" t="s">
        <v>5554</v>
      </c>
      <c r="L302" s="2">
        <v>0.40699999999999997</v>
      </c>
      <c r="M302" s="2">
        <f>43667/100000</f>
        <v>0.43667</v>
      </c>
      <c r="N302" s="2">
        <v>0.68822830000000002</v>
      </c>
      <c r="O302" s="3" t="s">
        <v>5555</v>
      </c>
      <c r="P302" s="7">
        <v>1.2</v>
      </c>
      <c r="Q302" s="1" t="s">
        <v>5556</v>
      </c>
      <c r="R302" s="2">
        <v>0.38600000000000001</v>
      </c>
      <c r="S302" s="2">
        <f>43444/100000</f>
        <v>0.43443999999999999</v>
      </c>
      <c r="T302" s="2">
        <v>0.68614220000000004</v>
      </c>
    </row>
    <row r="303" spans="1:20">
      <c r="A303" s="3" t="s">
        <v>2681</v>
      </c>
      <c r="B303" s="1" t="s">
        <v>2671</v>
      </c>
      <c r="C303" s="3" t="s">
        <v>2672</v>
      </c>
      <c r="D303" s="3" t="s">
        <v>2682</v>
      </c>
      <c r="E303" s="3" t="s">
        <v>2683</v>
      </c>
      <c r="F303" s="3" t="s">
        <v>2675</v>
      </c>
      <c r="G303" s="3" t="s">
        <v>2676</v>
      </c>
      <c r="H303" s="11" t="s">
        <v>8195</v>
      </c>
      <c r="I303" s="3" t="s">
        <v>5557</v>
      </c>
      <c r="J303" s="7">
        <v>1.57</v>
      </c>
      <c r="K303" s="1" t="s">
        <v>5558</v>
      </c>
      <c r="L303" s="2">
        <v>3.6999999999999998E-2</v>
      </c>
      <c r="M303" s="2">
        <f>4444/100000</f>
        <v>4.444E-2</v>
      </c>
      <c r="N303" s="2">
        <v>0.22573660000000001</v>
      </c>
      <c r="O303" s="3" t="s">
        <v>5559</v>
      </c>
      <c r="P303" s="7">
        <v>1.0900000000000001</v>
      </c>
      <c r="Q303" s="1" t="s">
        <v>5560</v>
      </c>
      <c r="R303" s="2">
        <v>0.68899999999999995</v>
      </c>
      <c r="S303" s="2">
        <f>73911/100000</f>
        <v>0.73911000000000004</v>
      </c>
      <c r="T303" s="2">
        <v>0.82137769999999999</v>
      </c>
    </row>
    <row r="304" spans="1:20">
      <c r="A304" s="3" t="s">
        <v>2688</v>
      </c>
      <c r="B304" s="1" t="s">
        <v>2689</v>
      </c>
      <c r="C304" s="3" t="s">
        <v>2690</v>
      </c>
      <c r="D304" s="3" t="s">
        <v>2691</v>
      </c>
      <c r="E304" s="3" t="s">
        <v>2692</v>
      </c>
      <c r="F304" s="3" t="s">
        <v>2693</v>
      </c>
      <c r="G304" s="3" t="s">
        <v>2694</v>
      </c>
      <c r="H304" s="11" t="s">
        <v>8133</v>
      </c>
      <c r="I304" s="3" t="s">
        <v>5561</v>
      </c>
      <c r="J304" s="7">
        <v>1.87</v>
      </c>
      <c r="K304" s="1" t="s">
        <v>5562</v>
      </c>
      <c r="L304" s="2">
        <v>3.2599999999999999E-3</v>
      </c>
      <c r="M304" s="2">
        <f>534/100000</f>
        <v>5.3400000000000001E-3</v>
      </c>
      <c r="N304" s="2">
        <v>5.6421600000000002E-2</v>
      </c>
      <c r="O304" s="3" t="s">
        <v>5563</v>
      </c>
      <c r="P304" s="7">
        <v>1.57</v>
      </c>
      <c r="Q304" s="1" t="s">
        <v>5564</v>
      </c>
      <c r="R304" s="2">
        <v>7.8200000000000006E-2</v>
      </c>
      <c r="S304" s="2">
        <f>8179/100000</f>
        <v>8.1790000000000002E-2</v>
      </c>
      <c r="T304" s="2">
        <v>0.3226137</v>
      </c>
    </row>
    <row r="305" spans="1:20">
      <c r="A305" s="3" t="s">
        <v>2699</v>
      </c>
      <c r="B305" s="1" t="s">
        <v>2689</v>
      </c>
      <c r="C305" s="3" t="s">
        <v>2690</v>
      </c>
      <c r="D305" s="3" t="s">
        <v>2700</v>
      </c>
      <c r="E305" s="3" t="s">
        <v>2701</v>
      </c>
      <c r="F305" s="3" t="s">
        <v>2702</v>
      </c>
      <c r="G305" s="3" t="s">
        <v>2703</v>
      </c>
      <c r="H305" s="11" t="s">
        <v>8133</v>
      </c>
      <c r="I305" s="3" t="s">
        <v>5565</v>
      </c>
      <c r="J305" s="7">
        <v>1.02</v>
      </c>
      <c r="K305" s="1" t="s">
        <v>5566</v>
      </c>
      <c r="L305" s="2">
        <v>0.94199999999999995</v>
      </c>
      <c r="M305" s="2">
        <f>100000/100000</f>
        <v>1</v>
      </c>
      <c r="N305" s="2">
        <v>0.82929589999999997</v>
      </c>
      <c r="O305" s="3" t="s">
        <v>5567</v>
      </c>
      <c r="P305" s="7">
        <v>1.72</v>
      </c>
      <c r="Q305" s="1" t="s">
        <v>5568</v>
      </c>
      <c r="R305" s="2">
        <v>1.95E-2</v>
      </c>
      <c r="S305" s="2">
        <f>2570/100000</f>
        <v>2.5700000000000001E-2</v>
      </c>
      <c r="T305" s="2">
        <v>0.162524</v>
      </c>
    </row>
    <row r="306" spans="1:20">
      <c r="A306" s="3" t="s">
        <v>2708</v>
      </c>
      <c r="B306" s="1" t="s">
        <v>2709</v>
      </c>
      <c r="C306" s="3" t="s">
        <v>2710</v>
      </c>
      <c r="D306" s="3" t="s">
        <v>2711</v>
      </c>
      <c r="E306" s="3" t="s">
        <v>2712</v>
      </c>
      <c r="F306" s="3" t="s">
        <v>2713</v>
      </c>
      <c r="G306" s="3" t="s">
        <v>2714</v>
      </c>
      <c r="H306" s="11" t="s">
        <v>8196</v>
      </c>
      <c r="I306" s="3" t="s">
        <v>5569</v>
      </c>
      <c r="J306" s="7">
        <v>2.16</v>
      </c>
      <c r="K306" s="1" t="s">
        <v>5570</v>
      </c>
      <c r="L306" s="2">
        <v>2.1699999999999999E-8</v>
      </c>
      <c r="M306" s="2" t="s">
        <v>500</v>
      </c>
      <c r="N306" s="2">
        <v>3.517123E-4</v>
      </c>
      <c r="O306" s="3" t="s">
        <v>5571</v>
      </c>
      <c r="P306" s="7">
        <v>1.28</v>
      </c>
      <c r="Q306" s="1" t="s">
        <v>5572</v>
      </c>
      <c r="R306" s="2">
        <v>0.105</v>
      </c>
      <c r="S306" s="2">
        <f>11827/100000</f>
        <v>0.11827</v>
      </c>
      <c r="T306" s="2">
        <v>0.38060929999999998</v>
      </c>
    </row>
    <row r="307" spans="1:20">
      <c r="A307" s="3" t="s">
        <v>2719</v>
      </c>
      <c r="B307" s="1" t="s">
        <v>2720</v>
      </c>
      <c r="C307" s="3" t="s">
        <v>2721</v>
      </c>
      <c r="D307" s="3" t="s">
        <v>2722</v>
      </c>
      <c r="E307" s="3" t="s">
        <v>2723</v>
      </c>
      <c r="F307" s="3" t="s">
        <v>2722</v>
      </c>
      <c r="G307" s="3" t="s">
        <v>2723</v>
      </c>
      <c r="H307" s="13" t="s">
        <v>2721</v>
      </c>
      <c r="I307" s="3" t="s">
        <v>2724</v>
      </c>
      <c r="J307" s="7" t="e">
        <v>#DIV/0!</v>
      </c>
      <c r="K307" s="1" t="s">
        <v>2725</v>
      </c>
      <c r="L307" s="1" t="e">
        <v>#DIV/0!</v>
      </c>
      <c r="M307" s="2" t="s">
        <v>500</v>
      </c>
      <c r="N307" s="2">
        <v>3.517123E-4</v>
      </c>
      <c r="O307" s="3" t="s">
        <v>2724</v>
      </c>
      <c r="P307" s="7" t="e">
        <v>#DIV/0!</v>
      </c>
      <c r="Q307" s="1" t="s">
        <v>2725</v>
      </c>
      <c r="R307" s="2" t="e">
        <v>#DIV/0!</v>
      </c>
      <c r="S307" s="2" t="s">
        <v>500</v>
      </c>
      <c r="T307" s="2">
        <v>3.517123E-4</v>
      </c>
    </row>
    <row r="308" spans="1:20">
      <c r="A308" s="3" t="s">
        <v>2726</v>
      </c>
      <c r="B308" s="1" t="s">
        <v>2727</v>
      </c>
      <c r="C308" s="3" t="s">
        <v>2728</v>
      </c>
      <c r="D308" s="3" t="s">
        <v>2729</v>
      </c>
      <c r="E308" s="3" t="s">
        <v>2730</v>
      </c>
      <c r="F308" s="3" t="s">
        <v>2731</v>
      </c>
      <c r="G308" s="3" t="s">
        <v>2732</v>
      </c>
      <c r="H308" s="11" t="s">
        <v>8196</v>
      </c>
      <c r="I308" s="3" t="s">
        <v>5573</v>
      </c>
      <c r="J308" s="7">
        <v>1.79</v>
      </c>
      <c r="K308" s="1" t="s">
        <v>5574</v>
      </c>
      <c r="L308" s="2">
        <v>4.0800000000000002E-5</v>
      </c>
      <c r="M308" s="2">
        <f>7/100000</f>
        <v>6.9999999999999994E-5</v>
      </c>
      <c r="N308" s="2">
        <v>1.8918419999999999E-3</v>
      </c>
      <c r="O308" s="3" t="s">
        <v>5575</v>
      </c>
      <c r="P308" s="7">
        <v>1.1000000000000001</v>
      </c>
      <c r="Q308" s="1" t="s">
        <v>5576</v>
      </c>
      <c r="R308" s="2">
        <v>0.58299999999999996</v>
      </c>
      <c r="S308" s="2">
        <f>60693/100000</f>
        <v>0.60692999999999997</v>
      </c>
      <c r="T308" s="2">
        <v>0.78810860000000005</v>
      </c>
    </row>
    <row r="309" spans="1:20">
      <c r="A309" s="3" t="s">
        <v>2737</v>
      </c>
      <c r="B309" s="1" t="s">
        <v>2727</v>
      </c>
      <c r="C309" s="3" t="s">
        <v>2728</v>
      </c>
      <c r="D309" s="3" t="s">
        <v>2711</v>
      </c>
      <c r="E309" s="3" t="s">
        <v>2712</v>
      </c>
      <c r="F309" s="3" t="s">
        <v>2713</v>
      </c>
      <c r="G309" s="3" t="s">
        <v>2714</v>
      </c>
      <c r="H309" s="11" t="s">
        <v>8197</v>
      </c>
      <c r="I309" s="3" t="s">
        <v>5569</v>
      </c>
      <c r="J309" s="7">
        <v>2.16</v>
      </c>
      <c r="K309" s="1" t="s">
        <v>5570</v>
      </c>
      <c r="L309" s="2">
        <v>2.1699999999999999E-8</v>
      </c>
      <c r="M309" s="2" t="s">
        <v>500</v>
      </c>
      <c r="N309" s="2">
        <v>3.517123E-4</v>
      </c>
      <c r="O309" s="3" t="s">
        <v>5571</v>
      </c>
      <c r="P309" s="7">
        <v>1.28</v>
      </c>
      <c r="Q309" s="1" t="s">
        <v>5572</v>
      </c>
      <c r="R309" s="2">
        <v>0.105</v>
      </c>
      <c r="S309" s="2">
        <f>11827/100000</f>
        <v>0.11827</v>
      </c>
      <c r="T309" s="2">
        <v>0.38060929999999998</v>
      </c>
    </row>
    <row r="310" spans="1:20">
      <c r="A310" s="3" t="s">
        <v>2738</v>
      </c>
      <c r="B310" s="1" t="s">
        <v>2739</v>
      </c>
      <c r="C310" s="3" t="s">
        <v>2740</v>
      </c>
      <c r="D310" s="3" t="s">
        <v>2741</v>
      </c>
      <c r="E310" s="3" t="s">
        <v>2742</v>
      </c>
      <c r="F310" s="3" t="s">
        <v>2743</v>
      </c>
      <c r="G310" s="3" t="s">
        <v>2744</v>
      </c>
      <c r="H310" s="11" t="s">
        <v>8198</v>
      </c>
      <c r="I310" s="3" t="s">
        <v>5577</v>
      </c>
      <c r="J310" s="7">
        <v>1.01</v>
      </c>
      <c r="K310" s="1" t="s">
        <v>5578</v>
      </c>
      <c r="L310" s="2">
        <v>0.98899999999999999</v>
      </c>
      <c r="M310" s="2">
        <f>100000/100000</f>
        <v>1</v>
      </c>
      <c r="N310" s="2">
        <v>0.82929589999999997</v>
      </c>
      <c r="O310" s="3" t="s">
        <v>5579</v>
      </c>
      <c r="P310" s="7">
        <v>0.96</v>
      </c>
      <c r="Q310" s="1" t="s">
        <v>4840</v>
      </c>
      <c r="R310" s="2">
        <v>0.95499999999999996</v>
      </c>
      <c r="S310" s="2">
        <f>100000/100000</f>
        <v>1</v>
      </c>
      <c r="T310" s="2">
        <v>0.82929589999999997</v>
      </c>
    </row>
    <row r="311" spans="1:20">
      <c r="A311" s="3" t="s">
        <v>2749</v>
      </c>
      <c r="B311" s="1" t="s">
        <v>2739</v>
      </c>
      <c r="C311" s="3" t="s">
        <v>2740</v>
      </c>
      <c r="D311" s="3" t="s">
        <v>2750</v>
      </c>
      <c r="E311" s="3" t="s">
        <v>2751</v>
      </c>
      <c r="F311" s="3" t="s">
        <v>2743</v>
      </c>
      <c r="G311" s="3" t="s">
        <v>2744</v>
      </c>
      <c r="H311" s="11" t="s">
        <v>8094</v>
      </c>
      <c r="I311" s="3" t="s">
        <v>5580</v>
      </c>
      <c r="J311" s="7">
        <v>1.44</v>
      </c>
      <c r="K311" s="1" t="s">
        <v>5581</v>
      </c>
      <c r="L311" s="2">
        <v>0.47199999999999998</v>
      </c>
      <c r="M311" s="2">
        <f>53684/100000</f>
        <v>0.53683999999999998</v>
      </c>
      <c r="N311" s="2">
        <v>0.74478149999999999</v>
      </c>
      <c r="O311" s="3" t="s">
        <v>5582</v>
      </c>
      <c r="P311" s="7">
        <v>1.91</v>
      </c>
      <c r="Q311" s="1" t="s">
        <v>5583</v>
      </c>
      <c r="R311" s="2">
        <v>8.7400000000000005E-2</v>
      </c>
      <c r="S311" s="2">
        <f>10515/100000</f>
        <v>0.10514999999999999</v>
      </c>
      <c r="T311" s="2">
        <v>0.36332550000000002</v>
      </c>
    </row>
    <row r="312" spans="1:20">
      <c r="A312" s="3" t="s">
        <v>2756</v>
      </c>
      <c r="B312" s="1" t="s">
        <v>2757</v>
      </c>
      <c r="C312" s="3" t="s">
        <v>2758</v>
      </c>
      <c r="D312" s="3" t="s">
        <v>2759</v>
      </c>
      <c r="E312" s="3" t="s">
        <v>2760</v>
      </c>
      <c r="F312" s="3" t="s">
        <v>2761</v>
      </c>
      <c r="G312" s="3" t="s">
        <v>2762</v>
      </c>
      <c r="H312" s="11" t="s">
        <v>8199</v>
      </c>
      <c r="I312" s="3" t="s">
        <v>5584</v>
      </c>
      <c r="J312" s="7">
        <v>1.29</v>
      </c>
      <c r="K312" s="1" t="s">
        <v>5585</v>
      </c>
      <c r="L312" s="2">
        <v>0.72099999999999997</v>
      </c>
      <c r="M312" s="2">
        <f>100000/100000</f>
        <v>1</v>
      </c>
      <c r="N312" s="2">
        <v>0.82929589999999997</v>
      </c>
      <c r="O312" s="3" t="s">
        <v>5586</v>
      </c>
      <c r="P312" s="7">
        <v>0</v>
      </c>
      <c r="Q312" s="1" t="s">
        <v>774</v>
      </c>
      <c r="R312" s="2">
        <v>0.23400000000000001</v>
      </c>
      <c r="S312" s="2">
        <f>40916/100000</f>
        <v>0.40916000000000002</v>
      </c>
      <c r="T312" s="2">
        <v>0.67049360000000002</v>
      </c>
    </row>
    <row r="313" spans="1:20">
      <c r="A313" s="3" t="s">
        <v>2767</v>
      </c>
      <c r="B313" s="1" t="s">
        <v>2757</v>
      </c>
      <c r="C313" s="3" t="s">
        <v>2758</v>
      </c>
      <c r="D313" s="3" t="s">
        <v>2768</v>
      </c>
      <c r="E313" s="3" t="s">
        <v>2769</v>
      </c>
      <c r="F313" s="3" t="s">
        <v>2770</v>
      </c>
      <c r="G313" s="3" t="s">
        <v>2771</v>
      </c>
      <c r="H313" s="11" t="s">
        <v>8199</v>
      </c>
      <c r="I313" s="3" t="s">
        <v>5587</v>
      </c>
      <c r="J313" s="7">
        <v>1.33</v>
      </c>
      <c r="K313" s="1" t="s">
        <v>5588</v>
      </c>
      <c r="L313" s="2">
        <v>0.626</v>
      </c>
      <c r="M313" s="2">
        <f>73248/100000</f>
        <v>0.73248000000000002</v>
      </c>
      <c r="N313" s="2">
        <v>0.82137769999999999</v>
      </c>
      <c r="O313" s="3" t="s">
        <v>5589</v>
      </c>
      <c r="P313" s="7">
        <v>0.78</v>
      </c>
      <c r="Q313" s="1" t="s">
        <v>5590</v>
      </c>
      <c r="R313" s="2">
        <v>0.72799999999999998</v>
      </c>
      <c r="S313" s="2">
        <f>77986/100000</f>
        <v>0.77986</v>
      </c>
      <c r="T313" s="2">
        <v>0.82929589999999997</v>
      </c>
    </row>
    <row r="314" spans="1:20">
      <c r="A314" s="3" t="s">
        <v>2775</v>
      </c>
      <c r="B314" s="1" t="s">
        <v>2776</v>
      </c>
      <c r="C314" s="3" t="s">
        <v>2777</v>
      </c>
      <c r="D314" s="3" t="s">
        <v>2778</v>
      </c>
      <c r="E314" s="3" t="s">
        <v>2779</v>
      </c>
      <c r="F314" s="3" t="s">
        <v>2780</v>
      </c>
      <c r="G314" s="3" t="s">
        <v>2781</v>
      </c>
      <c r="H314" s="11" t="s">
        <v>8095</v>
      </c>
      <c r="I314" s="3" t="s">
        <v>5591</v>
      </c>
      <c r="J314" s="7">
        <v>1.07</v>
      </c>
      <c r="K314" s="1" t="s">
        <v>5592</v>
      </c>
      <c r="L314" s="2">
        <v>0.94799999999999995</v>
      </c>
      <c r="M314" s="2">
        <f>100000/100000</f>
        <v>1</v>
      </c>
      <c r="N314" s="2">
        <v>0.82929589999999997</v>
      </c>
      <c r="O314" s="3" t="s">
        <v>5593</v>
      </c>
      <c r="P314" s="7">
        <v>0</v>
      </c>
      <c r="Q314" s="1" t="s">
        <v>774</v>
      </c>
      <c r="R314" s="2">
        <v>0.50700000000000001</v>
      </c>
      <c r="S314" s="2">
        <f>100000/100000</f>
        <v>1</v>
      </c>
      <c r="T314" s="2">
        <v>0.82929589999999997</v>
      </c>
    </row>
    <row r="315" spans="1:20">
      <c r="A315" s="3" t="s">
        <v>2786</v>
      </c>
      <c r="B315" s="1" t="s">
        <v>2787</v>
      </c>
      <c r="C315" s="3" t="s">
        <v>2788</v>
      </c>
      <c r="D315" s="3" t="s">
        <v>2778</v>
      </c>
      <c r="E315" s="3" t="s">
        <v>2779</v>
      </c>
      <c r="F315" s="3" t="s">
        <v>2780</v>
      </c>
      <c r="G315" s="3" t="s">
        <v>2781</v>
      </c>
      <c r="H315" s="11" t="s">
        <v>8095</v>
      </c>
      <c r="I315" s="3" t="s">
        <v>5591</v>
      </c>
      <c r="J315" s="7">
        <v>1.07</v>
      </c>
      <c r="K315" s="1" t="s">
        <v>5592</v>
      </c>
      <c r="L315" s="2">
        <v>0.94799999999999995</v>
      </c>
      <c r="M315" s="2">
        <f>100000/100000</f>
        <v>1</v>
      </c>
      <c r="N315" s="2">
        <v>0.82929589999999997</v>
      </c>
      <c r="O315" s="3" t="s">
        <v>5593</v>
      </c>
      <c r="P315" s="7">
        <v>0</v>
      </c>
      <c r="Q315" s="1" t="s">
        <v>774</v>
      </c>
      <c r="R315" s="2">
        <v>0.50700000000000001</v>
      </c>
      <c r="S315" s="2">
        <f>100000/100000</f>
        <v>1</v>
      </c>
      <c r="T315" s="2">
        <v>0.82929589999999997</v>
      </c>
    </row>
    <row r="316" spans="1:20">
      <c r="A316" s="3" t="s">
        <v>2789</v>
      </c>
      <c r="B316" s="1" t="s">
        <v>2790</v>
      </c>
      <c r="C316" s="3" t="s">
        <v>2791</v>
      </c>
      <c r="D316" s="3" t="s">
        <v>2792</v>
      </c>
      <c r="E316" s="3" t="s">
        <v>2793</v>
      </c>
      <c r="F316" s="3" t="s">
        <v>2794</v>
      </c>
      <c r="G316" s="3" t="s">
        <v>2795</v>
      </c>
      <c r="H316" s="11" t="s">
        <v>8200</v>
      </c>
      <c r="I316" s="3" t="s">
        <v>5594</v>
      </c>
      <c r="J316" s="7">
        <v>1.66</v>
      </c>
      <c r="K316" s="1" t="s">
        <v>5595</v>
      </c>
      <c r="L316" s="2">
        <v>0.217</v>
      </c>
      <c r="M316" s="2">
        <f>28023/100000</f>
        <v>0.28022999999999998</v>
      </c>
      <c r="N316" s="2">
        <v>0.56965129999999997</v>
      </c>
      <c r="O316" s="3" t="s">
        <v>5596</v>
      </c>
      <c r="P316" s="7">
        <v>1.3</v>
      </c>
      <c r="Q316" s="1" t="s">
        <v>5597</v>
      </c>
      <c r="R316" s="2">
        <v>0.49199999999999999</v>
      </c>
      <c r="S316" s="2">
        <f>50799/100000</f>
        <v>0.50799000000000005</v>
      </c>
      <c r="T316" s="2">
        <v>0.74084890000000003</v>
      </c>
    </row>
    <row r="317" spans="1:20">
      <c r="A317" s="3" t="s">
        <v>2799</v>
      </c>
      <c r="B317" s="1" t="s">
        <v>2790</v>
      </c>
      <c r="C317" s="3" t="s">
        <v>2791</v>
      </c>
      <c r="D317" s="3" t="s">
        <v>2800</v>
      </c>
      <c r="E317" s="3" t="s">
        <v>2801</v>
      </c>
      <c r="F317" s="3" t="s">
        <v>2794</v>
      </c>
      <c r="G317" s="3" t="s">
        <v>2795</v>
      </c>
      <c r="H317" s="11" t="s">
        <v>8201</v>
      </c>
      <c r="I317" s="3" t="s">
        <v>5598</v>
      </c>
      <c r="J317" s="7">
        <v>1.66</v>
      </c>
      <c r="K317" s="1" t="s">
        <v>5599</v>
      </c>
      <c r="L317" s="2">
        <v>0.26</v>
      </c>
      <c r="M317" s="2">
        <f>38114/100000</f>
        <v>0.38113999999999998</v>
      </c>
      <c r="N317" s="2">
        <v>0.65084330000000001</v>
      </c>
      <c r="O317" s="3" t="s">
        <v>5600</v>
      </c>
      <c r="P317" s="7">
        <v>1.62</v>
      </c>
      <c r="Q317" s="1" t="s">
        <v>5601</v>
      </c>
      <c r="R317" s="2">
        <v>0.245</v>
      </c>
      <c r="S317" s="2">
        <f>28412/100000</f>
        <v>0.28411999999999998</v>
      </c>
      <c r="T317" s="2">
        <v>0.57234689999999999</v>
      </c>
    </row>
    <row r="318" spans="1:20">
      <c r="A318" s="3" t="s">
        <v>2806</v>
      </c>
      <c r="B318" s="1" t="s">
        <v>2807</v>
      </c>
      <c r="C318" s="3" t="s">
        <v>2808</v>
      </c>
      <c r="D318" s="3" t="s">
        <v>2809</v>
      </c>
      <c r="E318" s="3" t="s">
        <v>2810</v>
      </c>
      <c r="F318" s="3" t="s">
        <v>2811</v>
      </c>
      <c r="G318" s="3" t="s">
        <v>2812</v>
      </c>
      <c r="H318" s="11" t="s">
        <v>8202</v>
      </c>
      <c r="I318" s="3" t="s">
        <v>5602</v>
      </c>
      <c r="J318" s="7">
        <v>1.07</v>
      </c>
      <c r="K318" s="1" t="s">
        <v>5603</v>
      </c>
      <c r="L318" s="2">
        <v>0.87</v>
      </c>
      <c r="M318" s="2">
        <f>100000/100000</f>
        <v>1</v>
      </c>
      <c r="N318" s="2">
        <v>0.82929589999999997</v>
      </c>
      <c r="O318" s="3" t="s">
        <v>5604</v>
      </c>
      <c r="P318" s="7">
        <v>0.26</v>
      </c>
      <c r="Q318" s="1" t="s">
        <v>5605</v>
      </c>
      <c r="R318" s="2">
        <v>3.8100000000000002E-2</v>
      </c>
      <c r="S318" s="2">
        <f>3892/100000</f>
        <v>3.8920000000000003E-2</v>
      </c>
      <c r="T318" s="2">
        <v>0.2085089</v>
      </c>
    </row>
    <row r="319" spans="1:20">
      <c r="A319" s="3" t="s">
        <v>2817</v>
      </c>
      <c r="B319" s="1" t="s">
        <v>2807</v>
      </c>
      <c r="C319" s="3" t="s">
        <v>2808</v>
      </c>
      <c r="D319" s="3" t="s">
        <v>2818</v>
      </c>
      <c r="E319" s="3" t="s">
        <v>2819</v>
      </c>
      <c r="F319" s="3" t="s">
        <v>2811</v>
      </c>
      <c r="G319" s="3" t="s">
        <v>2812</v>
      </c>
      <c r="H319" s="11" t="s">
        <v>8096</v>
      </c>
      <c r="I319" s="3" t="s">
        <v>5606</v>
      </c>
      <c r="J319" s="7">
        <v>0.79</v>
      </c>
      <c r="K319" s="1" t="s">
        <v>5607</v>
      </c>
      <c r="L319" s="2">
        <v>0.54600000000000004</v>
      </c>
      <c r="M319" s="2">
        <f>61152/100000</f>
        <v>0.61151999999999995</v>
      </c>
      <c r="N319" s="2">
        <v>0.78920639999999997</v>
      </c>
      <c r="O319" s="3" t="s">
        <v>5608</v>
      </c>
      <c r="P319" s="7">
        <v>0.95</v>
      </c>
      <c r="Q319" s="1" t="s">
        <v>5609</v>
      </c>
      <c r="R319" s="2">
        <v>0.89</v>
      </c>
      <c r="S319" s="2">
        <f>100000/100000</f>
        <v>1</v>
      </c>
      <c r="T319" s="2">
        <v>0.82929589999999997</v>
      </c>
    </row>
    <row r="320" spans="1:20">
      <c r="A320" s="3" t="s">
        <v>2824</v>
      </c>
      <c r="B320" s="1" t="s">
        <v>2807</v>
      </c>
      <c r="C320" s="3" t="s">
        <v>2808</v>
      </c>
      <c r="D320" s="3" t="s">
        <v>2825</v>
      </c>
      <c r="E320" s="3" t="s">
        <v>2826</v>
      </c>
      <c r="F320" s="3" t="s">
        <v>2827</v>
      </c>
      <c r="G320" s="3" t="s">
        <v>2828</v>
      </c>
      <c r="H320" s="11" t="s">
        <v>8203</v>
      </c>
      <c r="I320" s="3" t="s">
        <v>5610</v>
      </c>
      <c r="J320" s="7">
        <v>1.03</v>
      </c>
      <c r="K320" s="1" t="s">
        <v>5611</v>
      </c>
      <c r="L320" s="2">
        <v>0.93400000000000005</v>
      </c>
      <c r="M320" s="2">
        <f>100000/100000</f>
        <v>1</v>
      </c>
      <c r="N320" s="2">
        <v>0.82929589999999997</v>
      </c>
      <c r="O320" s="3" t="s">
        <v>5612</v>
      </c>
      <c r="P320" s="7">
        <v>0.76</v>
      </c>
      <c r="Q320" s="1" t="s">
        <v>5613</v>
      </c>
      <c r="R320" s="2">
        <v>0.50600000000000001</v>
      </c>
      <c r="S320" s="2">
        <f>58902/100000</f>
        <v>0.58901999999999999</v>
      </c>
      <c r="T320" s="2">
        <v>0.77707570000000004</v>
      </c>
    </row>
    <row r="321" spans="1:20">
      <c r="A321" s="3" t="s">
        <v>2833</v>
      </c>
      <c r="B321" s="1" t="s">
        <v>2807</v>
      </c>
      <c r="C321" s="3" t="s">
        <v>2808</v>
      </c>
      <c r="D321" s="3" t="s">
        <v>2834</v>
      </c>
      <c r="E321" s="3" t="s">
        <v>2835</v>
      </c>
      <c r="F321" s="3" t="s">
        <v>2827</v>
      </c>
      <c r="G321" s="3" t="s">
        <v>2828</v>
      </c>
      <c r="H321" s="11" t="s">
        <v>8096</v>
      </c>
      <c r="I321" s="3" t="s">
        <v>5614</v>
      </c>
      <c r="J321" s="7">
        <v>0.52</v>
      </c>
      <c r="K321" s="1" t="s">
        <v>5615</v>
      </c>
      <c r="L321" s="2">
        <v>2.4199999999999999E-2</v>
      </c>
      <c r="M321" s="2">
        <f>2516/100000</f>
        <v>2.5159999999999998E-2</v>
      </c>
      <c r="N321" s="2">
        <v>0.16015099999999999</v>
      </c>
      <c r="O321" s="3" t="s">
        <v>5616</v>
      </c>
      <c r="P321" s="7">
        <v>0.91</v>
      </c>
      <c r="Q321" s="1" t="s">
        <v>5617</v>
      </c>
      <c r="R321" s="2">
        <v>0.69699999999999995</v>
      </c>
      <c r="S321" s="2">
        <f>73320/100000</f>
        <v>0.73319999999999996</v>
      </c>
      <c r="T321" s="2">
        <v>0.82137769999999999</v>
      </c>
    </row>
    <row r="322" spans="1:20">
      <c r="A322" s="3" t="s">
        <v>2840</v>
      </c>
      <c r="B322" s="1" t="s">
        <v>2841</v>
      </c>
      <c r="C322" s="3" t="s">
        <v>2842</v>
      </c>
      <c r="D322" s="3" t="s">
        <v>2800</v>
      </c>
      <c r="E322" s="3" t="s">
        <v>2801</v>
      </c>
      <c r="F322" s="3" t="s">
        <v>2794</v>
      </c>
      <c r="G322" s="3" t="s">
        <v>2795</v>
      </c>
      <c r="H322" s="11" t="s">
        <v>8201</v>
      </c>
      <c r="I322" s="3" t="s">
        <v>5598</v>
      </c>
      <c r="J322" s="7">
        <v>1.66</v>
      </c>
      <c r="K322" s="1" t="s">
        <v>5599</v>
      </c>
      <c r="L322" s="2">
        <v>0.26</v>
      </c>
      <c r="M322" s="2">
        <f>38114/100000</f>
        <v>0.38113999999999998</v>
      </c>
      <c r="N322" s="2">
        <v>0.65084330000000001</v>
      </c>
      <c r="O322" s="3" t="s">
        <v>5600</v>
      </c>
      <c r="P322" s="7">
        <v>1.62</v>
      </c>
      <c r="Q322" s="1" t="s">
        <v>5601</v>
      </c>
      <c r="R322" s="2">
        <v>0.245</v>
      </c>
      <c r="S322" s="2">
        <f>28412/100000</f>
        <v>0.28411999999999998</v>
      </c>
      <c r="T322" s="2">
        <v>0.57234689999999999</v>
      </c>
    </row>
    <row r="323" spans="1:20">
      <c r="A323" s="3" t="s">
        <v>2843</v>
      </c>
      <c r="B323" s="1" t="s">
        <v>2841</v>
      </c>
      <c r="C323" s="3" t="s">
        <v>2842</v>
      </c>
      <c r="D323" s="3" t="s">
        <v>2792</v>
      </c>
      <c r="E323" s="3" t="s">
        <v>2793</v>
      </c>
      <c r="F323" s="3" t="s">
        <v>2794</v>
      </c>
      <c r="G323" s="3" t="s">
        <v>2795</v>
      </c>
      <c r="H323" s="11" t="s">
        <v>8200</v>
      </c>
      <c r="I323" s="3" t="s">
        <v>5594</v>
      </c>
      <c r="J323" s="7">
        <v>1.66</v>
      </c>
      <c r="K323" s="1" t="s">
        <v>5595</v>
      </c>
      <c r="L323" s="2">
        <v>0.217</v>
      </c>
      <c r="M323" s="2">
        <f>28023/100000</f>
        <v>0.28022999999999998</v>
      </c>
      <c r="N323" s="2">
        <v>0.56965129999999997</v>
      </c>
      <c r="O323" s="3" t="s">
        <v>5596</v>
      </c>
      <c r="P323" s="7">
        <v>1.3</v>
      </c>
      <c r="Q323" s="1" t="s">
        <v>5597</v>
      </c>
      <c r="R323" s="2">
        <v>0.49199999999999999</v>
      </c>
      <c r="S323" s="2">
        <f>50799/100000</f>
        <v>0.50799000000000005</v>
      </c>
      <c r="T323" s="2">
        <v>0.74084890000000003</v>
      </c>
    </row>
    <row r="324" spans="1:20">
      <c r="A324" s="3" t="s">
        <v>2844</v>
      </c>
      <c r="B324" s="1" t="s">
        <v>2845</v>
      </c>
      <c r="C324" s="3" t="s">
        <v>2846</v>
      </c>
      <c r="D324" s="3" t="s">
        <v>2847</v>
      </c>
      <c r="E324" s="3" t="s">
        <v>2848</v>
      </c>
      <c r="F324" s="3" t="s">
        <v>2849</v>
      </c>
      <c r="G324" s="3" t="s">
        <v>2850</v>
      </c>
      <c r="H324" s="11" t="s">
        <v>8204</v>
      </c>
      <c r="I324" s="3" t="s">
        <v>5618</v>
      </c>
      <c r="J324" s="7">
        <v>2.15</v>
      </c>
      <c r="K324" s="1" t="s">
        <v>5619</v>
      </c>
      <c r="L324" s="2">
        <v>1.65E-4</v>
      </c>
      <c r="M324" s="2">
        <f>57/100000</f>
        <v>5.6999999999999998E-4</v>
      </c>
      <c r="N324" s="2">
        <v>1.1003570000000001E-2</v>
      </c>
      <c r="O324" s="3" t="s">
        <v>5620</v>
      </c>
      <c r="P324" s="7">
        <v>1.26</v>
      </c>
      <c r="Q324" s="1" t="s">
        <v>5621</v>
      </c>
      <c r="R324" s="2">
        <v>0.34100000000000003</v>
      </c>
      <c r="S324" s="2">
        <f>33881/100000</f>
        <v>0.33881</v>
      </c>
      <c r="T324" s="2">
        <v>0.61526179999999997</v>
      </c>
    </row>
    <row r="325" spans="1:20">
      <c r="A325" s="3" t="s">
        <v>2855</v>
      </c>
      <c r="B325" s="1" t="s">
        <v>2856</v>
      </c>
      <c r="C325" s="3" t="s">
        <v>2857</v>
      </c>
      <c r="D325" s="3" t="s">
        <v>2858</v>
      </c>
      <c r="E325" s="3" t="s">
        <v>2859</v>
      </c>
      <c r="F325" s="3" t="s">
        <v>2860</v>
      </c>
      <c r="G325" s="3" t="s">
        <v>2861</v>
      </c>
      <c r="H325" s="11" t="s">
        <v>8205</v>
      </c>
      <c r="I325" s="3" t="s">
        <v>5622</v>
      </c>
      <c r="J325" s="7">
        <v>1.05</v>
      </c>
      <c r="K325" s="1" t="s">
        <v>5623</v>
      </c>
      <c r="L325" s="2">
        <v>0.86599999999999999</v>
      </c>
      <c r="M325" s="2">
        <f>89018/100000</f>
        <v>0.89017999999999997</v>
      </c>
      <c r="N325" s="2">
        <v>0.82929589999999997</v>
      </c>
      <c r="O325" s="3" t="s">
        <v>5624</v>
      </c>
      <c r="P325" s="7">
        <v>0.52</v>
      </c>
      <c r="Q325" s="1" t="s">
        <v>5625</v>
      </c>
      <c r="R325" s="2">
        <v>0.13800000000000001</v>
      </c>
      <c r="S325" s="2">
        <f>18076/100000</f>
        <v>0.18076</v>
      </c>
      <c r="T325" s="2">
        <v>0.4703618</v>
      </c>
    </row>
    <row r="326" spans="1:20">
      <c r="A326" s="3" t="s">
        <v>2866</v>
      </c>
      <c r="B326" s="1" t="s">
        <v>2856</v>
      </c>
      <c r="C326" s="3" t="s">
        <v>2857</v>
      </c>
      <c r="D326" s="3" t="s">
        <v>2867</v>
      </c>
      <c r="E326" s="3" t="s">
        <v>2868</v>
      </c>
      <c r="F326" s="3" t="s">
        <v>2869</v>
      </c>
      <c r="G326" s="3" t="s">
        <v>2870</v>
      </c>
      <c r="H326" s="11" t="s">
        <v>8206</v>
      </c>
      <c r="I326" s="3" t="s">
        <v>5626</v>
      </c>
      <c r="J326" s="7">
        <v>0.7</v>
      </c>
      <c r="K326" s="1" t="s">
        <v>5627</v>
      </c>
      <c r="L326" s="2">
        <v>0.30099999999999999</v>
      </c>
      <c r="M326" s="2">
        <f>32033/100000</f>
        <v>0.32033</v>
      </c>
      <c r="N326" s="2">
        <v>0.60545320000000002</v>
      </c>
      <c r="O326" s="3" t="s">
        <v>5628</v>
      </c>
      <c r="P326" s="7">
        <v>0.78</v>
      </c>
      <c r="Q326" s="1" t="s">
        <v>5629</v>
      </c>
      <c r="R326" s="2">
        <v>0.67200000000000004</v>
      </c>
      <c r="S326" s="2">
        <f>80433/100000</f>
        <v>0.80432999999999999</v>
      </c>
      <c r="T326" s="2">
        <v>0.82929589999999997</v>
      </c>
    </row>
    <row r="327" spans="1:20">
      <c r="A327" s="3" t="s">
        <v>2875</v>
      </c>
      <c r="B327" s="1" t="s">
        <v>2876</v>
      </c>
      <c r="C327" s="3" t="s">
        <v>2877</v>
      </c>
      <c r="D327" s="3" t="s">
        <v>2878</v>
      </c>
      <c r="E327" s="3" t="s">
        <v>2879</v>
      </c>
      <c r="F327" s="3" t="s">
        <v>2880</v>
      </c>
      <c r="G327" s="3" t="s">
        <v>2881</v>
      </c>
      <c r="H327" s="11" t="s">
        <v>8207</v>
      </c>
      <c r="I327" s="3" t="s">
        <v>5630</v>
      </c>
      <c r="J327" s="7">
        <v>1.49</v>
      </c>
      <c r="K327" s="1" t="s">
        <v>5631</v>
      </c>
      <c r="L327" s="2">
        <v>0.27300000000000002</v>
      </c>
      <c r="M327" s="2">
        <f>26637/100000</f>
        <v>0.26637</v>
      </c>
      <c r="N327" s="2">
        <v>0.56620890000000001</v>
      </c>
      <c r="O327" s="3" t="s">
        <v>5632</v>
      </c>
      <c r="P327" s="7">
        <v>1.42</v>
      </c>
      <c r="Q327" s="1" t="s">
        <v>5633</v>
      </c>
      <c r="R327" s="2">
        <v>0.40500000000000003</v>
      </c>
      <c r="S327" s="2">
        <f>45597/100000</f>
        <v>0.45596999999999999</v>
      </c>
      <c r="T327" s="2">
        <v>0.70106590000000002</v>
      </c>
    </row>
    <row r="328" spans="1:20">
      <c r="A328" s="3" t="s">
        <v>2885</v>
      </c>
      <c r="B328" s="1" t="s">
        <v>2876</v>
      </c>
      <c r="C328" s="3" t="s">
        <v>2877</v>
      </c>
      <c r="D328" s="3" t="s">
        <v>2886</v>
      </c>
      <c r="E328" s="3" t="s">
        <v>2887</v>
      </c>
      <c r="F328" s="3" t="s">
        <v>2888</v>
      </c>
      <c r="G328" s="3" t="s">
        <v>2889</v>
      </c>
      <c r="H328" s="11" t="s">
        <v>8098</v>
      </c>
      <c r="I328" s="3" t="s">
        <v>5634</v>
      </c>
      <c r="J328" s="7">
        <v>1.1299999999999999</v>
      </c>
      <c r="K328" s="1" t="s">
        <v>5635</v>
      </c>
      <c r="L328" s="2">
        <v>0.90600000000000003</v>
      </c>
      <c r="M328" s="2">
        <f>100000/100000</f>
        <v>1</v>
      </c>
      <c r="N328" s="2">
        <v>0.82929589999999997</v>
      </c>
      <c r="O328" s="3" t="s">
        <v>5636</v>
      </c>
      <c r="P328" s="7">
        <v>1.19</v>
      </c>
      <c r="Q328" s="1" t="s">
        <v>5637</v>
      </c>
      <c r="R328" s="2">
        <v>0.86099999999999999</v>
      </c>
      <c r="S328" s="2">
        <f>100000/100000</f>
        <v>1</v>
      </c>
      <c r="T328" s="2">
        <v>0.82929589999999997</v>
      </c>
    </row>
    <row r="329" spans="1:20">
      <c r="A329" s="3" t="s">
        <v>2894</v>
      </c>
      <c r="B329" s="1" t="s">
        <v>2876</v>
      </c>
      <c r="C329" s="3" t="s">
        <v>2877</v>
      </c>
      <c r="D329" s="3" t="s">
        <v>2895</v>
      </c>
      <c r="E329" s="3" t="s">
        <v>2896</v>
      </c>
      <c r="F329" s="3" t="s">
        <v>2897</v>
      </c>
      <c r="G329" s="3" t="s">
        <v>2898</v>
      </c>
      <c r="H329" s="11" t="s">
        <v>8098</v>
      </c>
      <c r="I329" s="3" t="s">
        <v>5638</v>
      </c>
      <c r="J329" s="7">
        <v>2.19</v>
      </c>
      <c r="K329" s="1" t="s">
        <v>5639</v>
      </c>
      <c r="L329" s="2">
        <v>0.26700000000000002</v>
      </c>
      <c r="M329" s="2">
        <f>24213/100000</f>
        <v>0.24213000000000001</v>
      </c>
      <c r="N329" s="2">
        <v>0.54252389999999995</v>
      </c>
      <c r="O329" s="3" t="s">
        <v>5640</v>
      </c>
      <c r="P329" s="7">
        <v>0</v>
      </c>
      <c r="Q329" s="1" t="s">
        <v>774</v>
      </c>
      <c r="R329" s="2">
        <v>0.27900000000000003</v>
      </c>
      <c r="S329" s="2">
        <f>41947/100000</f>
        <v>0.41947000000000001</v>
      </c>
      <c r="T329" s="2">
        <v>0.67565790000000003</v>
      </c>
    </row>
    <row r="330" spans="1:20">
      <c r="A330" s="3" t="s">
        <v>2902</v>
      </c>
      <c r="B330" s="1" t="s">
        <v>2876</v>
      </c>
      <c r="C330" s="3" t="s">
        <v>2877</v>
      </c>
      <c r="D330" s="3" t="s">
        <v>2903</v>
      </c>
      <c r="E330" s="3" t="s">
        <v>2904</v>
      </c>
      <c r="F330" s="3" t="s">
        <v>2905</v>
      </c>
      <c r="G330" s="3" t="s">
        <v>2906</v>
      </c>
      <c r="H330" s="11" t="s">
        <v>8098</v>
      </c>
      <c r="I330" s="3" t="s">
        <v>5641</v>
      </c>
      <c r="J330" s="7">
        <v>1.31</v>
      </c>
      <c r="K330" s="1" t="s">
        <v>5642</v>
      </c>
      <c r="L330" s="2">
        <v>0.52500000000000002</v>
      </c>
      <c r="M330" s="2">
        <f>63501/100000</f>
        <v>0.63500999999999996</v>
      </c>
      <c r="N330" s="2">
        <v>0.79869500000000004</v>
      </c>
      <c r="O330" s="3" t="s">
        <v>5643</v>
      </c>
      <c r="P330" s="7">
        <v>0.37</v>
      </c>
      <c r="Q330" s="1" t="s">
        <v>5644</v>
      </c>
      <c r="R330" s="2">
        <v>0.15</v>
      </c>
      <c r="S330" s="2">
        <f>17840/100000</f>
        <v>0.1784</v>
      </c>
      <c r="T330" s="2">
        <v>0.46586650000000002</v>
      </c>
    </row>
    <row r="331" spans="1:20">
      <c r="A331" s="3" t="s">
        <v>2911</v>
      </c>
      <c r="B331" s="1" t="s">
        <v>2876</v>
      </c>
      <c r="C331" s="3" t="s">
        <v>2877</v>
      </c>
      <c r="D331" s="3" t="s">
        <v>2912</v>
      </c>
      <c r="E331" s="3" t="s">
        <v>2913</v>
      </c>
      <c r="F331" s="3" t="s">
        <v>2905</v>
      </c>
      <c r="G331" s="3" t="s">
        <v>2906</v>
      </c>
      <c r="H331" s="11" t="s">
        <v>8207</v>
      </c>
      <c r="I331" s="3" t="s">
        <v>5645</v>
      </c>
      <c r="J331" s="7">
        <v>1.67</v>
      </c>
      <c r="K331" s="1" t="s">
        <v>5646</v>
      </c>
      <c r="L331" s="2">
        <v>8.9700000000000002E-2</v>
      </c>
      <c r="M331" s="2">
        <f>9152/100000</f>
        <v>9.1520000000000004E-2</v>
      </c>
      <c r="N331" s="2">
        <v>0.34636670000000003</v>
      </c>
      <c r="O331" s="3" t="s">
        <v>5647</v>
      </c>
      <c r="P331" s="7">
        <v>1.27</v>
      </c>
      <c r="Q331" s="1" t="s">
        <v>5648</v>
      </c>
      <c r="R331" s="2">
        <v>0.48299999999999998</v>
      </c>
      <c r="S331" s="2">
        <f>56278/100000</f>
        <v>0.56277999999999995</v>
      </c>
      <c r="T331" s="2">
        <v>0.76054100000000002</v>
      </c>
    </row>
    <row r="332" spans="1:20">
      <c r="A332" s="3" t="s">
        <v>2918</v>
      </c>
      <c r="B332" s="1" t="s">
        <v>2876</v>
      </c>
      <c r="C332" s="3" t="s">
        <v>2877</v>
      </c>
      <c r="D332" s="3" t="s">
        <v>2919</v>
      </c>
      <c r="E332" s="3" t="s">
        <v>2920</v>
      </c>
      <c r="F332" s="3" t="s">
        <v>2897</v>
      </c>
      <c r="G332" s="3" t="s">
        <v>2898</v>
      </c>
      <c r="H332" s="11" t="s">
        <v>8207</v>
      </c>
      <c r="I332" s="3" t="s">
        <v>5649</v>
      </c>
      <c r="J332" s="7">
        <v>0</v>
      </c>
      <c r="K332" s="1" t="s">
        <v>774</v>
      </c>
      <c r="L332" s="2">
        <v>0.23100000000000001</v>
      </c>
      <c r="M332" s="2">
        <f>40830/100000</f>
        <v>0.4083</v>
      </c>
      <c r="N332" s="2">
        <v>0.67021109999999995</v>
      </c>
      <c r="O332" s="3" t="s">
        <v>5650</v>
      </c>
      <c r="P332" s="7">
        <v>1.43</v>
      </c>
      <c r="Q332" s="1" t="s">
        <v>5651</v>
      </c>
      <c r="R332" s="2">
        <v>0.61799999999999999</v>
      </c>
      <c r="S332" s="2">
        <f>65505/100000</f>
        <v>0.65505000000000002</v>
      </c>
      <c r="T332" s="2">
        <v>0.80511429999999995</v>
      </c>
    </row>
    <row r="333" spans="1:20">
      <c r="A333" s="3" t="s">
        <v>2924</v>
      </c>
      <c r="B333" s="1" t="s">
        <v>2876</v>
      </c>
      <c r="C333" s="3" t="s">
        <v>2877</v>
      </c>
      <c r="D333" s="3" t="s">
        <v>2925</v>
      </c>
      <c r="E333" s="3" t="s">
        <v>2926</v>
      </c>
      <c r="F333" s="3" t="s">
        <v>2888</v>
      </c>
      <c r="G333" s="3" t="s">
        <v>2889</v>
      </c>
      <c r="H333" s="11" t="s">
        <v>8207</v>
      </c>
      <c r="I333" s="3" t="s">
        <v>5652</v>
      </c>
      <c r="J333" s="7">
        <v>1.44</v>
      </c>
      <c r="K333" s="1" t="s">
        <v>5653</v>
      </c>
      <c r="L333" s="2">
        <v>0.60799999999999998</v>
      </c>
      <c r="M333" s="2">
        <f>65282/100000</f>
        <v>0.65281999999999996</v>
      </c>
      <c r="N333" s="2">
        <v>0.80372840000000001</v>
      </c>
      <c r="O333" s="3" t="s">
        <v>5654</v>
      </c>
      <c r="P333" s="7">
        <v>0.73</v>
      </c>
      <c r="Q333" s="1" t="s">
        <v>5655</v>
      </c>
      <c r="R333" s="2">
        <v>0.751</v>
      </c>
      <c r="S333" s="2">
        <f>100000/100000</f>
        <v>1</v>
      </c>
      <c r="T333" s="2">
        <v>0.82929589999999997</v>
      </c>
    </row>
    <row r="334" spans="1:20">
      <c r="A334" s="3" t="s">
        <v>2931</v>
      </c>
      <c r="B334" s="1" t="s">
        <v>2876</v>
      </c>
      <c r="C334" s="3" t="s">
        <v>2877</v>
      </c>
      <c r="D334" s="3" t="s">
        <v>2932</v>
      </c>
      <c r="E334" s="3" t="s">
        <v>2933</v>
      </c>
      <c r="F334" s="3" t="s">
        <v>2880</v>
      </c>
      <c r="G334" s="3" t="s">
        <v>2881</v>
      </c>
      <c r="H334" s="11" t="s">
        <v>8098</v>
      </c>
      <c r="I334" s="3" t="s">
        <v>5656</v>
      </c>
      <c r="J334" s="7">
        <v>2.31</v>
      </c>
      <c r="K334" s="1" t="s">
        <v>5657</v>
      </c>
      <c r="L334" s="2">
        <v>4.8599999999999997E-3</v>
      </c>
      <c r="M334" s="2">
        <f>984/100000</f>
        <v>9.8399999999999998E-3</v>
      </c>
      <c r="N334" s="2">
        <v>8.5932649999999999E-2</v>
      </c>
      <c r="O334" s="3" t="s">
        <v>5658</v>
      </c>
      <c r="P334" s="7">
        <v>1.2</v>
      </c>
      <c r="Q334" s="1" t="s">
        <v>5659</v>
      </c>
      <c r="R334" s="2">
        <v>0.67</v>
      </c>
      <c r="S334" s="2">
        <f>81925/100000</f>
        <v>0.81925000000000003</v>
      </c>
      <c r="T334" s="2">
        <v>0.82929589999999997</v>
      </c>
    </row>
    <row r="335" spans="1:20">
      <c r="A335" s="3" t="s">
        <v>2938</v>
      </c>
      <c r="B335" s="1" t="s">
        <v>2939</v>
      </c>
      <c r="C335" s="3" t="s">
        <v>2940</v>
      </c>
      <c r="D335" s="3" t="s">
        <v>2941</v>
      </c>
      <c r="E335" s="3" t="s">
        <v>2942</v>
      </c>
      <c r="F335" s="3" t="s">
        <v>2943</v>
      </c>
      <c r="G335" s="3" t="s">
        <v>2944</v>
      </c>
      <c r="H335" s="11" t="s">
        <v>8208</v>
      </c>
      <c r="I335" s="3" t="s">
        <v>5660</v>
      </c>
      <c r="J335" s="7">
        <v>1.1499999999999999</v>
      </c>
      <c r="K335" s="1" t="s">
        <v>5661</v>
      </c>
      <c r="L335" s="2">
        <v>0.67300000000000004</v>
      </c>
      <c r="M335" s="2">
        <f>72823/100000</f>
        <v>0.72823000000000004</v>
      </c>
      <c r="N335" s="2">
        <v>0.82137769999999999</v>
      </c>
      <c r="O335" s="3" t="s">
        <v>5662</v>
      </c>
      <c r="P335" s="7">
        <v>0.9</v>
      </c>
      <c r="Q335" s="1" t="s">
        <v>5663</v>
      </c>
      <c r="R335" s="2">
        <v>0.79200000000000004</v>
      </c>
      <c r="S335" s="2">
        <f>84938/100000</f>
        <v>0.84938000000000002</v>
      </c>
      <c r="T335" s="2">
        <v>0.82929589999999997</v>
      </c>
    </row>
    <row r="336" spans="1:20">
      <c r="A336" s="3" t="s">
        <v>2949</v>
      </c>
      <c r="B336" s="1" t="s">
        <v>2939</v>
      </c>
      <c r="C336" s="3" t="s">
        <v>2940</v>
      </c>
      <c r="D336" s="3" t="s">
        <v>2950</v>
      </c>
      <c r="E336" s="3" t="s">
        <v>2951</v>
      </c>
      <c r="F336" s="3" t="s">
        <v>2943</v>
      </c>
      <c r="G336" s="3" t="s">
        <v>2944</v>
      </c>
      <c r="H336" s="11" t="s">
        <v>8208</v>
      </c>
      <c r="I336" s="3" t="s">
        <v>5664</v>
      </c>
      <c r="J336" s="7">
        <v>1.1100000000000001</v>
      </c>
      <c r="K336" s="1" t="s">
        <v>835</v>
      </c>
      <c r="L336" s="2">
        <v>0.71899999999999997</v>
      </c>
      <c r="M336" s="2">
        <f>76537/100000</f>
        <v>0.76536999999999999</v>
      </c>
      <c r="N336" s="2">
        <v>0.82929589999999997</v>
      </c>
      <c r="O336" s="3" t="s">
        <v>5665</v>
      </c>
      <c r="P336" s="7">
        <v>0.98</v>
      </c>
      <c r="Q336" s="1" t="s">
        <v>5145</v>
      </c>
      <c r="R336" s="2">
        <v>0.95899999999999996</v>
      </c>
      <c r="S336" s="2">
        <f>100000/100000</f>
        <v>1</v>
      </c>
      <c r="T336" s="2">
        <v>0.82929589999999997</v>
      </c>
    </row>
    <row r="337" spans="1:20">
      <c r="A337" s="3" t="s">
        <v>2956</v>
      </c>
      <c r="B337" s="1" t="s">
        <v>2957</v>
      </c>
      <c r="C337" s="3" t="s">
        <v>2958</v>
      </c>
      <c r="D337" s="3" t="s">
        <v>2959</v>
      </c>
      <c r="E337" s="3" t="s">
        <v>2960</v>
      </c>
      <c r="F337" s="3" t="s">
        <v>2961</v>
      </c>
      <c r="G337" s="3" t="s">
        <v>2962</v>
      </c>
      <c r="H337" s="11" t="s">
        <v>8195</v>
      </c>
      <c r="I337" s="3" t="s">
        <v>5666</v>
      </c>
      <c r="J337" s="7">
        <v>1.03</v>
      </c>
      <c r="K337" s="1" t="s">
        <v>5667</v>
      </c>
      <c r="L337" s="2">
        <v>0.94899999999999995</v>
      </c>
      <c r="M337" s="2">
        <f>100000/100000</f>
        <v>1</v>
      </c>
      <c r="N337" s="2">
        <v>0.82929589999999997</v>
      </c>
      <c r="O337" s="3" t="s">
        <v>5668</v>
      </c>
      <c r="P337" s="7">
        <v>0.87</v>
      </c>
      <c r="Q337" s="1" t="s">
        <v>5669</v>
      </c>
      <c r="R337" s="2">
        <v>0.80800000000000005</v>
      </c>
      <c r="S337" s="2">
        <f>100000/100000</f>
        <v>1</v>
      </c>
      <c r="T337" s="2">
        <v>0.82929589999999997</v>
      </c>
    </row>
    <row r="338" spans="1:20">
      <c r="A338" s="3" t="s">
        <v>2967</v>
      </c>
      <c r="B338" s="1" t="s">
        <v>2968</v>
      </c>
      <c r="C338" s="3" t="s">
        <v>2969</v>
      </c>
      <c r="D338" s="3" t="s">
        <v>2970</v>
      </c>
      <c r="E338" s="3" t="s">
        <v>2971</v>
      </c>
      <c r="F338" s="3" t="s">
        <v>2972</v>
      </c>
      <c r="G338" s="3" t="s">
        <v>2973</v>
      </c>
      <c r="H338" s="11" t="s">
        <v>8072</v>
      </c>
      <c r="I338" s="3" t="s">
        <v>5670</v>
      </c>
      <c r="J338" s="7">
        <v>1.56</v>
      </c>
      <c r="K338" s="1" t="s">
        <v>5671</v>
      </c>
      <c r="L338" s="2">
        <v>0.28299999999999997</v>
      </c>
      <c r="M338" s="2">
        <f>29309/100000</f>
        <v>0.29309000000000002</v>
      </c>
      <c r="N338" s="2">
        <v>0.57823020000000003</v>
      </c>
      <c r="O338" s="3" t="s">
        <v>5672</v>
      </c>
      <c r="P338" s="7">
        <v>0.97</v>
      </c>
      <c r="Q338" s="1" t="s">
        <v>5673</v>
      </c>
      <c r="R338" s="2">
        <v>0.95899999999999996</v>
      </c>
      <c r="S338" s="2">
        <f>100000/100000</f>
        <v>1</v>
      </c>
      <c r="T338" s="2">
        <v>0.82929589999999997</v>
      </c>
    </row>
    <row r="339" spans="1:20">
      <c r="A339" s="3" t="s">
        <v>2978</v>
      </c>
      <c r="B339" s="1" t="s">
        <v>2979</v>
      </c>
      <c r="C339" s="3" t="s">
        <v>2980</v>
      </c>
      <c r="D339" s="3" t="s">
        <v>2981</v>
      </c>
      <c r="E339" s="3" t="s">
        <v>2982</v>
      </c>
      <c r="F339" s="3" t="s">
        <v>2983</v>
      </c>
      <c r="G339" s="3" t="s">
        <v>2315</v>
      </c>
      <c r="H339" s="11" t="s">
        <v>8109</v>
      </c>
      <c r="I339" s="3" t="s">
        <v>5674</v>
      </c>
      <c r="J339" s="7">
        <v>0.95</v>
      </c>
      <c r="K339" s="1" t="s">
        <v>4905</v>
      </c>
      <c r="L339" s="2">
        <v>0.88</v>
      </c>
      <c r="M339" s="2">
        <f>100000/100000</f>
        <v>1</v>
      </c>
      <c r="N339" s="2">
        <v>0.82929589999999997</v>
      </c>
      <c r="O339" s="3" t="s">
        <v>5675</v>
      </c>
      <c r="P339" s="7">
        <v>1.58</v>
      </c>
      <c r="Q339" s="1" t="s">
        <v>5676</v>
      </c>
      <c r="R339" s="2">
        <v>0.104</v>
      </c>
      <c r="S339" s="2">
        <f>11075/100000</f>
        <v>0.11075</v>
      </c>
      <c r="T339" s="2">
        <v>0.3740059</v>
      </c>
    </row>
    <row r="340" spans="1:20">
      <c r="A340" s="3" t="s">
        <v>2988</v>
      </c>
      <c r="B340" s="1" t="s">
        <v>2979</v>
      </c>
      <c r="C340" s="3" t="s">
        <v>2980</v>
      </c>
      <c r="D340" s="3" t="s">
        <v>2989</v>
      </c>
      <c r="E340" s="3" t="s">
        <v>2990</v>
      </c>
      <c r="F340" s="3" t="s">
        <v>2991</v>
      </c>
      <c r="G340" s="3" t="s">
        <v>2324</v>
      </c>
      <c r="H340" s="11" t="s">
        <v>8109</v>
      </c>
      <c r="I340" s="3" t="s">
        <v>5677</v>
      </c>
      <c r="J340" s="7">
        <v>1.62</v>
      </c>
      <c r="K340" s="1" t="s">
        <v>5678</v>
      </c>
      <c r="L340" s="2">
        <v>8.7900000000000006E-2</v>
      </c>
      <c r="M340" s="2">
        <f>10412/100000</f>
        <v>0.10412</v>
      </c>
      <c r="N340" s="2">
        <v>0.36230659999999998</v>
      </c>
      <c r="O340" s="3" t="s">
        <v>5679</v>
      </c>
      <c r="P340" s="7">
        <v>2.31</v>
      </c>
      <c r="Q340" s="1" t="s">
        <v>5680</v>
      </c>
      <c r="R340" s="2">
        <v>3.28E-4</v>
      </c>
      <c r="S340" s="2">
        <f>143/100000</f>
        <v>1.4300000000000001E-3</v>
      </c>
      <c r="T340" s="2">
        <v>2.1543389999999999E-2</v>
      </c>
    </row>
    <row r="341" spans="1:20">
      <c r="A341" s="3" t="s">
        <v>2996</v>
      </c>
      <c r="B341" s="1" t="s">
        <v>2997</v>
      </c>
      <c r="C341" s="3" t="s">
        <v>2998</v>
      </c>
      <c r="D341" s="3" t="s">
        <v>2981</v>
      </c>
      <c r="E341" s="3" t="s">
        <v>2982</v>
      </c>
      <c r="F341" s="3" t="s">
        <v>2983</v>
      </c>
      <c r="G341" s="3" t="s">
        <v>2315</v>
      </c>
      <c r="H341" s="11" t="s">
        <v>8109</v>
      </c>
      <c r="I341" s="3" t="s">
        <v>5674</v>
      </c>
      <c r="J341" s="7">
        <v>0.95</v>
      </c>
      <c r="K341" s="1" t="s">
        <v>4905</v>
      </c>
      <c r="L341" s="2">
        <v>0.88</v>
      </c>
      <c r="M341" s="2">
        <f>100000/100000</f>
        <v>1</v>
      </c>
      <c r="N341" s="2">
        <v>0.82929589999999997</v>
      </c>
      <c r="O341" s="3" t="s">
        <v>5675</v>
      </c>
      <c r="P341" s="7">
        <v>1.58</v>
      </c>
      <c r="Q341" s="1" t="s">
        <v>5676</v>
      </c>
      <c r="R341" s="2">
        <v>0.104</v>
      </c>
      <c r="S341" s="2">
        <f>11075/100000</f>
        <v>0.11075</v>
      </c>
      <c r="T341" s="2">
        <v>0.3740059</v>
      </c>
    </row>
    <row r="342" spans="1:20">
      <c r="A342" s="3" t="s">
        <v>2999</v>
      </c>
      <c r="B342" s="1" t="s">
        <v>2997</v>
      </c>
      <c r="C342" s="3" t="s">
        <v>2998</v>
      </c>
      <c r="D342" s="3" t="s">
        <v>2989</v>
      </c>
      <c r="E342" s="3" t="s">
        <v>2990</v>
      </c>
      <c r="F342" s="3" t="s">
        <v>2991</v>
      </c>
      <c r="G342" s="3" t="s">
        <v>2324</v>
      </c>
      <c r="H342" s="11" t="s">
        <v>8109</v>
      </c>
      <c r="I342" s="3" t="s">
        <v>5677</v>
      </c>
      <c r="J342" s="7">
        <v>1.62</v>
      </c>
      <c r="K342" s="1" t="s">
        <v>5678</v>
      </c>
      <c r="L342" s="2">
        <v>8.7900000000000006E-2</v>
      </c>
      <c r="M342" s="2">
        <f>10412/100000</f>
        <v>0.10412</v>
      </c>
      <c r="N342" s="2">
        <v>0.36230659999999998</v>
      </c>
      <c r="O342" s="3" t="s">
        <v>5679</v>
      </c>
      <c r="P342" s="7">
        <v>2.31</v>
      </c>
      <c r="Q342" s="1" t="s">
        <v>5680</v>
      </c>
      <c r="R342" s="2">
        <v>3.28E-4</v>
      </c>
      <c r="S342" s="2">
        <f>143/100000</f>
        <v>1.4300000000000001E-3</v>
      </c>
      <c r="T342" s="2">
        <v>2.1543389999999999E-2</v>
      </c>
    </row>
    <row r="343" spans="1:20">
      <c r="A343" s="3" t="s">
        <v>3000</v>
      </c>
      <c r="B343" s="1" t="s">
        <v>3001</v>
      </c>
      <c r="C343" s="3" t="s">
        <v>3002</v>
      </c>
      <c r="D343" s="3" t="s">
        <v>3003</v>
      </c>
      <c r="E343" s="3" t="s">
        <v>3004</v>
      </c>
      <c r="F343" s="3" t="s">
        <v>3005</v>
      </c>
      <c r="G343" s="3" t="s">
        <v>3006</v>
      </c>
      <c r="H343" s="11" t="s">
        <v>8209</v>
      </c>
      <c r="I343" s="3" t="s">
        <v>5681</v>
      </c>
      <c r="J343" s="7">
        <v>2.04</v>
      </c>
      <c r="K343" s="1" t="s">
        <v>5682</v>
      </c>
      <c r="L343" s="2">
        <v>8.2799999999999999E-2</v>
      </c>
      <c r="M343" s="2">
        <f>13246/100000</f>
        <v>0.13245999999999999</v>
      </c>
      <c r="N343" s="2">
        <v>0.40060279999999998</v>
      </c>
      <c r="O343" s="3" t="s">
        <v>5257</v>
      </c>
      <c r="P343" s="7">
        <v>1.0900000000000001</v>
      </c>
      <c r="Q343" s="1" t="s">
        <v>5258</v>
      </c>
      <c r="R343" s="2">
        <v>0.85899999999999999</v>
      </c>
      <c r="S343" s="2">
        <f>100000/100000</f>
        <v>1</v>
      </c>
      <c r="T343" s="2">
        <v>0.82929589999999997</v>
      </c>
    </row>
    <row r="344" spans="1:20">
      <c r="A344" s="3" t="s">
        <v>3010</v>
      </c>
      <c r="B344" s="1" t="s">
        <v>3001</v>
      </c>
      <c r="C344" s="3" t="s">
        <v>3002</v>
      </c>
      <c r="D344" s="3" t="s">
        <v>3011</v>
      </c>
      <c r="E344" s="3" t="s">
        <v>3012</v>
      </c>
      <c r="F344" s="3" t="s">
        <v>3013</v>
      </c>
      <c r="G344" s="3" t="s">
        <v>3014</v>
      </c>
      <c r="H344" s="11" t="s">
        <v>8209</v>
      </c>
      <c r="I344" s="3" t="s">
        <v>5683</v>
      </c>
      <c r="J344" s="7">
        <v>1.53</v>
      </c>
      <c r="K344" s="1" t="s">
        <v>5684</v>
      </c>
      <c r="L344" s="2">
        <v>0.34799999999999998</v>
      </c>
      <c r="M344" s="2">
        <f>39041/100000</f>
        <v>0.39040999999999998</v>
      </c>
      <c r="N344" s="2">
        <v>0.65531740000000005</v>
      </c>
      <c r="O344" s="3" t="s">
        <v>5685</v>
      </c>
      <c r="P344" s="7">
        <v>1.42</v>
      </c>
      <c r="Q344" s="1" t="s">
        <v>5343</v>
      </c>
      <c r="R344" s="2">
        <v>0.27600000000000002</v>
      </c>
      <c r="S344" s="2">
        <f>33401/100000</f>
        <v>0.33400999999999997</v>
      </c>
      <c r="T344" s="2">
        <v>0.61526179999999997</v>
      </c>
    </row>
    <row r="345" spans="1:20">
      <c r="A345" s="3" t="s">
        <v>3018</v>
      </c>
      <c r="B345" s="1" t="s">
        <v>3019</v>
      </c>
      <c r="C345" s="3" t="s">
        <v>3020</v>
      </c>
      <c r="D345" s="3" t="s">
        <v>3021</v>
      </c>
      <c r="E345" s="3" t="s">
        <v>3022</v>
      </c>
      <c r="F345" s="3" t="s">
        <v>3023</v>
      </c>
      <c r="G345" s="3" t="s">
        <v>3024</v>
      </c>
      <c r="H345" s="11" t="s">
        <v>8210</v>
      </c>
      <c r="I345" s="3" t="s">
        <v>5686</v>
      </c>
      <c r="J345" s="7">
        <v>1.28</v>
      </c>
      <c r="K345" s="1" t="s">
        <v>5687</v>
      </c>
      <c r="L345" s="2">
        <v>0.73199999999999998</v>
      </c>
      <c r="M345" s="2">
        <f>100000/100000</f>
        <v>1</v>
      </c>
      <c r="N345" s="2">
        <v>0.82929589999999997</v>
      </c>
      <c r="O345" s="3" t="s">
        <v>5688</v>
      </c>
      <c r="P345" s="7">
        <v>0</v>
      </c>
      <c r="Q345" s="1" t="s">
        <v>774</v>
      </c>
      <c r="R345" s="2">
        <v>0.49399999999999999</v>
      </c>
      <c r="S345" s="2">
        <f>100000/100000</f>
        <v>1</v>
      </c>
      <c r="T345" s="2">
        <v>0.82929589999999997</v>
      </c>
    </row>
    <row r="346" spans="1:20">
      <c r="A346" s="3" t="s">
        <v>3029</v>
      </c>
      <c r="B346" s="1" t="s">
        <v>3030</v>
      </c>
      <c r="C346" s="3" t="s">
        <v>3031</v>
      </c>
      <c r="D346" s="3" t="s">
        <v>3032</v>
      </c>
      <c r="E346" s="3" t="s">
        <v>3033</v>
      </c>
      <c r="F346" s="3" t="s">
        <v>3034</v>
      </c>
      <c r="G346" s="3" t="s">
        <v>3035</v>
      </c>
      <c r="H346" s="11" t="s">
        <v>8211</v>
      </c>
      <c r="I346" s="3" t="s">
        <v>5689</v>
      </c>
      <c r="J346" s="7">
        <v>1</v>
      </c>
      <c r="K346" s="1" t="s">
        <v>5690</v>
      </c>
      <c r="L346" s="2">
        <v>0.996</v>
      </c>
      <c r="M346" s="2">
        <f>100000/100000</f>
        <v>1</v>
      </c>
      <c r="N346" s="2">
        <v>0.82929589999999997</v>
      </c>
      <c r="O346" s="3" t="s">
        <v>5691</v>
      </c>
      <c r="P346" s="7">
        <v>0.56999999999999995</v>
      </c>
      <c r="Q346" s="1" t="s">
        <v>5692</v>
      </c>
      <c r="R346" s="2">
        <v>0.42499999999999999</v>
      </c>
      <c r="S346" s="2">
        <f>59157/100000</f>
        <v>0.59157000000000004</v>
      </c>
      <c r="T346" s="2">
        <v>0.77707570000000004</v>
      </c>
    </row>
    <row r="347" spans="1:20">
      <c r="A347" s="3" t="s">
        <v>3040</v>
      </c>
      <c r="B347" s="1" t="s">
        <v>3041</v>
      </c>
      <c r="C347" s="3" t="s">
        <v>3042</v>
      </c>
      <c r="D347" s="3" t="s">
        <v>3043</v>
      </c>
      <c r="E347" s="3" t="s">
        <v>3044</v>
      </c>
      <c r="F347" s="3" t="s">
        <v>3045</v>
      </c>
      <c r="G347" s="3" t="s">
        <v>3046</v>
      </c>
      <c r="H347" s="11" t="s">
        <v>8078</v>
      </c>
      <c r="I347" s="3" t="s">
        <v>5693</v>
      </c>
      <c r="J347" s="7">
        <v>1.1299999999999999</v>
      </c>
      <c r="K347" s="1" t="s">
        <v>5694</v>
      </c>
      <c r="L347" s="2">
        <v>0.86399999999999999</v>
      </c>
      <c r="M347" s="2">
        <f>100000/100000</f>
        <v>1</v>
      </c>
      <c r="N347" s="2">
        <v>0.82929589999999997</v>
      </c>
      <c r="O347" s="3" t="s">
        <v>5695</v>
      </c>
      <c r="P347" s="7">
        <v>1.1399999999999999</v>
      </c>
      <c r="Q347" s="1" t="s">
        <v>5696</v>
      </c>
      <c r="R347" s="2">
        <v>0.85299999999999998</v>
      </c>
      <c r="S347" s="2">
        <f>100000/100000</f>
        <v>1</v>
      </c>
      <c r="T347" s="2">
        <v>0.82929589999999997</v>
      </c>
    </row>
    <row r="348" spans="1:20">
      <c r="A348" s="3" t="s">
        <v>3051</v>
      </c>
      <c r="B348" s="1" t="s">
        <v>3052</v>
      </c>
      <c r="C348" s="3" t="s">
        <v>3053</v>
      </c>
      <c r="D348" s="3" t="s">
        <v>3043</v>
      </c>
      <c r="E348" s="3" t="s">
        <v>3044</v>
      </c>
      <c r="F348" s="3" t="s">
        <v>3045</v>
      </c>
      <c r="G348" s="3" t="s">
        <v>3046</v>
      </c>
      <c r="H348" s="11" t="s">
        <v>8078</v>
      </c>
      <c r="I348" s="3" t="s">
        <v>5693</v>
      </c>
      <c r="J348" s="7">
        <v>1.1299999999999999</v>
      </c>
      <c r="K348" s="1" t="s">
        <v>5694</v>
      </c>
      <c r="L348" s="2">
        <v>0.86399999999999999</v>
      </c>
      <c r="M348" s="2">
        <f>100000/100000</f>
        <v>1</v>
      </c>
      <c r="N348" s="2">
        <v>0.82929589999999997</v>
      </c>
      <c r="O348" s="3" t="s">
        <v>5695</v>
      </c>
      <c r="P348" s="7">
        <v>1.1399999999999999</v>
      </c>
      <c r="Q348" s="1" t="s">
        <v>5696</v>
      </c>
      <c r="R348" s="2">
        <v>0.85299999999999998</v>
      </c>
      <c r="S348" s="2">
        <f>100000/100000</f>
        <v>1</v>
      </c>
      <c r="T348" s="2">
        <v>0.82929589999999997</v>
      </c>
    </row>
    <row r="349" spans="1:20">
      <c r="A349" s="3" t="s">
        <v>3054</v>
      </c>
      <c r="B349" s="1" t="s">
        <v>3055</v>
      </c>
      <c r="C349" s="3" t="s">
        <v>3056</v>
      </c>
      <c r="D349" s="3" t="s">
        <v>3057</v>
      </c>
      <c r="E349" s="3" t="s">
        <v>3058</v>
      </c>
      <c r="F349" s="3" t="s">
        <v>3059</v>
      </c>
      <c r="G349" s="3" t="s">
        <v>3060</v>
      </c>
      <c r="H349" s="11" t="s">
        <v>8212</v>
      </c>
      <c r="I349" s="3" t="s">
        <v>5697</v>
      </c>
      <c r="J349" s="7">
        <v>0.32</v>
      </c>
      <c r="K349" s="1" t="s">
        <v>5698</v>
      </c>
      <c r="L349" s="2">
        <v>0.23100000000000001</v>
      </c>
      <c r="M349" s="2">
        <f>27385/100000</f>
        <v>0.27384999999999998</v>
      </c>
      <c r="N349" s="2">
        <v>0.56620890000000001</v>
      </c>
      <c r="O349" s="3" t="s">
        <v>5699</v>
      </c>
      <c r="P349" s="7">
        <v>0.82</v>
      </c>
      <c r="Q349" s="1" t="s">
        <v>4525</v>
      </c>
      <c r="R349" s="2">
        <v>0.72899999999999998</v>
      </c>
      <c r="S349" s="2">
        <f>80339/100000</f>
        <v>0.80339000000000005</v>
      </c>
      <c r="T349" s="2">
        <v>0.82929589999999997</v>
      </c>
    </row>
    <row r="350" spans="1:20">
      <c r="A350" s="3" t="s">
        <v>3065</v>
      </c>
      <c r="B350" s="1" t="s">
        <v>3066</v>
      </c>
      <c r="C350" s="3" t="s">
        <v>3067</v>
      </c>
      <c r="D350" s="3" t="s">
        <v>3057</v>
      </c>
      <c r="E350" s="3" t="s">
        <v>3058</v>
      </c>
      <c r="F350" s="3" t="s">
        <v>3059</v>
      </c>
      <c r="G350" s="3" t="s">
        <v>3060</v>
      </c>
      <c r="H350" s="11" t="s">
        <v>8212</v>
      </c>
      <c r="I350" s="3" t="s">
        <v>5697</v>
      </c>
      <c r="J350" s="7">
        <v>0.32</v>
      </c>
      <c r="K350" s="1" t="s">
        <v>5698</v>
      </c>
      <c r="L350" s="2">
        <v>0.23100000000000001</v>
      </c>
      <c r="M350" s="2">
        <f>27385/100000</f>
        <v>0.27384999999999998</v>
      </c>
      <c r="N350" s="2">
        <v>0.56620890000000001</v>
      </c>
      <c r="O350" s="3" t="s">
        <v>5699</v>
      </c>
      <c r="P350" s="7">
        <v>0.82</v>
      </c>
      <c r="Q350" s="1" t="s">
        <v>4525</v>
      </c>
      <c r="R350" s="2">
        <v>0.72899999999999998</v>
      </c>
      <c r="S350" s="2">
        <f>80339/100000</f>
        <v>0.80339000000000005</v>
      </c>
      <c r="T350" s="2">
        <v>0.82929589999999997</v>
      </c>
    </row>
    <row r="351" spans="1:20">
      <c r="A351" s="3" t="s">
        <v>3068</v>
      </c>
      <c r="B351" s="1" t="s">
        <v>3069</v>
      </c>
      <c r="C351" s="3" t="s">
        <v>3070</v>
      </c>
      <c r="D351" s="3" t="s">
        <v>3071</v>
      </c>
      <c r="E351" s="3" t="s">
        <v>3072</v>
      </c>
      <c r="F351" s="3" t="s">
        <v>3073</v>
      </c>
      <c r="G351" s="3" t="s">
        <v>3074</v>
      </c>
      <c r="H351" s="11" t="s">
        <v>8100</v>
      </c>
      <c r="I351" s="3" t="s">
        <v>5700</v>
      </c>
      <c r="J351" s="7">
        <v>2.5099999999999998</v>
      </c>
      <c r="K351" s="1" t="s">
        <v>5701</v>
      </c>
      <c r="L351" s="2">
        <v>1.07E-4</v>
      </c>
      <c r="M351" s="2">
        <f>60/100000</f>
        <v>5.9999999999999995E-4</v>
      </c>
      <c r="N351" s="2">
        <v>1.1327210000000001E-2</v>
      </c>
      <c r="O351" s="3" t="s">
        <v>5702</v>
      </c>
      <c r="P351" s="7">
        <v>0.91</v>
      </c>
      <c r="Q351" s="1" t="s">
        <v>5703</v>
      </c>
      <c r="R351" s="2">
        <v>0.80400000000000005</v>
      </c>
      <c r="S351" s="2">
        <f>85804/100000</f>
        <v>0.85804000000000002</v>
      </c>
      <c r="T351" s="2">
        <v>0.82929589999999997</v>
      </c>
    </row>
    <row r="352" spans="1:20">
      <c r="A352" s="3" t="s">
        <v>3079</v>
      </c>
      <c r="B352" s="1" t="s">
        <v>3069</v>
      </c>
      <c r="C352" s="3" t="s">
        <v>3070</v>
      </c>
      <c r="D352" s="3" t="s">
        <v>3080</v>
      </c>
      <c r="E352" s="3" t="s">
        <v>3081</v>
      </c>
      <c r="F352" s="3" t="s">
        <v>3073</v>
      </c>
      <c r="G352" s="3" t="s">
        <v>3074</v>
      </c>
      <c r="H352" s="11" t="s">
        <v>8100</v>
      </c>
      <c r="I352" s="3" t="s">
        <v>5704</v>
      </c>
      <c r="J352" s="7">
        <v>1.47</v>
      </c>
      <c r="K352" s="1" t="s">
        <v>5705</v>
      </c>
      <c r="L352" s="2">
        <v>0.17399999999999999</v>
      </c>
      <c r="M352" s="2">
        <f>22742/100000</f>
        <v>0.22742000000000001</v>
      </c>
      <c r="N352" s="2">
        <v>0.52317999999999998</v>
      </c>
      <c r="O352" s="3" t="s">
        <v>5706</v>
      </c>
      <c r="P352" s="7">
        <v>0.83</v>
      </c>
      <c r="Q352" s="1" t="s">
        <v>5061</v>
      </c>
      <c r="R352" s="2">
        <v>0.63600000000000001</v>
      </c>
      <c r="S352" s="2">
        <f>72972/100000</f>
        <v>0.72972000000000004</v>
      </c>
      <c r="T352" s="2">
        <v>0.82137769999999999</v>
      </c>
    </row>
    <row r="353" spans="1:20">
      <c r="A353" s="3" t="s">
        <v>3086</v>
      </c>
      <c r="B353" s="1" t="s">
        <v>3087</v>
      </c>
      <c r="C353" s="3" t="s">
        <v>3088</v>
      </c>
      <c r="D353" s="3" t="s">
        <v>3089</v>
      </c>
      <c r="E353" s="3" t="s">
        <v>3090</v>
      </c>
      <c r="F353" s="3" t="s">
        <v>3091</v>
      </c>
      <c r="G353" s="3" t="s">
        <v>3092</v>
      </c>
      <c r="H353" s="11" t="s">
        <v>8213</v>
      </c>
      <c r="I353" s="3" t="s">
        <v>5707</v>
      </c>
      <c r="J353" s="7">
        <v>1.98</v>
      </c>
      <c r="K353" s="1" t="s">
        <v>5708</v>
      </c>
      <c r="L353" s="2">
        <v>5.62E-2</v>
      </c>
      <c r="M353" s="2">
        <f>7289/100000</f>
        <v>7.2889999999999996E-2</v>
      </c>
      <c r="N353" s="2">
        <v>0.30384860000000002</v>
      </c>
      <c r="O353" s="3" t="s">
        <v>5709</v>
      </c>
      <c r="P353" s="7">
        <v>0.36</v>
      </c>
      <c r="Q353" s="1" t="s">
        <v>5710</v>
      </c>
      <c r="R353" s="2">
        <v>0.28299999999999997</v>
      </c>
      <c r="S353" s="2">
        <f>37753/100000</f>
        <v>0.37752999999999998</v>
      </c>
      <c r="T353" s="2">
        <v>0.65084330000000001</v>
      </c>
    </row>
    <row r="354" spans="1:20">
      <c r="A354" s="3" t="s">
        <v>3097</v>
      </c>
      <c r="B354" s="1" t="s">
        <v>3098</v>
      </c>
      <c r="C354" s="3" t="s">
        <v>3099</v>
      </c>
      <c r="D354" s="3" t="s">
        <v>3100</v>
      </c>
      <c r="E354" s="3" t="s">
        <v>3101</v>
      </c>
      <c r="F354" s="3" t="s">
        <v>3102</v>
      </c>
      <c r="G354" s="3" t="s">
        <v>3103</v>
      </c>
      <c r="H354" s="11" t="s">
        <v>8214</v>
      </c>
      <c r="I354" s="3" t="s">
        <v>5711</v>
      </c>
      <c r="J354" s="7">
        <v>0.38</v>
      </c>
      <c r="K354" s="1" t="s">
        <v>5712</v>
      </c>
      <c r="L354" s="2">
        <v>0.318</v>
      </c>
      <c r="M354" s="2">
        <f>38263/100000</f>
        <v>0.38263000000000003</v>
      </c>
      <c r="N354" s="2">
        <v>0.65163249999999995</v>
      </c>
      <c r="O354" s="3" t="s">
        <v>5713</v>
      </c>
      <c r="P354" s="7">
        <v>0.36</v>
      </c>
      <c r="Q354" s="1" t="s">
        <v>5714</v>
      </c>
      <c r="R354" s="2">
        <v>0.29399999999999998</v>
      </c>
      <c r="S354" s="2">
        <f>38130/100000</f>
        <v>0.38129999999999997</v>
      </c>
      <c r="T354" s="2">
        <v>0.65084330000000001</v>
      </c>
    </row>
    <row r="355" spans="1:20">
      <c r="A355" s="3" t="s">
        <v>3108</v>
      </c>
      <c r="B355" s="1" t="s">
        <v>3098</v>
      </c>
      <c r="C355" s="3" t="s">
        <v>3099</v>
      </c>
      <c r="D355" s="3" t="s">
        <v>3109</v>
      </c>
      <c r="E355" s="3" t="s">
        <v>3110</v>
      </c>
      <c r="F355" s="3" t="s">
        <v>3111</v>
      </c>
      <c r="G355" s="3" t="s">
        <v>3112</v>
      </c>
      <c r="H355" s="11" t="s">
        <v>8214</v>
      </c>
      <c r="I355" s="3" t="s">
        <v>5715</v>
      </c>
      <c r="J355" s="7">
        <v>0.86</v>
      </c>
      <c r="K355" s="1" t="s">
        <v>5716</v>
      </c>
      <c r="L355" s="2">
        <v>0.80100000000000005</v>
      </c>
      <c r="M355" s="2">
        <f>100000/100000</f>
        <v>1</v>
      </c>
      <c r="N355" s="2">
        <v>0.82929589999999997</v>
      </c>
      <c r="O355" s="3" t="s">
        <v>5717</v>
      </c>
      <c r="P355" s="7">
        <v>0.26</v>
      </c>
      <c r="Q355" s="1" t="s">
        <v>5718</v>
      </c>
      <c r="R355" s="2">
        <v>0.14899999999999999</v>
      </c>
      <c r="S355" s="2">
        <f>19303/100000</f>
        <v>0.19303000000000001</v>
      </c>
      <c r="T355" s="2">
        <v>0.48203059999999998</v>
      </c>
    </row>
    <row r="356" spans="1:20">
      <c r="A356" s="3" t="s">
        <v>3117</v>
      </c>
      <c r="B356" s="1" t="s">
        <v>3098</v>
      </c>
      <c r="C356" s="3" t="s">
        <v>3099</v>
      </c>
      <c r="D356" s="3" t="s">
        <v>3118</v>
      </c>
      <c r="E356" s="3" t="s">
        <v>3119</v>
      </c>
      <c r="F356" s="3" t="s">
        <v>3120</v>
      </c>
      <c r="G356" s="3" t="s">
        <v>3121</v>
      </c>
      <c r="H356" s="11" t="s">
        <v>8214</v>
      </c>
      <c r="I356" s="3" t="s">
        <v>5719</v>
      </c>
      <c r="J356" s="7">
        <v>0.3</v>
      </c>
      <c r="K356" s="1" t="s">
        <v>5720</v>
      </c>
      <c r="L356" s="2">
        <v>0.20599999999999999</v>
      </c>
      <c r="M356" s="2">
        <f>26984/100000</f>
        <v>0.26984000000000002</v>
      </c>
      <c r="N356" s="2">
        <v>0.56620890000000001</v>
      </c>
      <c r="O356" s="3" t="s">
        <v>5721</v>
      </c>
      <c r="P356" s="7">
        <v>1.3</v>
      </c>
      <c r="Q356" s="1" t="s">
        <v>5722</v>
      </c>
      <c r="R356" s="2">
        <v>0.496</v>
      </c>
      <c r="S356" s="2">
        <f>50680/100000</f>
        <v>0.50680000000000003</v>
      </c>
      <c r="T356" s="2">
        <v>0.74045649999999996</v>
      </c>
    </row>
    <row r="357" spans="1:20">
      <c r="A357" s="3" t="s">
        <v>3125</v>
      </c>
      <c r="B357" s="1" t="s">
        <v>3126</v>
      </c>
      <c r="C357" s="3" t="s">
        <v>3127</v>
      </c>
      <c r="D357" s="3" t="s">
        <v>3128</v>
      </c>
      <c r="E357" s="3" t="s">
        <v>3129</v>
      </c>
      <c r="F357" s="3" t="s">
        <v>3130</v>
      </c>
      <c r="G357" s="3" t="s">
        <v>3131</v>
      </c>
      <c r="H357" s="11" t="s">
        <v>8047</v>
      </c>
      <c r="I357" s="3" t="s">
        <v>5723</v>
      </c>
      <c r="J357" s="7">
        <v>1.49</v>
      </c>
      <c r="K357" s="1" t="s">
        <v>5724</v>
      </c>
      <c r="L357" s="2">
        <v>0.19600000000000001</v>
      </c>
      <c r="M357" s="2">
        <f>26017/100000</f>
        <v>0.26017000000000001</v>
      </c>
      <c r="N357" s="2">
        <v>0.56285830000000003</v>
      </c>
      <c r="O357" s="3" t="s">
        <v>5725</v>
      </c>
      <c r="P357" s="7">
        <v>1.19</v>
      </c>
      <c r="Q357" s="1" t="s">
        <v>5726</v>
      </c>
      <c r="R357" s="2">
        <v>0.61299999999999999</v>
      </c>
      <c r="S357" s="2">
        <f>71215/100000</f>
        <v>0.71214999999999995</v>
      </c>
      <c r="T357" s="2">
        <v>0.82137769999999999</v>
      </c>
    </row>
    <row r="358" spans="1:20">
      <c r="A358" s="3" t="s">
        <v>3136</v>
      </c>
      <c r="B358" s="1" t="s">
        <v>3126</v>
      </c>
      <c r="C358" s="3" t="s">
        <v>3127</v>
      </c>
      <c r="D358" s="3" t="s">
        <v>3137</v>
      </c>
      <c r="E358" s="3" t="s">
        <v>3138</v>
      </c>
      <c r="F358" s="3" t="s">
        <v>3130</v>
      </c>
      <c r="G358" s="3" t="s">
        <v>3131</v>
      </c>
      <c r="H358" s="11" t="s">
        <v>8177</v>
      </c>
      <c r="I358" s="3" t="s">
        <v>5727</v>
      </c>
      <c r="J358" s="7">
        <v>0.95</v>
      </c>
      <c r="K358" s="1" t="s">
        <v>5728</v>
      </c>
      <c r="L358" s="2">
        <v>0.90600000000000003</v>
      </c>
      <c r="M358" s="2">
        <f>100000/100000</f>
        <v>1</v>
      </c>
      <c r="N358" s="2">
        <v>0.82929589999999997</v>
      </c>
      <c r="O358" s="3" t="s">
        <v>5729</v>
      </c>
      <c r="P358" s="7">
        <v>1.07</v>
      </c>
      <c r="Q358" s="1" t="s">
        <v>5603</v>
      </c>
      <c r="R358" s="2">
        <v>0.86699999999999999</v>
      </c>
      <c r="S358" s="2">
        <f>100000/100000</f>
        <v>1</v>
      </c>
      <c r="T358" s="2">
        <v>0.82929589999999997</v>
      </c>
    </row>
    <row r="359" spans="1:20">
      <c r="A359" s="3" t="s">
        <v>3143</v>
      </c>
      <c r="B359" s="1" t="s">
        <v>3144</v>
      </c>
      <c r="C359" s="3" t="s">
        <v>3145</v>
      </c>
      <c r="D359" s="3" t="s">
        <v>3146</v>
      </c>
      <c r="E359" s="3" t="s">
        <v>3147</v>
      </c>
      <c r="F359" s="3" t="s">
        <v>3148</v>
      </c>
      <c r="G359" s="3" t="s">
        <v>3149</v>
      </c>
      <c r="H359" s="11" t="s">
        <v>8101</v>
      </c>
      <c r="I359" s="3" t="s">
        <v>5730</v>
      </c>
      <c r="J359" s="7">
        <v>0.79</v>
      </c>
      <c r="K359" s="1" t="s">
        <v>5047</v>
      </c>
      <c r="L359" s="2">
        <v>0.74399999999999999</v>
      </c>
      <c r="M359" s="2">
        <f>78084/100000</f>
        <v>0.78083999999999998</v>
      </c>
      <c r="N359" s="2">
        <v>0.82929589999999997</v>
      </c>
      <c r="O359" s="3" t="s">
        <v>5731</v>
      </c>
      <c r="P359" s="7">
        <v>1.52</v>
      </c>
      <c r="Q359" s="1" t="s">
        <v>5732</v>
      </c>
      <c r="R359" s="2">
        <v>0.40699999999999997</v>
      </c>
      <c r="S359" s="2">
        <f>52844/100000</f>
        <v>0.52844000000000002</v>
      </c>
      <c r="T359" s="2">
        <v>0.74478149999999999</v>
      </c>
    </row>
    <row r="360" spans="1:20">
      <c r="A360" s="3" t="s">
        <v>3154</v>
      </c>
      <c r="B360" s="1" t="s">
        <v>3144</v>
      </c>
      <c r="C360" s="3" t="s">
        <v>3145</v>
      </c>
      <c r="D360" s="3" t="s">
        <v>3155</v>
      </c>
      <c r="E360" s="3" t="s">
        <v>3156</v>
      </c>
      <c r="F360" s="3" t="s">
        <v>3157</v>
      </c>
      <c r="G360" s="3" t="s">
        <v>3158</v>
      </c>
      <c r="H360" s="11" t="s">
        <v>8101</v>
      </c>
      <c r="I360" s="3" t="s">
        <v>5733</v>
      </c>
      <c r="J360" s="7">
        <v>2.13</v>
      </c>
      <c r="K360" s="1" t="s">
        <v>5734</v>
      </c>
      <c r="L360" s="2">
        <v>6.5600000000000006E-2</v>
      </c>
      <c r="M360" s="2">
        <f>7169/100000</f>
        <v>7.1690000000000004E-2</v>
      </c>
      <c r="N360" s="2">
        <v>0.29982039999999999</v>
      </c>
      <c r="O360" s="3" t="s">
        <v>5735</v>
      </c>
      <c r="P360" s="7">
        <v>0.63</v>
      </c>
      <c r="Q360" s="1" t="s">
        <v>5736</v>
      </c>
      <c r="R360" s="2">
        <v>0.51600000000000001</v>
      </c>
      <c r="S360" s="2">
        <f>59583/100000</f>
        <v>0.59582999999999997</v>
      </c>
      <c r="T360" s="2">
        <v>0.78033149999999996</v>
      </c>
    </row>
    <row r="361" spans="1:20">
      <c r="A361" s="3" t="s">
        <v>3162</v>
      </c>
      <c r="B361" s="1" t="s">
        <v>3144</v>
      </c>
      <c r="C361" s="3" t="s">
        <v>3145</v>
      </c>
      <c r="D361" s="3" t="s">
        <v>3163</v>
      </c>
      <c r="E361" s="3" t="s">
        <v>3164</v>
      </c>
      <c r="F361" s="3" t="s">
        <v>3148</v>
      </c>
      <c r="G361" s="3" t="s">
        <v>3149</v>
      </c>
      <c r="H361" s="11" t="s">
        <v>8101</v>
      </c>
      <c r="I361" s="3" t="s">
        <v>5737</v>
      </c>
      <c r="J361" s="7">
        <v>2.35</v>
      </c>
      <c r="K361" s="1" t="s">
        <v>5738</v>
      </c>
      <c r="L361" s="2">
        <v>3.6600000000000001E-2</v>
      </c>
      <c r="M361" s="2">
        <f>5019/100000</f>
        <v>5.0189999999999999E-2</v>
      </c>
      <c r="N361" s="2">
        <v>0.2413642</v>
      </c>
      <c r="O361" s="3" t="s">
        <v>5739</v>
      </c>
      <c r="P361" s="7">
        <v>1</v>
      </c>
      <c r="Q361" s="1" t="s">
        <v>5578</v>
      </c>
      <c r="R361" s="2">
        <v>0.99399999999999999</v>
      </c>
      <c r="S361" s="2">
        <f>100000/100000</f>
        <v>1</v>
      </c>
      <c r="T361" s="2">
        <v>0.82929589999999997</v>
      </c>
    </row>
    <row r="362" spans="1:20">
      <c r="A362" s="3" t="s">
        <v>3169</v>
      </c>
      <c r="B362" s="1" t="s">
        <v>3144</v>
      </c>
      <c r="C362" s="3" t="s">
        <v>3145</v>
      </c>
      <c r="D362" s="3" t="s">
        <v>3170</v>
      </c>
      <c r="E362" s="3" t="s">
        <v>3171</v>
      </c>
      <c r="F362" s="3" t="s">
        <v>3157</v>
      </c>
      <c r="G362" s="3" t="s">
        <v>3158</v>
      </c>
      <c r="H362" s="11" t="s">
        <v>8101</v>
      </c>
      <c r="I362" s="3" t="s">
        <v>5740</v>
      </c>
      <c r="J362" s="7">
        <v>1.45</v>
      </c>
      <c r="K362" s="1" t="s">
        <v>5741</v>
      </c>
      <c r="L362" s="2">
        <v>0.52600000000000002</v>
      </c>
      <c r="M362" s="2">
        <f>72947/100000</f>
        <v>0.72946999999999995</v>
      </c>
      <c r="N362" s="2">
        <v>0.82137769999999999</v>
      </c>
      <c r="O362" s="3" t="s">
        <v>5742</v>
      </c>
      <c r="P362" s="7">
        <v>0.88</v>
      </c>
      <c r="Q362" s="1" t="s">
        <v>5743</v>
      </c>
      <c r="R362" s="2">
        <v>0.85699999999999998</v>
      </c>
      <c r="S362" s="2">
        <f>100000/100000</f>
        <v>1</v>
      </c>
      <c r="T362" s="2">
        <v>0.82929589999999997</v>
      </c>
    </row>
    <row r="363" spans="1:20">
      <c r="A363" s="3" t="s">
        <v>3176</v>
      </c>
      <c r="B363" s="1" t="s">
        <v>3177</v>
      </c>
      <c r="C363" s="3" t="s">
        <v>3178</v>
      </c>
      <c r="D363" s="3" t="s">
        <v>3179</v>
      </c>
      <c r="E363" s="3" t="s">
        <v>3180</v>
      </c>
      <c r="F363" s="3" t="s">
        <v>3181</v>
      </c>
      <c r="G363" s="3" t="s">
        <v>3182</v>
      </c>
      <c r="H363" s="11" t="s">
        <v>8215</v>
      </c>
      <c r="I363" s="3" t="s">
        <v>5744</v>
      </c>
      <c r="J363" s="7">
        <v>1.25</v>
      </c>
      <c r="K363" s="1" t="s">
        <v>5745</v>
      </c>
      <c r="L363" s="2">
        <v>0.69899999999999995</v>
      </c>
      <c r="M363" s="2">
        <f>73392/100000</f>
        <v>0.73392000000000002</v>
      </c>
      <c r="N363" s="2">
        <v>0.82137769999999999</v>
      </c>
      <c r="O363" s="3" t="s">
        <v>5746</v>
      </c>
      <c r="P363" s="7">
        <v>1.34</v>
      </c>
      <c r="Q363" s="1" t="s">
        <v>5747</v>
      </c>
      <c r="R363" s="2">
        <v>0.56699999999999995</v>
      </c>
      <c r="S363" s="2">
        <f>77504/100000</f>
        <v>0.77503999999999995</v>
      </c>
      <c r="T363" s="2">
        <v>0.82929589999999997</v>
      </c>
    </row>
    <row r="364" spans="1:20">
      <c r="A364" s="3" t="s">
        <v>3187</v>
      </c>
      <c r="B364" s="1" t="s">
        <v>3177</v>
      </c>
      <c r="C364" s="3" t="s">
        <v>3178</v>
      </c>
      <c r="D364" s="3" t="s">
        <v>3188</v>
      </c>
      <c r="E364" s="3" t="s">
        <v>3189</v>
      </c>
      <c r="F364" s="3" t="s">
        <v>3190</v>
      </c>
      <c r="G364" s="3" t="s">
        <v>3191</v>
      </c>
      <c r="H364" s="11" t="s">
        <v>8215</v>
      </c>
      <c r="I364" s="3" t="s">
        <v>5748</v>
      </c>
      <c r="J364" s="7">
        <v>0.91</v>
      </c>
      <c r="K364" s="1" t="s">
        <v>5749</v>
      </c>
      <c r="L364" s="2">
        <v>0.89200000000000002</v>
      </c>
      <c r="M364" s="2">
        <f>100000/100000</f>
        <v>1</v>
      </c>
      <c r="N364" s="2">
        <v>0.82929589999999997</v>
      </c>
      <c r="O364" s="3" t="s">
        <v>5750</v>
      </c>
      <c r="P364" s="7">
        <v>2.5299999999999998</v>
      </c>
      <c r="Q364" s="1" t="s">
        <v>5751</v>
      </c>
      <c r="R364" s="2">
        <v>2.1899999999999999E-2</v>
      </c>
      <c r="S364" s="2">
        <f>3716/100000</f>
        <v>3.7159999999999999E-2</v>
      </c>
      <c r="T364" s="2">
        <v>0.20452029999999999</v>
      </c>
    </row>
    <row r="365" spans="1:20">
      <c r="A365" s="3" t="s">
        <v>3196</v>
      </c>
      <c r="B365" s="1" t="s">
        <v>3197</v>
      </c>
      <c r="C365" s="3" t="s">
        <v>3198</v>
      </c>
      <c r="D365" s="3" t="s">
        <v>3199</v>
      </c>
      <c r="E365" s="3" t="s">
        <v>3200</v>
      </c>
      <c r="F365" s="3" t="s">
        <v>3201</v>
      </c>
      <c r="G365" s="3" t="s">
        <v>3202</v>
      </c>
      <c r="H365" s="11" t="s">
        <v>8216</v>
      </c>
      <c r="I365" s="3" t="s">
        <v>5752</v>
      </c>
      <c r="J365" s="7">
        <v>1.25</v>
      </c>
      <c r="K365" s="1" t="s">
        <v>5753</v>
      </c>
      <c r="L365" s="2">
        <v>0.55800000000000005</v>
      </c>
      <c r="M365" s="2">
        <f>66787/100000</f>
        <v>0.66786999999999996</v>
      </c>
      <c r="N365" s="2">
        <v>0.80511429999999995</v>
      </c>
      <c r="O365" s="3" t="s">
        <v>5754</v>
      </c>
      <c r="P365" s="7">
        <v>1.51</v>
      </c>
      <c r="Q365" s="1" t="s">
        <v>5755</v>
      </c>
      <c r="R365" s="2">
        <v>0.249</v>
      </c>
      <c r="S365" s="2">
        <f>26215/100000</f>
        <v>0.26214999999999999</v>
      </c>
      <c r="T365" s="2">
        <v>0.56338779999999999</v>
      </c>
    </row>
    <row r="366" spans="1:20">
      <c r="A366" s="3" t="s">
        <v>3207</v>
      </c>
      <c r="B366" s="1" t="s">
        <v>3208</v>
      </c>
      <c r="C366" s="3" t="s">
        <v>3209</v>
      </c>
      <c r="D366" s="3" t="s">
        <v>3210</v>
      </c>
      <c r="E366" s="3" t="s">
        <v>3211</v>
      </c>
      <c r="F366" s="3" t="s">
        <v>3212</v>
      </c>
      <c r="G366" s="3" t="s">
        <v>3213</v>
      </c>
      <c r="H366" s="11" t="s">
        <v>8217</v>
      </c>
      <c r="I366" s="3" t="s">
        <v>5756</v>
      </c>
      <c r="J366" s="7">
        <v>0.99</v>
      </c>
      <c r="K366" s="1" t="s">
        <v>5757</v>
      </c>
      <c r="L366" s="2">
        <v>0.99199999999999999</v>
      </c>
      <c r="M366" s="2">
        <f>100000/100000</f>
        <v>1</v>
      </c>
      <c r="N366" s="2">
        <v>0.82929589999999997</v>
      </c>
      <c r="O366" s="3" t="s">
        <v>5758</v>
      </c>
      <c r="P366" s="7">
        <v>2.94</v>
      </c>
      <c r="Q366" s="1" t="s">
        <v>5759</v>
      </c>
      <c r="R366" s="2">
        <v>1.06E-3</v>
      </c>
      <c r="S366" s="2">
        <f>467/100000</f>
        <v>4.6699999999999997E-3</v>
      </c>
      <c r="T366" s="2">
        <v>5.1240279999999999E-2</v>
      </c>
    </row>
    <row r="367" spans="1:20">
      <c r="A367" s="3" t="s">
        <v>3218</v>
      </c>
      <c r="B367" s="1" t="s">
        <v>3219</v>
      </c>
      <c r="C367" s="3" t="s">
        <v>3220</v>
      </c>
      <c r="D367" s="3" t="s">
        <v>3221</v>
      </c>
      <c r="E367" s="3" t="s">
        <v>3222</v>
      </c>
      <c r="F367" s="3" t="s">
        <v>3223</v>
      </c>
      <c r="G367" s="3" t="s">
        <v>3224</v>
      </c>
      <c r="H367" s="11" t="s">
        <v>8218</v>
      </c>
      <c r="I367" s="3" t="s">
        <v>5760</v>
      </c>
      <c r="J367" s="7">
        <v>0.19</v>
      </c>
      <c r="K367" s="1" t="s">
        <v>5761</v>
      </c>
      <c r="L367" s="2">
        <v>6.3100000000000003E-2</v>
      </c>
      <c r="M367" s="2">
        <f>6706/100000</f>
        <v>6.7059999999999995E-2</v>
      </c>
      <c r="N367" s="2">
        <v>0.28895110000000002</v>
      </c>
      <c r="O367" s="3" t="s">
        <v>5762</v>
      </c>
      <c r="P367" s="7">
        <v>1.45</v>
      </c>
      <c r="Q367" s="1" t="s">
        <v>5763</v>
      </c>
      <c r="R367" s="2">
        <v>0.46800000000000003</v>
      </c>
      <c r="S367" s="2">
        <f>53595/100000</f>
        <v>0.53595000000000004</v>
      </c>
      <c r="T367" s="2">
        <v>0.74478149999999999</v>
      </c>
    </row>
    <row r="368" spans="1:20">
      <c r="A368" s="3" t="s">
        <v>3229</v>
      </c>
      <c r="B368" s="1" t="s">
        <v>3230</v>
      </c>
      <c r="C368" s="3" t="s">
        <v>3231</v>
      </c>
      <c r="D368" s="3" t="s">
        <v>3232</v>
      </c>
      <c r="E368" s="3" t="s">
        <v>3233</v>
      </c>
      <c r="F368" s="3" t="s">
        <v>3234</v>
      </c>
      <c r="G368" s="3" t="s">
        <v>3235</v>
      </c>
      <c r="H368" s="11" t="s">
        <v>8219</v>
      </c>
      <c r="I368" s="3" t="s">
        <v>5764</v>
      </c>
      <c r="J368" s="7">
        <v>2.44</v>
      </c>
      <c r="K368" s="1" t="s">
        <v>5765</v>
      </c>
      <c r="L368" s="2">
        <v>2.81E-2</v>
      </c>
      <c r="M368" s="2">
        <f>4263/100000</f>
        <v>4.2630000000000001E-2</v>
      </c>
      <c r="N368" s="2">
        <v>0.22051509999999999</v>
      </c>
      <c r="O368" s="3" t="s">
        <v>5766</v>
      </c>
      <c r="P368" s="7">
        <v>1.34</v>
      </c>
      <c r="Q368" s="1" t="s">
        <v>5767</v>
      </c>
      <c r="R368" s="2">
        <v>0.56299999999999994</v>
      </c>
      <c r="S368" s="2">
        <f>77272/100000</f>
        <v>0.77271999999999996</v>
      </c>
      <c r="T368" s="2">
        <v>0.82929589999999997</v>
      </c>
    </row>
    <row r="369" spans="1:20">
      <c r="A369" s="3" t="s">
        <v>3240</v>
      </c>
      <c r="B369" s="1" t="s">
        <v>3241</v>
      </c>
      <c r="C369" s="3" t="s">
        <v>3242</v>
      </c>
      <c r="D369" s="3" t="s">
        <v>3243</v>
      </c>
      <c r="E369" s="3" t="s">
        <v>3244</v>
      </c>
      <c r="F369" s="3" t="s">
        <v>3245</v>
      </c>
      <c r="G369" s="3" t="s">
        <v>3246</v>
      </c>
      <c r="H369" s="11" t="s">
        <v>8047</v>
      </c>
      <c r="I369" s="3" t="s">
        <v>5768</v>
      </c>
      <c r="J369" s="7">
        <v>1.32</v>
      </c>
      <c r="K369" s="1" t="s">
        <v>5769</v>
      </c>
      <c r="L369" s="2">
        <v>3.32E-2</v>
      </c>
      <c r="M369" s="2">
        <f>3478/100000</f>
        <v>3.4779999999999998E-2</v>
      </c>
      <c r="N369" s="2">
        <v>0.1960739</v>
      </c>
      <c r="O369" s="3" t="s">
        <v>5770</v>
      </c>
      <c r="P369" s="7">
        <v>1.28</v>
      </c>
      <c r="Q369" s="1" t="s">
        <v>5771</v>
      </c>
      <c r="R369" s="2">
        <v>7.4499999999999997E-2</v>
      </c>
      <c r="S369" s="2">
        <f>8708/100000</f>
        <v>8.7080000000000005E-2</v>
      </c>
      <c r="T369" s="2">
        <v>0.33527620000000002</v>
      </c>
    </row>
    <row r="370" spans="1:20">
      <c r="A370" s="3" t="s">
        <v>3251</v>
      </c>
      <c r="B370" s="1" t="s">
        <v>3252</v>
      </c>
      <c r="C370" s="3" t="s">
        <v>3253</v>
      </c>
      <c r="D370" s="3" t="s">
        <v>3254</v>
      </c>
      <c r="E370" s="3" t="s">
        <v>3255</v>
      </c>
      <c r="F370" s="3" t="s">
        <v>3256</v>
      </c>
      <c r="G370" s="3" t="s">
        <v>3257</v>
      </c>
      <c r="H370" s="11" t="s">
        <v>8109</v>
      </c>
      <c r="I370" s="3" t="s">
        <v>5772</v>
      </c>
      <c r="J370" s="7">
        <v>1.3</v>
      </c>
      <c r="K370" s="1" t="s">
        <v>5378</v>
      </c>
      <c r="L370" s="2">
        <v>0.32300000000000001</v>
      </c>
      <c r="M370" s="2">
        <f>36680/100000</f>
        <v>0.36680000000000001</v>
      </c>
      <c r="N370" s="2">
        <v>0.64231249999999995</v>
      </c>
      <c r="O370" s="3" t="s">
        <v>5773</v>
      </c>
      <c r="P370" s="7">
        <v>1.1599999999999999</v>
      </c>
      <c r="Q370" s="1" t="s">
        <v>5774</v>
      </c>
      <c r="R370" s="2">
        <v>0.58399999999999996</v>
      </c>
      <c r="S370" s="2">
        <f>65650/100000</f>
        <v>0.65649999999999997</v>
      </c>
      <c r="T370" s="2">
        <v>0.80511429999999995</v>
      </c>
    </row>
    <row r="371" spans="1:20">
      <c r="A371" s="3" t="s">
        <v>3262</v>
      </c>
      <c r="B371" s="1" t="s">
        <v>3252</v>
      </c>
      <c r="C371" s="3" t="s">
        <v>3253</v>
      </c>
      <c r="D371" s="3" t="s">
        <v>3263</v>
      </c>
      <c r="E371" s="3" t="s">
        <v>3264</v>
      </c>
      <c r="F371" s="3" t="s">
        <v>3265</v>
      </c>
      <c r="G371" s="3" t="s">
        <v>3266</v>
      </c>
      <c r="H371" s="11" t="s">
        <v>8109</v>
      </c>
      <c r="I371" s="3" t="s">
        <v>5775</v>
      </c>
      <c r="J371" s="7">
        <v>1.37</v>
      </c>
      <c r="K371" s="1" t="s">
        <v>4791</v>
      </c>
      <c r="L371" s="2">
        <v>0.32600000000000001</v>
      </c>
      <c r="M371" s="2">
        <f>34054/100000</f>
        <v>0.34054000000000001</v>
      </c>
      <c r="N371" s="2">
        <v>0.61526179999999997</v>
      </c>
      <c r="O371" s="3" t="s">
        <v>5776</v>
      </c>
      <c r="P371" s="7">
        <v>0.82</v>
      </c>
      <c r="Q371" s="1" t="s">
        <v>5777</v>
      </c>
      <c r="R371" s="2">
        <v>0.63800000000000001</v>
      </c>
      <c r="S371" s="2">
        <f>71412/100000</f>
        <v>0.71411999999999998</v>
      </c>
      <c r="T371" s="2">
        <v>0.82137769999999999</v>
      </c>
    </row>
    <row r="372" spans="1:20">
      <c r="A372" s="3" t="s">
        <v>3271</v>
      </c>
      <c r="B372" s="1" t="s">
        <v>3272</v>
      </c>
      <c r="C372" s="3" t="s">
        <v>3273</v>
      </c>
      <c r="D372" s="3" t="s">
        <v>3263</v>
      </c>
      <c r="E372" s="3" t="s">
        <v>3264</v>
      </c>
      <c r="F372" s="3" t="s">
        <v>3265</v>
      </c>
      <c r="G372" s="3" t="s">
        <v>3266</v>
      </c>
      <c r="H372" s="11" t="s">
        <v>8109</v>
      </c>
      <c r="I372" s="3" t="s">
        <v>5775</v>
      </c>
      <c r="J372" s="7">
        <v>1.37</v>
      </c>
      <c r="K372" s="1" t="s">
        <v>4791</v>
      </c>
      <c r="L372" s="2">
        <v>0.32600000000000001</v>
      </c>
      <c r="M372" s="2">
        <f>34054/100000</f>
        <v>0.34054000000000001</v>
      </c>
      <c r="N372" s="2">
        <v>0.61526179999999997</v>
      </c>
      <c r="O372" s="3" t="s">
        <v>5776</v>
      </c>
      <c r="P372" s="7">
        <v>0.82</v>
      </c>
      <c r="Q372" s="1" t="s">
        <v>5777</v>
      </c>
      <c r="R372" s="2">
        <v>0.63800000000000001</v>
      </c>
      <c r="S372" s="2">
        <f>71412/100000</f>
        <v>0.71411999999999998</v>
      </c>
      <c r="T372" s="2">
        <v>0.82137769999999999</v>
      </c>
    </row>
    <row r="373" spans="1:20">
      <c r="A373" s="3" t="s">
        <v>3274</v>
      </c>
      <c r="B373" s="1" t="s">
        <v>3272</v>
      </c>
      <c r="C373" s="3" t="s">
        <v>3273</v>
      </c>
      <c r="D373" s="3" t="s">
        <v>3254</v>
      </c>
      <c r="E373" s="3" t="s">
        <v>3255</v>
      </c>
      <c r="F373" s="3" t="s">
        <v>3256</v>
      </c>
      <c r="G373" s="3" t="s">
        <v>3257</v>
      </c>
      <c r="H373" s="11" t="s">
        <v>8109</v>
      </c>
      <c r="I373" s="3" t="s">
        <v>5772</v>
      </c>
      <c r="J373" s="7">
        <v>1.3</v>
      </c>
      <c r="K373" s="1" t="s">
        <v>5378</v>
      </c>
      <c r="L373" s="2">
        <v>0.32300000000000001</v>
      </c>
      <c r="M373" s="2">
        <f>36680/100000</f>
        <v>0.36680000000000001</v>
      </c>
      <c r="N373" s="2">
        <v>0.64231249999999995</v>
      </c>
      <c r="O373" s="3" t="s">
        <v>5773</v>
      </c>
      <c r="P373" s="7">
        <v>1.1599999999999999</v>
      </c>
      <c r="Q373" s="1" t="s">
        <v>5774</v>
      </c>
      <c r="R373" s="2">
        <v>0.58399999999999996</v>
      </c>
      <c r="S373" s="2">
        <f>65650/100000</f>
        <v>0.65649999999999997</v>
      </c>
      <c r="T373" s="2">
        <v>0.80511429999999995</v>
      </c>
    </row>
    <row r="374" spans="1:20">
      <c r="A374" s="3" t="s">
        <v>3275</v>
      </c>
      <c r="B374" s="1" t="s">
        <v>3276</v>
      </c>
      <c r="C374" s="3" t="s">
        <v>3277</v>
      </c>
      <c r="D374" s="3" t="s">
        <v>3278</v>
      </c>
      <c r="E374" s="3" t="s">
        <v>3090</v>
      </c>
      <c r="F374" s="3" t="s">
        <v>3279</v>
      </c>
      <c r="G374" s="3" t="s">
        <v>3092</v>
      </c>
      <c r="H374" s="11" t="s">
        <v>8213</v>
      </c>
      <c r="I374" s="3" t="s">
        <v>4995</v>
      </c>
      <c r="J374" s="7">
        <v>0.45</v>
      </c>
      <c r="K374" s="1" t="s">
        <v>4996</v>
      </c>
      <c r="L374" s="2">
        <v>0.249</v>
      </c>
      <c r="M374" s="2">
        <f>33230/100000</f>
        <v>0.33229999999999998</v>
      </c>
      <c r="N374" s="2">
        <v>0.61526179999999997</v>
      </c>
      <c r="O374" s="3" t="s">
        <v>5778</v>
      </c>
      <c r="P374" s="7">
        <v>2.2000000000000002</v>
      </c>
      <c r="Q374" s="1" t="s">
        <v>5779</v>
      </c>
      <c r="R374" s="2">
        <v>3.8300000000000001E-2</v>
      </c>
      <c r="S374" s="2">
        <f>4898/100000</f>
        <v>4.8980000000000003E-2</v>
      </c>
      <c r="T374" s="2">
        <v>0.2391778</v>
      </c>
    </row>
    <row r="375" spans="1:20">
      <c r="A375" s="3" t="s">
        <v>3283</v>
      </c>
      <c r="B375" s="1" t="s">
        <v>3284</v>
      </c>
      <c r="C375" s="3" t="s">
        <v>3285</v>
      </c>
      <c r="D375" s="3" t="s">
        <v>3286</v>
      </c>
      <c r="E375" s="3" t="s">
        <v>3287</v>
      </c>
      <c r="F375" s="3" t="s">
        <v>3288</v>
      </c>
      <c r="G375" s="3" t="s">
        <v>3289</v>
      </c>
      <c r="H375" s="11" t="s">
        <v>8220</v>
      </c>
      <c r="I375" s="3" t="s">
        <v>5780</v>
      </c>
      <c r="J375" s="7">
        <v>1.54</v>
      </c>
      <c r="K375" s="1" t="s">
        <v>5781</v>
      </c>
      <c r="L375" s="2">
        <v>0.66600000000000004</v>
      </c>
      <c r="M375" s="2">
        <f>100000/100000</f>
        <v>1</v>
      </c>
      <c r="N375" s="2">
        <v>0.82929589999999997</v>
      </c>
      <c r="O375" s="3" t="s">
        <v>5782</v>
      </c>
      <c r="P375" s="7">
        <v>0</v>
      </c>
      <c r="Q375" s="1" t="s">
        <v>774</v>
      </c>
      <c r="R375" s="2">
        <v>0.46700000000000003</v>
      </c>
      <c r="S375" s="2">
        <f>68472/100000</f>
        <v>0.68472</v>
      </c>
      <c r="T375" s="2">
        <v>0.81339530000000004</v>
      </c>
    </row>
    <row r="376" spans="1:20">
      <c r="A376" s="3" t="s">
        <v>3292</v>
      </c>
      <c r="B376" s="1" t="s">
        <v>3284</v>
      </c>
      <c r="C376" s="3" t="s">
        <v>3285</v>
      </c>
      <c r="D376" s="3" t="s">
        <v>3293</v>
      </c>
      <c r="E376" s="3" t="s">
        <v>3294</v>
      </c>
      <c r="F376" s="3" t="s">
        <v>3295</v>
      </c>
      <c r="G376" s="3" t="s">
        <v>3296</v>
      </c>
      <c r="H376" s="11" t="s">
        <v>8221</v>
      </c>
      <c r="I376" s="3" t="s">
        <v>5783</v>
      </c>
      <c r="J376" s="7">
        <v>0</v>
      </c>
      <c r="K376" s="1" t="s">
        <v>774</v>
      </c>
      <c r="L376" s="2">
        <v>0.27100000000000002</v>
      </c>
      <c r="M376" s="2">
        <f>41581/100000</f>
        <v>0.41581000000000001</v>
      </c>
      <c r="N376" s="2">
        <v>0.67386749999999995</v>
      </c>
      <c r="O376" s="3" t="s">
        <v>5784</v>
      </c>
      <c r="P376" s="7">
        <v>0.7</v>
      </c>
      <c r="Q376" s="1" t="s">
        <v>5785</v>
      </c>
      <c r="R376" s="2">
        <v>0.72599999999999998</v>
      </c>
      <c r="S376" s="2">
        <f>100000/100000</f>
        <v>1</v>
      </c>
      <c r="T376" s="2">
        <v>0.82929589999999997</v>
      </c>
    </row>
    <row r="377" spans="1:20">
      <c r="A377" s="3" t="s">
        <v>3301</v>
      </c>
      <c r="B377" s="1" t="s">
        <v>3284</v>
      </c>
      <c r="C377" s="3" t="s">
        <v>3285</v>
      </c>
      <c r="D377" s="3" t="s">
        <v>3302</v>
      </c>
      <c r="E377" s="3" t="s">
        <v>3303</v>
      </c>
      <c r="F377" s="3" t="s">
        <v>3288</v>
      </c>
      <c r="G377" s="3" t="s">
        <v>3289</v>
      </c>
      <c r="H377" s="11" t="s">
        <v>8221</v>
      </c>
      <c r="I377" s="3" t="s">
        <v>5786</v>
      </c>
      <c r="J377" s="7">
        <v>1.51</v>
      </c>
      <c r="K377" s="1" t="s">
        <v>5787</v>
      </c>
      <c r="L377" s="2">
        <v>0.68300000000000005</v>
      </c>
      <c r="M377" s="2">
        <f>100000/100000</f>
        <v>1</v>
      </c>
      <c r="N377" s="2">
        <v>0.82929589999999997</v>
      </c>
      <c r="O377" s="3" t="s">
        <v>5788</v>
      </c>
      <c r="P377" s="7">
        <v>0</v>
      </c>
      <c r="Q377" s="1" t="s">
        <v>774</v>
      </c>
      <c r="R377" s="2">
        <v>0.45500000000000002</v>
      </c>
      <c r="S377" s="2">
        <f>67938/100000</f>
        <v>0.67937999999999998</v>
      </c>
      <c r="T377" s="2">
        <v>0.81047539999999996</v>
      </c>
    </row>
    <row r="378" spans="1:20">
      <c r="A378" s="3" t="s">
        <v>3308</v>
      </c>
      <c r="B378" s="1" t="s">
        <v>3284</v>
      </c>
      <c r="C378" s="3" t="s">
        <v>3285</v>
      </c>
      <c r="D378" s="3" t="s">
        <v>3309</v>
      </c>
      <c r="E378" s="3" t="s">
        <v>3310</v>
      </c>
      <c r="F378" s="3" t="s">
        <v>3295</v>
      </c>
      <c r="G378" s="3" t="s">
        <v>3296</v>
      </c>
      <c r="H378" s="11" t="s">
        <v>8220</v>
      </c>
      <c r="I378" s="3" t="s">
        <v>5789</v>
      </c>
      <c r="J378" s="7">
        <v>1.77</v>
      </c>
      <c r="K378" s="1" t="s">
        <v>5790</v>
      </c>
      <c r="L378" s="2">
        <v>0.41899999999999998</v>
      </c>
      <c r="M378" s="2">
        <f>63211/100000</f>
        <v>0.63210999999999995</v>
      </c>
      <c r="N378" s="2">
        <v>0.79869500000000004</v>
      </c>
      <c r="O378" s="3" t="s">
        <v>5791</v>
      </c>
      <c r="P378" s="7">
        <v>0</v>
      </c>
      <c r="Q378" s="1" t="s">
        <v>774</v>
      </c>
      <c r="R378" s="2">
        <v>0.40400000000000003</v>
      </c>
      <c r="S378" s="2">
        <f>65157/100000</f>
        <v>0.65156999999999998</v>
      </c>
      <c r="T378" s="2">
        <v>0.80365339999999996</v>
      </c>
    </row>
    <row r="379" spans="1:20">
      <c r="A379" s="3" t="s">
        <v>3314</v>
      </c>
      <c r="B379" s="1" t="s">
        <v>3315</v>
      </c>
      <c r="C379" s="3" t="s">
        <v>3316</v>
      </c>
      <c r="D379" s="3" t="s">
        <v>3317</v>
      </c>
      <c r="E379" s="3" t="s">
        <v>3318</v>
      </c>
      <c r="F379" s="3" t="s">
        <v>3319</v>
      </c>
      <c r="G379" s="3" t="s">
        <v>3320</v>
      </c>
      <c r="H379" s="11" t="s">
        <v>8222</v>
      </c>
      <c r="I379" s="3" t="s">
        <v>5792</v>
      </c>
      <c r="J379" s="7">
        <v>0.93</v>
      </c>
      <c r="K379" s="1" t="s">
        <v>5793</v>
      </c>
      <c r="L379" s="2">
        <v>0.78500000000000003</v>
      </c>
      <c r="M379" s="2">
        <f>81247/100000</f>
        <v>0.81247000000000003</v>
      </c>
      <c r="N379" s="2">
        <v>0.82929589999999997</v>
      </c>
      <c r="O379" s="3" t="s">
        <v>5794</v>
      </c>
      <c r="P379" s="7">
        <v>1.84</v>
      </c>
      <c r="Q379" s="1" t="s">
        <v>5795</v>
      </c>
      <c r="R379" s="2">
        <v>5.7600000000000001E-4</v>
      </c>
      <c r="S379" s="2">
        <f>96/100000</f>
        <v>9.6000000000000002E-4</v>
      </c>
      <c r="T379" s="2">
        <v>1.590194E-2</v>
      </c>
    </row>
    <row r="380" spans="1:20">
      <c r="A380" s="3" t="s">
        <v>3325</v>
      </c>
      <c r="B380" s="1" t="s">
        <v>3315</v>
      </c>
      <c r="C380" s="3" t="s">
        <v>3316</v>
      </c>
      <c r="D380" s="3" t="s">
        <v>3326</v>
      </c>
      <c r="E380" s="3" t="s">
        <v>3327</v>
      </c>
      <c r="F380" s="3" t="s">
        <v>3319</v>
      </c>
      <c r="G380" s="3" t="s">
        <v>3320</v>
      </c>
      <c r="H380" s="11" t="s">
        <v>8223</v>
      </c>
      <c r="I380" s="3" t="s">
        <v>5796</v>
      </c>
      <c r="J380" s="7">
        <v>0.99</v>
      </c>
      <c r="K380" s="1" t="s">
        <v>5797</v>
      </c>
      <c r="L380" s="2">
        <v>0.97199999999999998</v>
      </c>
      <c r="M380" s="2">
        <f>100000/100000</f>
        <v>1</v>
      </c>
      <c r="N380" s="2">
        <v>0.82929589999999997</v>
      </c>
      <c r="O380" s="3" t="s">
        <v>5798</v>
      </c>
      <c r="P380" s="7">
        <v>1.65</v>
      </c>
      <c r="Q380" s="1" t="s">
        <v>5799</v>
      </c>
      <c r="R380" s="2">
        <v>1.0500000000000001E-2</v>
      </c>
      <c r="S380" s="2">
        <f>1217/100000</f>
        <v>1.217E-2</v>
      </c>
      <c r="T380" s="2">
        <v>9.7885940000000005E-2</v>
      </c>
    </row>
    <row r="381" spans="1:20">
      <c r="A381" s="3" t="s">
        <v>3331</v>
      </c>
      <c r="B381" s="1" t="s">
        <v>3315</v>
      </c>
      <c r="C381" s="3" t="s">
        <v>3316</v>
      </c>
      <c r="D381" s="3" t="s">
        <v>3332</v>
      </c>
      <c r="E381" s="3" t="s">
        <v>3333</v>
      </c>
      <c r="F381" s="3" t="s">
        <v>3319</v>
      </c>
      <c r="G381" s="3" t="s">
        <v>3320</v>
      </c>
      <c r="H381" s="11" t="s">
        <v>8224</v>
      </c>
      <c r="I381" s="3" t="s">
        <v>5800</v>
      </c>
      <c r="J381" s="7">
        <v>1.08</v>
      </c>
      <c r="K381" s="1" t="s">
        <v>5801</v>
      </c>
      <c r="L381" s="2">
        <v>0.68799999999999994</v>
      </c>
      <c r="M381" s="2">
        <f>69442/100000</f>
        <v>0.69442000000000004</v>
      </c>
      <c r="N381" s="2">
        <v>0.81405680000000002</v>
      </c>
      <c r="O381" s="3" t="s">
        <v>5802</v>
      </c>
      <c r="P381" s="7">
        <v>1.29</v>
      </c>
      <c r="Q381" s="1" t="s">
        <v>5803</v>
      </c>
      <c r="R381" s="2">
        <v>0.23699999999999999</v>
      </c>
      <c r="S381" s="2">
        <f>26925/100000</f>
        <v>0.26924999999999999</v>
      </c>
      <c r="T381" s="2">
        <v>0.56620890000000001</v>
      </c>
    </row>
    <row r="382" spans="1:20">
      <c r="A382" s="3" t="s">
        <v>3338</v>
      </c>
      <c r="B382" s="1" t="s">
        <v>3315</v>
      </c>
      <c r="C382" s="3" t="s">
        <v>3316</v>
      </c>
      <c r="D382" s="3" t="s">
        <v>3339</v>
      </c>
      <c r="E382" s="3" t="s">
        <v>3340</v>
      </c>
      <c r="F382" s="3" t="s">
        <v>3319</v>
      </c>
      <c r="G382" s="3" t="s">
        <v>3320</v>
      </c>
      <c r="H382" s="11" t="s">
        <v>8225</v>
      </c>
      <c r="I382" s="3" t="s">
        <v>5804</v>
      </c>
      <c r="J382" s="7">
        <v>0.83</v>
      </c>
      <c r="K382" s="1" t="s">
        <v>5805</v>
      </c>
      <c r="L382" s="2">
        <v>0.55300000000000005</v>
      </c>
      <c r="M382" s="2">
        <f>65861/100000</f>
        <v>0.65861000000000003</v>
      </c>
      <c r="N382" s="2">
        <v>0.80511429999999995</v>
      </c>
      <c r="O382" s="3" t="s">
        <v>5806</v>
      </c>
      <c r="P382" s="7">
        <v>1</v>
      </c>
      <c r="Q382" s="1" t="s">
        <v>5807</v>
      </c>
      <c r="R382" s="2">
        <v>0.99199999999999999</v>
      </c>
      <c r="S382" s="2">
        <f>100000/100000</f>
        <v>1</v>
      </c>
      <c r="T382" s="2">
        <v>0.82929589999999997</v>
      </c>
    </row>
    <row r="383" spans="1:20">
      <c r="A383" s="3" t="s">
        <v>3345</v>
      </c>
      <c r="B383" s="1" t="s">
        <v>3346</v>
      </c>
      <c r="C383" s="3" t="s">
        <v>3347</v>
      </c>
      <c r="D383" s="3" t="s">
        <v>3348</v>
      </c>
      <c r="E383" s="3" t="s">
        <v>3349</v>
      </c>
      <c r="F383" s="3" t="s">
        <v>3350</v>
      </c>
      <c r="G383" s="3" t="s">
        <v>3351</v>
      </c>
      <c r="H383" s="11" t="s">
        <v>8226</v>
      </c>
      <c r="I383" s="3" t="s">
        <v>5808</v>
      </c>
      <c r="J383" s="7">
        <v>2.25</v>
      </c>
      <c r="K383" s="1" t="s">
        <v>5809</v>
      </c>
      <c r="L383" s="2">
        <v>6.7199999999999996E-2</v>
      </c>
      <c r="M383" s="2">
        <f>7656/100000</f>
        <v>7.6560000000000003E-2</v>
      </c>
      <c r="N383" s="2">
        <v>0.31118750000000001</v>
      </c>
      <c r="O383" s="3" t="s">
        <v>5810</v>
      </c>
      <c r="P383" s="7">
        <v>1.73</v>
      </c>
      <c r="Q383" s="1" t="s">
        <v>5811</v>
      </c>
      <c r="R383" s="2">
        <v>0.27300000000000002</v>
      </c>
      <c r="S383" s="2">
        <f>30375/100000</f>
        <v>0.30375000000000002</v>
      </c>
      <c r="T383" s="2">
        <v>0.59130300000000002</v>
      </c>
    </row>
    <row r="384" spans="1:20">
      <c r="A384" s="3" t="s">
        <v>3356</v>
      </c>
      <c r="B384" s="1" t="s">
        <v>3346</v>
      </c>
      <c r="C384" s="3" t="s">
        <v>3347</v>
      </c>
      <c r="D384" s="3" t="s">
        <v>3357</v>
      </c>
      <c r="E384" s="3" t="s">
        <v>3358</v>
      </c>
      <c r="F384" s="3" t="s">
        <v>3359</v>
      </c>
      <c r="G384" s="3" t="s">
        <v>3360</v>
      </c>
      <c r="H384" s="11" t="s">
        <v>8226</v>
      </c>
      <c r="I384" s="3" t="s">
        <v>5812</v>
      </c>
      <c r="J384" s="7">
        <v>1.9</v>
      </c>
      <c r="K384" s="1" t="s">
        <v>5813</v>
      </c>
      <c r="L384" s="2">
        <v>0.19900000000000001</v>
      </c>
      <c r="M384" s="2">
        <f>28127/100000</f>
        <v>0.28127000000000002</v>
      </c>
      <c r="N384" s="2">
        <v>0.57078130000000005</v>
      </c>
      <c r="O384" s="3" t="s">
        <v>5814</v>
      </c>
      <c r="P384" s="7">
        <v>0.91</v>
      </c>
      <c r="Q384" s="1" t="s">
        <v>5815</v>
      </c>
      <c r="R384" s="2">
        <v>0.89800000000000002</v>
      </c>
      <c r="S384" s="2">
        <f>100000/100000</f>
        <v>1</v>
      </c>
      <c r="T384" s="2">
        <v>0.82929589999999997</v>
      </c>
    </row>
    <row r="385" spans="1:20">
      <c r="A385" s="3" t="s">
        <v>3365</v>
      </c>
      <c r="B385" s="1" t="s">
        <v>3366</v>
      </c>
      <c r="C385" s="3" t="s">
        <v>3367</v>
      </c>
      <c r="D385" s="3" t="s">
        <v>3368</v>
      </c>
      <c r="E385" s="3" t="s">
        <v>3369</v>
      </c>
      <c r="F385" s="3" t="s">
        <v>3370</v>
      </c>
      <c r="G385" s="3" t="s">
        <v>3371</v>
      </c>
      <c r="H385" s="11" t="s">
        <v>8103</v>
      </c>
      <c r="I385" s="3" t="s">
        <v>5816</v>
      </c>
      <c r="J385" s="7">
        <v>0.99</v>
      </c>
      <c r="K385" s="1" t="s">
        <v>5817</v>
      </c>
      <c r="L385" s="2">
        <v>0.96099999999999997</v>
      </c>
      <c r="M385" s="2">
        <f>100000/100000</f>
        <v>1</v>
      </c>
      <c r="N385" s="2">
        <v>0.82929589999999997</v>
      </c>
      <c r="O385" s="3" t="s">
        <v>5818</v>
      </c>
      <c r="P385" s="7">
        <v>1</v>
      </c>
      <c r="Q385" s="1" t="s">
        <v>5819</v>
      </c>
      <c r="R385" s="2">
        <v>0.98599999999999999</v>
      </c>
      <c r="S385" s="2">
        <f>100000/100000</f>
        <v>1</v>
      </c>
      <c r="T385" s="2">
        <v>0.82929589999999997</v>
      </c>
    </row>
    <row r="386" spans="1:20">
      <c r="A386" s="3" t="s">
        <v>3376</v>
      </c>
      <c r="B386" s="1" t="s">
        <v>3366</v>
      </c>
      <c r="C386" s="3" t="s">
        <v>3367</v>
      </c>
      <c r="D386" s="3" t="s">
        <v>3377</v>
      </c>
      <c r="E386" s="3" t="s">
        <v>3378</v>
      </c>
      <c r="F386" s="3" t="s">
        <v>3370</v>
      </c>
      <c r="G386" s="3" t="s">
        <v>3371</v>
      </c>
      <c r="H386" s="11" t="s">
        <v>8103</v>
      </c>
      <c r="I386" s="3" t="s">
        <v>5820</v>
      </c>
      <c r="J386" s="7">
        <v>0.78</v>
      </c>
      <c r="K386" s="1" t="s">
        <v>5821</v>
      </c>
      <c r="L386" s="2">
        <v>8.0799999999999997E-2</v>
      </c>
      <c r="M386" s="2">
        <f>9063/100000</f>
        <v>9.0630000000000002E-2</v>
      </c>
      <c r="N386" s="2">
        <v>0.34499590000000002</v>
      </c>
      <c r="O386" s="3" t="s">
        <v>5822</v>
      </c>
      <c r="P386" s="7">
        <v>1.33</v>
      </c>
      <c r="Q386" s="1" t="s">
        <v>5823</v>
      </c>
      <c r="R386" s="2">
        <v>3.85E-2</v>
      </c>
      <c r="S386" s="2">
        <f>4338/100000</f>
        <v>4.3380000000000002E-2</v>
      </c>
      <c r="T386" s="2">
        <v>0.222859</v>
      </c>
    </row>
    <row r="387" spans="1:20">
      <c r="A387" s="3" t="s">
        <v>3383</v>
      </c>
      <c r="B387" s="1" t="s">
        <v>3366</v>
      </c>
      <c r="C387" s="3" t="s">
        <v>3367</v>
      </c>
      <c r="D387" s="3" t="s">
        <v>3384</v>
      </c>
      <c r="E387" s="3" t="s">
        <v>3385</v>
      </c>
      <c r="F387" s="3" t="s">
        <v>3370</v>
      </c>
      <c r="G387" s="3" t="s">
        <v>3371</v>
      </c>
      <c r="H387" s="11" t="s">
        <v>8103</v>
      </c>
      <c r="I387" s="3" t="s">
        <v>5824</v>
      </c>
      <c r="J387" s="7">
        <v>0.87</v>
      </c>
      <c r="K387" s="1" t="s">
        <v>5825</v>
      </c>
      <c r="L387" s="2">
        <v>0.67100000000000004</v>
      </c>
      <c r="M387" s="2">
        <f>75372/100000</f>
        <v>0.75371999999999995</v>
      </c>
      <c r="N387" s="2">
        <v>0.82929589999999997</v>
      </c>
      <c r="O387" s="3" t="s">
        <v>5826</v>
      </c>
      <c r="P387" s="7">
        <v>1.1299999999999999</v>
      </c>
      <c r="Q387" s="1" t="s">
        <v>5827</v>
      </c>
      <c r="R387" s="2">
        <v>0.58799999999999997</v>
      </c>
      <c r="S387" s="2">
        <f>62362/100000</f>
        <v>0.62361999999999995</v>
      </c>
      <c r="T387" s="2">
        <v>0.79869500000000004</v>
      </c>
    </row>
    <row r="388" spans="1:20">
      <c r="A388" s="3" t="s">
        <v>3389</v>
      </c>
      <c r="B388" s="1" t="s">
        <v>3366</v>
      </c>
      <c r="C388" s="3" t="s">
        <v>3367</v>
      </c>
      <c r="D388" s="3" t="s">
        <v>3390</v>
      </c>
      <c r="E388" s="3" t="s">
        <v>3391</v>
      </c>
      <c r="F388" s="3" t="s">
        <v>3392</v>
      </c>
      <c r="G388" s="3" t="s">
        <v>3393</v>
      </c>
      <c r="H388" s="11" t="s">
        <v>8103</v>
      </c>
      <c r="I388" s="3" t="s">
        <v>5828</v>
      </c>
      <c r="J388" s="7">
        <v>1.29</v>
      </c>
      <c r="K388" s="1" t="s">
        <v>5829</v>
      </c>
      <c r="L388" s="2">
        <v>0.20499999999999999</v>
      </c>
      <c r="M388" s="2">
        <f>21314/100000</f>
        <v>0.21314</v>
      </c>
      <c r="N388" s="2">
        <v>0.50543210000000005</v>
      </c>
      <c r="O388" s="3" t="s">
        <v>5830</v>
      </c>
      <c r="P388" s="7">
        <v>0.86</v>
      </c>
      <c r="Q388" s="1" t="s">
        <v>5831</v>
      </c>
      <c r="R388" s="2">
        <v>0.50700000000000001</v>
      </c>
      <c r="S388" s="2">
        <f>52663/100000</f>
        <v>0.52663000000000004</v>
      </c>
      <c r="T388" s="2">
        <v>0.74478149999999999</v>
      </c>
    </row>
    <row r="389" spans="1:20">
      <c r="A389" s="3" t="s">
        <v>3398</v>
      </c>
      <c r="B389" s="1" t="s">
        <v>3366</v>
      </c>
      <c r="C389" s="3" t="s">
        <v>3367</v>
      </c>
      <c r="D389" s="3" t="s">
        <v>3399</v>
      </c>
      <c r="E389" s="3" t="s">
        <v>3400</v>
      </c>
      <c r="F389" s="3" t="s">
        <v>3392</v>
      </c>
      <c r="G389" s="3" t="s">
        <v>3393</v>
      </c>
      <c r="H389" s="11" t="s">
        <v>8103</v>
      </c>
      <c r="I389" s="3" t="s">
        <v>5832</v>
      </c>
      <c r="J389" s="7">
        <v>1.05</v>
      </c>
      <c r="K389" s="1" t="s">
        <v>5833</v>
      </c>
      <c r="L389" s="2">
        <v>0.78800000000000003</v>
      </c>
      <c r="M389" s="2">
        <f>85752/100000</f>
        <v>0.85751999999999995</v>
      </c>
      <c r="N389" s="2">
        <v>0.82929589999999997</v>
      </c>
      <c r="O389" s="3" t="s">
        <v>5834</v>
      </c>
      <c r="P389" s="7">
        <v>1.1299999999999999</v>
      </c>
      <c r="Q389" s="1" t="s">
        <v>5835</v>
      </c>
      <c r="R389" s="2">
        <v>0.40899999999999997</v>
      </c>
      <c r="S389" s="2">
        <f>45010/100000</f>
        <v>0.4501</v>
      </c>
      <c r="T389" s="2">
        <v>0.69853390000000004</v>
      </c>
    </row>
    <row r="390" spans="1:20">
      <c r="A390" s="3" t="s">
        <v>3405</v>
      </c>
      <c r="B390" s="1" t="s">
        <v>3366</v>
      </c>
      <c r="C390" s="3" t="s">
        <v>3367</v>
      </c>
      <c r="D390" s="3" t="s">
        <v>3406</v>
      </c>
      <c r="E390" s="3" t="s">
        <v>3407</v>
      </c>
      <c r="F390" s="3" t="s">
        <v>3392</v>
      </c>
      <c r="G390" s="3" t="s">
        <v>3393</v>
      </c>
      <c r="H390" s="11" t="s">
        <v>8103</v>
      </c>
      <c r="I390" s="3" t="s">
        <v>5836</v>
      </c>
      <c r="J390" s="7">
        <v>1.04</v>
      </c>
      <c r="K390" s="1" t="s">
        <v>5837</v>
      </c>
      <c r="L390" s="2">
        <v>0.90500000000000003</v>
      </c>
      <c r="M390" s="2">
        <f>100000/100000</f>
        <v>1</v>
      </c>
      <c r="N390" s="2">
        <v>0.82929589999999997</v>
      </c>
      <c r="O390" s="3" t="s">
        <v>5838</v>
      </c>
      <c r="P390" s="7">
        <v>1.5</v>
      </c>
      <c r="Q390" s="1" t="s">
        <v>5839</v>
      </c>
      <c r="R390" s="2">
        <v>0.152</v>
      </c>
      <c r="S390" s="2">
        <f>16690/100000</f>
        <v>0.16689999999999999</v>
      </c>
      <c r="T390" s="2">
        <v>0.45324789999999998</v>
      </c>
    </row>
    <row r="391" spans="1:20">
      <c r="A391" s="3" t="s">
        <v>3412</v>
      </c>
      <c r="B391" s="1" t="s">
        <v>3413</v>
      </c>
      <c r="C391" s="3" t="s">
        <v>3414</v>
      </c>
      <c r="D391" s="3" t="s">
        <v>3415</v>
      </c>
      <c r="E391" s="3" t="s">
        <v>3416</v>
      </c>
      <c r="F391" s="3" t="s">
        <v>3417</v>
      </c>
      <c r="G391" s="3" t="s">
        <v>3418</v>
      </c>
      <c r="H391" s="11" t="s">
        <v>8227</v>
      </c>
      <c r="I391" s="3" t="s">
        <v>5840</v>
      </c>
      <c r="J391" s="7">
        <v>1.0900000000000001</v>
      </c>
      <c r="K391" s="1" t="s">
        <v>5841</v>
      </c>
      <c r="L391" s="2">
        <v>0.82299999999999995</v>
      </c>
      <c r="M391" s="2">
        <f>83898/100000</f>
        <v>0.83897999999999995</v>
      </c>
      <c r="N391" s="2">
        <v>0.82929589999999997</v>
      </c>
      <c r="O391" s="3" t="s">
        <v>5842</v>
      </c>
      <c r="P391" s="7">
        <v>1.1000000000000001</v>
      </c>
      <c r="Q391" s="1" t="s">
        <v>5843</v>
      </c>
      <c r="R391" s="2">
        <v>0.80300000000000005</v>
      </c>
      <c r="S391" s="2">
        <f>83758/100000</f>
        <v>0.83757999999999999</v>
      </c>
      <c r="T391" s="2">
        <v>0.82929589999999997</v>
      </c>
    </row>
    <row r="392" spans="1:20">
      <c r="A392" s="3" t="s">
        <v>3422</v>
      </c>
      <c r="B392" s="1" t="s">
        <v>3413</v>
      </c>
      <c r="C392" s="3" t="s">
        <v>3414</v>
      </c>
      <c r="D392" s="3" t="s">
        <v>3423</v>
      </c>
      <c r="E392" s="3" t="s">
        <v>3424</v>
      </c>
      <c r="F392" s="3" t="s">
        <v>3417</v>
      </c>
      <c r="G392" s="3" t="s">
        <v>3418</v>
      </c>
      <c r="H392" s="11" t="s">
        <v>8228</v>
      </c>
      <c r="I392" s="3" t="s">
        <v>5844</v>
      </c>
      <c r="J392" s="7">
        <v>1.76</v>
      </c>
      <c r="K392" s="1" t="s">
        <v>5845</v>
      </c>
      <c r="L392" s="2">
        <v>3.85E-2</v>
      </c>
      <c r="M392" s="2">
        <f>4782/100000</f>
        <v>4.7820000000000001E-2</v>
      </c>
      <c r="N392" s="2">
        <v>0.2355595</v>
      </c>
      <c r="O392" s="3" t="s">
        <v>5846</v>
      </c>
      <c r="P392" s="7">
        <v>0.91</v>
      </c>
      <c r="Q392" s="1" t="s">
        <v>5847</v>
      </c>
      <c r="R392" s="2">
        <v>0.77200000000000002</v>
      </c>
      <c r="S392" s="2">
        <f>87253/100000</f>
        <v>0.87253000000000003</v>
      </c>
      <c r="T392" s="2">
        <v>0.82929589999999997</v>
      </c>
    </row>
    <row r="393" spans="1:20">
      <c r="A393" s="3" t="s">
        <v>3428</v>
      </c>
      <c r="B393" s="1" t="s">
        <v>3429</v>
      </c>
      <c r="C393" s="3" t="s">
        <v>3430</v>
      </c>
      <c r="D393" s="3" t="s">
        <v>3431</v>
      </c>
      <c r="E393" s="3" t="s">
        <v>3432</v>
      </c>
      <c r="F393" s="3" t="s">
        <v>3433</v>
      </c>
      <c r="G393" s="3" t="s">
        <v>3434</v>
      </c>
      <c r="H393" s="11" t="s">
        <v>8104</v>
      </c>
      <c r="I393" s="3" t="s">
        <v>5848</v>
      </c>
      <c r="J393" s="7">
        <v>1.31</v>
      </c>
      <c r="K393" s="1" t="s">
        <v>5849</v>
      </c>
      <c r="L393" s="2">
        <v>0.64</v>
      </c>
      <c r="M393" s="2">
        <f>73149/100000</f>
        <v>0.73148999999999997</v>
      </c>
      <c r="N393" s="2">
        <v>0.82137769999999999</v>
      </c>
      <c r="O393" s="3" t="s">
        <v>5850</v>
      </c>
      <c r="P393" s="7">
        <v>1</v>
      </c>
      <c r="Q393" s="1" t="s">
        <v>5690</v>
      </c>
      <c r="R393" s="2">
        <v>0.99399999999999999</v>
      </c>
      <c r="S393" s="2">
        <f>100000/100000</f>
        <v>1</v>
      </c>
      <c r="T393" s="2">
        <v>0.82929589999999997</v>
      </c>
    </row>
    <row r="394" spans="1:20">
      <c r="A394" s="3" t="s">
        <v>3439</v>
      </c>
      <c r="B394" s="1" t="s">
        <v>3429</v>
      </c>
      <c r="C394" s="3" t="s">
        <v>3430</v>
      </c>
      <c r="D394" s="3" t="s">
        <v>3440</v>
      </c>
      <c r="E394" s="3" t="s">
        <v>3441</v>
      </c>
      <c r="F394" s="3" t="s">
        <v>3442</v>
      </c>
      <c r="G394" s="3" t="s">
        <v>3443</v>
      </c>
      <c r="H394" s="11" t="s">
        <v>8104</v>
      </c>
      <c r="I394" s="3" t="s">
        <v>5851</v>
      </c>
      <c r="J394" s="7">
        <v>1.28</v>
      </c>
      <c r="K394" s="1" t="s">
        <v>5115</v>
      </c>
      <c r="L394" s="2">
        <v>0.38</v>
      </c>
      <c r="M394" s="2">
        <f>42037/100000</f>
        <v>0.42037000000000002</v>
      </c>
      <c r="N394" s="2">
        <v>0.67565790000000003</v>
      </c>
      <c r="O394" s="3" t="s">
        <v>5852</v>
      </c>
      <c r="P394" s="7">
        <v>0.8</v>
      </c>
      <c r="Q394" s="1" t="s">
        <v>5853</v>
      </c>
      <c r="R394" s="2">
        <v>0.59799999999999998</v>
      </c>
      <c r="S394" s="2">
        <f>71115/100000</f>
        <v>0.71114999999999995</v>
      </c>
      <c r="T394" s="2">
        <v>0.82137769999999999</v>
      </c>
    </row>
    <row r="395" spans="1:20">
      <c r="A395" s="3" t="s">
        <v>3448</v>
      </c>
      <c r="B395" s="1" t="s">
        <v>3449</v>
      </c>
      <c r="C395" s="3" t="s">
        <v>3450</v>
      </c>
      <c r="D395" s="3" t="s">
        <v>3451</v>
      </c>
      <c r="E395" s="3" t="s">
        <v>3452</v>
      </c>
      <c r="F395" s="3" t="s">
        <v>3453</v>
      </c>
      <c r="G395" s="3" t="s">
        <v>3454</v>
      </c>
      <c r="H395" s="11" t="s">
        <v>8048</v>
      </c>
      <c r="I395" s="3" t="s">
        <v>5854</v>
      </c>
      <c r="J395" s="7">
        <v>0.98</v>
      </c>
      <c r="K395" s="1" t="s">
        <v>5855</v>
      </c>
      <c r="L395" s="2">
        <v>0.96799999999999997</v>
      </c>
      <c r="M395" s="2">
        <f>100000/100000</f>
        <v>1</v>
      </c>
      <c r="N395" s="2">
        <v>0.82929589999999997</v>
      </c>
      <c r="O395" s="3" t="s">
        <v>5856</v>
      </c>
      <c r="P395" s="7">
        <v>1.07</v>
      </c>
      <c r="Q395" s="1" t="s">
        <v>5857</v>
      </c>
      <c r="R395" s="2">
        <v>0.89800000000000002</v>
      </c>
      <c r="S395" s="2">
        <f>100000/100000</f>
        <v>1</v>
      </c>
      <c r="T395" s="2">
        <v>0.82929589999999997</v>
      </c>
    </row>
    <row r="396" spans="1:20">
      <c r="A396" s="3" t="s">
        <v>3458</v>
      </c>
      <c r="B396" s="1" t="s">
        <v>3449</v>
      </c>
      <c r="C396" s="3" t="s">
        <v>3450</v>
      </c>
      <c r="D396" s="3" t="s">
        <v>3459</v>
      </c>
      <c r="E396" s="3" t="s">
        <v>3460</v>
      </c>
      <c r="F396" s="3" t="s">
        <v>3453</v>
      </c>
      <c r="G396" s="3" t="s">
        <v>3454</v>
      </c>
      <c r="H396" s="11" t="s">
        <v>8229</v>
      </c>
      <c r="I396" s="3" t="s">
        <v>5858</v>
      </c>
      <c r="J396" s="7">
        <v>1.06</v>
      </c>
      <c r="K396" s="1" t="s">
        <v>5859</v>
      </c>
      <c r="L396" s="2">
        <v>0.92300000000000004</v>
      </c>
      <c r="M396" s="2">
        <f>100000/100000</f>
        <v>1</v>
      </c>
      <c r="N396" s="2">
        <v>0.82929589999999997</v>
      </c>
      <c r="O396" s="3" t="s">
        <v>5860</v>
      </c>
      <c r="P396" s="7">
        <v>1.66</v>
      </c>
      <c r="Q396" s="1" t="s">
        <v>5599</v>
      </c>
      <c r="R396" s="2">
        <v>0.25900000000000001</v>
      </c>
      <c r="S396" s="2">
        <f>38009/100000</f>
        <v>0.38008999999999998</v>
      </c>
      <c r="T396" s="2">
        <v>0.65084330000000001</v>
      </c>
    </row>
    <row r="397" spans="1:20">
      <c r="A397" s="3" t="s">
        <v>3465</v>
      </c>
      <c r="B397" s="1" t="s">
        <v>3466</v>
      </c>
      <c r="C397" s="3" t="s">
        <v>3467</v>
      </c>
      <c r="D397" s="3" t="s">
        <v>3468</v>
      </c>
      <c r="E397" s="3" t="s">
        <v>3469</v>
      </c>
      <c r="F397" s="3" t="s">
        <v>3470</v>
      </c>
      <c r="G397" s="3" t="s">
        <v>3471</v>
      </c>
      <c r="H397" s="11" t="s">
        <v>8105</v>
      </c>
      <c r="I397" s="3" t="s">
        <v>5861</v>
      </c>
      <c r="J397" s="7">
        <v>0.56000000000000005</v>
      </c>
      <c r="K397" s="1" t="s">
        <v>5862</v>
      </c>
      <c r="L397" s="2">
        <v>0.41399999999999998</v>
      </c>
      <c r="M397" s="2">
        <f>45541/100000</f>
        <v>0.45540999999999998</v>
      </c>
      <c r="N397" s="2">
        <v>0.70036719999999997</v>
      </c>
      <c r="O397" s="3" t="s">
        <v>5863</v>
      </c>
      <c r="P397" s="7">
        <v>2.84</v>
      </c>
      <c r="Q397" s="1" t="s">
        <v>5864</v>
      </c>
      <c r="R397" s="2">
        <v>9.5099999999999994E-3</v>
      </c>
      <c r="S397" s="2">
        <f>2311/100000</f>
        <v>2.3109999999999999E-2</v>
      </c>
      <c r="T397" s="2">
        <v>0.15129909999999999</v>
      </c>
    </row>
    <row r="398" spans="1:20">
      <c r="A398" s="3" t="s">
        <v>3476</v>
      </c>
      <c r="B398" s="1" t="s">
        <v>3466</v>
      </c>
      <c r="C398" s="3" t="s">
        <v>3467</v>
      </c>
      <c r="D398" s="3" t="s">
        <v>3477</v>
      </c>
      <c r="E398" s="3" t="s">
        <v>3478</v>
      </c>
      <c r="F398" s="3" t="s">
        <v>3479</v>
      </c>
      <c r="G398" s="3" t="s">
        <v>3480</v>
      </c>
      <c r="H398" s="11" t="s">
        <v>8105</v>
      </c>
      <c r="I398" s="3" t="s">
        <v>5403</v>
      </c>
      <c r="J398" s="7">
        <v>0.55000000000000004</v>
      </c>
      <c r="K398" s="1" t="s">
        <v>5404</v>
      </c>
      <c r="L398" s="2">
        <v>0.39900000000000002</v>
      </c>
      <c r="M398" s="2">
        <f>45341/100000</f>
        <v>0.45340999999999998</v>
      </c>
      <c r="N398" s="2">
        <v>0.69980600000000004</v>
      </c>
      <c r="O398" s="3" t="s">
        <v>5865</v>
      </c>
      <c r="P398" s="7">
        <v>0.56000000000000005</v>
      </c>
      <c r="Q398" s="1" t="s">
        <v>5866</v>
      </c>
      <c r="R398" s="2">
        <v>0.55800000000000005</v>
      </c>
      <c r="S398" s="2">
        <f>72849/100000</f>
        <v>0.72848999999999997</v>
      </c>
      <c r="T398" s="2">
        <v>0.82137769999999999</v>
      </c>
    </row>
    <row r="399" spans="1:20">
      <c r="A399" s="3" t="s">
        <v>3483</v>
      </c>
      <c r="B399" s="1" t="s">
        <v>3466</v>
      </c>
      <c r="C399" s="3" t="s">
        <v>3467</v>
      </c>
      <c r="D399" s="3" t="s">
        <v>3484</v>
      </c>
      <c r="E399" s="3" t="s">
        <v>3485</v>
      </c>
      <c r="F399" s="3" t="s">
        <v>3479</v>
      </c>
      <c r="G399" s="3" t="s">
        <v>3480</v>
      </c>
      <c r="H399" s="11" t="s">
        <v>8106</v>
      </c>
      <c r="I399" s="3" t="s">
        <v>4615</v>
      </c>
      <c r="J399" s="7">
        <v>2.56</v>
      </c>
      <c r="K399" s="1" t="s">
        <v>4616</v>
      </c>
      <c r="L399" s="2">
        <v>2.9099999999999998E-3</v>
      </c>
      <c r="M399" s="2">
        <f>771/100000</f>
        <v>7.7099999999999998E-3</v>
      </c>
      <c r="N399" s="2">
        <v>7.3045849999999996E-2</v>
      </c>
      <c r="O399" s="3" t="s">
        <v>5867</v>
      </c>
      <c r="P399" s="7">
        <v>0.74</v>
      </c>
      <c r="Q399" s="1" t="s">
        <v>5272</v>
      </c>
      <c r="R399" s="2">
        <v>0.67200000000000004</v>
      </c>
      <c r="S399" s="2">
        <f>77429/100000</f>
        <v>0.77429000000000003</v>
      </c>
      <c r="T399" s="2">
        <v>0.82929589999999997</v>
      </c>
    </row>
    <row r="400" spans="1:20">
      <c r="A400" s="3" t="s">
        <v>3488</v>
      </c>
      <c r="B400" s="1" t="s">
        <v>3489</v>
      </c>
      <c r="C400" s="3" t="s">
        <v>3490</v>
      </c>
      <c r="D400" s="3" t="s">
        <v>2741</v>
      </c>
      <c r="E400" s="3" t="s">
        <v>2742</v>
      </c>
      <c r="F400" s="3" t="s">
        <v>2743</v>
      </c>
      <c r="G400" s="3" t="s">
        <v>2744</v>
      </c>
      <c r="H400" s="11" t="s">
        <v>8198</v>
      </c>
      <c r="I400" s="3" t="s">
        <v>5577</v>
      </c>
      <c r="J400" s="7">
        <v>1.01</v>
      </c>
      <c r="K400" s="1" t="s">
        <v>5578</v>
      </c>
      <c r="L400" s="2">
        <v>0.98899999999999999</v>
      </c>
      <c r="M400" s="2">
        <f>100000/100000</f>
        <v>1</v>
      </c>
      <c r="N400" s="2">
        <v>0.82929589999999997</v>
      </c>
      <c r="O400" s="3" t="s">
        <v>5579</v>
      </c>
      <c r="P400" s="7">
        <v>0.96</v>
      </c>
      <c r="Q400" s="1" t="s">
        <v>4840</v>
      </c>
      <c r="R400" s="2">
        <v>0.95499999999999996</v>
      </c>
      <c r="S400" s="2">
        <f>100000/100000</f>
        <v>1</v>
      </c>
      <c r="T400" s="2">
        <v>0.82929589999999997</v>
      </c>
    </row>
    <row r="401" spans="1:20">
      <c r="A401" s="3" t="s">
        <v>3491</v>
      </c>
      <c r="B401" s="1" t="s">
        <v>3489</v>
      </c>
      <c r="C401" s="3" t="s">
        <v>3490</v>
      </c>
      <c r="D401" s="3" t="s">
        <v>2750</v>
      </c>
      <c r="E401" s="3" t="s">
        <v>2751</v>
      </c>
      <c r="F401" s="3" t="s">
        <v>2743</v>
      </c>
      <c r="G401" s="3" t="s">
        <v>2744</v>
      </c>
      <c r="H401" s="11" t="s">
        <v>8094</v>
      </c>
      <c r="I401" s="3" t="s">
        <v>5580</v>
      </c>
      <c r="J401" s="7">
        <v>1.44</v>
      </c>
      <c r="K401" s="1" t="s">
        <v>5581</v>
      </c>
      <c r="L401" s="2">
        <v>0.47199999999999998</v>
      </c>
      <c r="M401" s="2">
        <f>53684/100000</f>
        <v>0.53683999999999998</v>
      </c>
      <c r="N401" s="2">
        <v>0.74478149999999999</v>
      </c>
      <c r="O401" s="3" t="s">
        <v>5582</v>
      </c>
      <c r="P401" s="7">
        <v>1.91</v>
      </c>
      <c r="Q401" s="1" t="s">
        <v>5583</v>
      </c>
      <c r="R401" s="2">
        <v>8.7400000000000005E-2</v>
      </c>
      <c r="S401" s="2">
        <f>10515/100000</f>
        <v>0.10514999999999999</v>
      </c>
      <c r="T401" s="2">
        <v>0.36332550000000002</v>
      </c>
    </row>
    <row r="402" spans="1:20">
      <c r="A402" s="3" t="s">
        <v>3492</v>
      </c>
      <c r="B402" s="1" t="s">
        <v>3493</v>
      </c>
      <c r="C402" s="3" t="s">
        <v>3494</v>
      </c>
      <c r="D402" s="3" t="s">
        <v>3495</v>
      </c>
      <c r="E402" s="3" t="s">
        <v>3496</v>
      </c>
      <c r="F402" s="3" t="s">
        <v>3497</v>
      </c>
      <c r="G402" s="3" t="s">
        <v>3498</v>
      </c>
      <c r="H402" s="11" t="s">
        <v>8230</v>
      </c>
      <c r="I402" s="3" t="s">
        <v>5868</v>
      </c>
      <c r="J402" s="7">
        <v>1.81</v>
      </c>
      <c r="K402" s="1" t="s">
        <v>5869</v>
      </c>
      <c r="L402" s="2">
        <v>0.12</v>
      </c>
      <c r="M402" s="2">
        <f>12076/100000</f>
        <v>0.12076000000000001</v>
      </c>
      <c r="N402" s="2">
        <v>0.38544349999999999</v>
      </c>
      <c r="O402" s="3" t="s">
        <v>5870</v>
      </c>
      <c r="P402" s="7">
        <v>0.47</v>
      </c>
      <c r="Q402" s="1" t="s">
        <v>5871</v>
      </c>
      <c r="R402" s="2">
        <v>0.27200000000000002</v>
      </c>
      <c r="S402" s="2">
        <f>33547/100000</f>
        <v>0.33546999999999999</v>
      </c>
      <c r="T402" s="2">
        <v>0.61526179999999997</v>
      </c>
    </row>
    <row r="403" spans="1:20">
      <c r="A403" s="3" t="s">
        <v>3501</v>
      </c>
      <c r="B403" s="1" t="s">
        <v>3493</v>
      </c>
      <c r="C403" s="3" t="s">
        <v>3494</v>
      </c>
      <c r="D403" s="3" t="s">
        <v>3502</v>
      </c>
      <c r="E403" s="3" t="s">
        <v>3503</v>
      </c>
      <c r="F403" s="3" t="s">
        <v>3504</v>
      </c>
      <c r="G403" s="3" t="s">
        <v>3505</v>
      </c>
      <c r="H403" s="11" t="s">
        <v>8230</v>
      </c>
      <c r="I403" s="3" t="s">
        <v>5872</v>
      </c>
      <c r="J403" s="7">
        <v>1.41</v>
      </c>
      <c r="K403" s="1" t="s">
        <v>5873</v>
      </c>
      <c r="L403" s="2">
        <v>0.499</v>
      </c>
      <c r="M403" s="2">
        <f>53972/100000</f>
        <v>0.53971999999999998</v>
      </c>
      <c r="N403" s="2">
        <v>0.74478149999999999</v>
      </c>
      <c r="O403" s="3" t="s">
        <v>5874</v>
      </c>
      <c r="P403" s="7">
        <v>0.66</v>
      </c>
      <c r="Q403" s="1" t="s">
        <v>5875</v>
      </c>
      <c r="R403" s="2">
        <v>0.56100000000000005</v>
      </c>
      <c r="S403" s="2">
        <f>77492/100000</f>
        <v>0.77492000000000005</v>
      </c>
      <c r="T403" s="2">
        <v>0.82929589999999997</v>
      </c>
    </row>
    <row r="404" spans="1:20">
      <c r="A404" s="3" t="s">
        <v>3509</v>
      </c>
      <c r="B404" s="1" t="s">
        <v>3510</v>
      </c>
      <c r="C404" s="3" t="s">
        <v>3511</v>
      </c>
      <c r="D404" s="3" t="s">
        <v>3512</v>
      </c>
      <c r="E404" s="3" t="s">
        <v>3513</v>
      </c>
      <c r="F404" s="3" t="s">
        <v>3514</v>
      </c>
      <c r="G404" s="3" t="s">
        <v>3515</v>
      </c>
      <c r="H404" s="11" t="s">
        <v>8107</v>
      </c>
      <c r="I404" s="3" t="s">
        <v>5876</v>
      </c>
      <c r="J404" s="7">
        <v>1.17</v>
      </c>
      <c r="K404" s="1" t="s">
        <v>5877</v>
      </c>
      <c r="L404" s="2">
        <v>0.56599999999999995</v>
      </c>
      <c r="M404" s="2">
        <f>56270/100000</f>
        <v>0.56269999999999998</v>
      </c>
      <c r="N404" s="2">
        <v>0.76054100000000002</v>
      </c>
      <c r="O404" s="3" t="s">
        <v>5878</v>
      </c>
      <c r="P404" s="7">
        <v>1.22</v>
      </c>
      <c r="Q404" s="1" t="s">
        <v>5879</v>
      </c>
      <c r="R404" s="2">
        <v>0.44800000000000001</v>
      </c>
      <c r="S404" s="2">
        <f>48022/100000</f>
        <v>0.48021999999999998</v>
      </c>
      <c r="T404" s="2">
        <v>0.72836880000000004</v>
      </c>
    </row>
    <row r="405" spans="1:20">
      <c r="A405" s="3" t="s">
        <v>3518</v>
      </c>
      <c r="B405" s="1" t="s">
        <v>3510</v>
      </c>
      <c r="C405" s="3" t="s">
        <v>3511</v>
      </c>
      <c r="D405" s="3" t="s">
        <v>3519</v>
      </c>
      <c r="E405" s="3" t="s">
        <v>3520</v>
      </c>
      <c r="F405" s="3" t="s">
        <v>3514</v>
      </c>
      <c r="G405" s="3" t="s">
        <v>3515</v>
      </c>
      <c r="H405" s="11" t="s">
        <v>8107</v>
      </c>
      <c r="I405" s="3" t="s">
        <v>5880</v>
      </c>
      <c r="J405" s="7">
        <v>0.94</v>
      </c>
      <c r="K405" s="1" t="s">
        <v>5881</v>
      </c>
      <c r="L405" s="2">
        <v>0.81599999999999995</v>
      </c>
      <c r="M405" s="2">
        <f>89357/100000</f>
        <v>0.89356999999999998</v>
      </c>
      <c r="N405" s="2">
        <v>0.82929589999999997</v>
      </c>
      <c r="O405" s="3" t="s">
        <v>5882</v>
      </c>
      <c r="P405" s="7">
        <v>1.96</v>
      </c>
      <c r="Q405" s="1" t="s">
        <v>5883</v>
      </c>
      <c r="R405" s="2">
        <v>4.0999999999999999E-4</v>
      </c>
      <c r="S405" s="2">
        <f>78/100000</f>
        <v>7.7999999999999999E-4</v>
      </c>
      <c r="T405" s="2">
        <v>1.371678E-2</v>
      </c>
    </row>
    <row r="406" spans="1:20">
      <c r="A406" s="3" t="s">
        <v>3525</v>
      </c>
      <c r="B406" s="1" t="s">
        <v>3510</v>
      </c>
      <c r="C406" s="3" t="s">
        <v>3511</v>
      </c>
      <c r="D406" s="3" t="s">
        <v>3526</v>
      </c>
      <c r="E406" s="3" t="s">
        <v>3527</v>
      </c>
      <c r="F406" s="3" t="s">
        <v>3514</v>
      </c>
      <c r="G406" s="3" t="s">
        <v>3515</v>
      </c>
      <c r="H406" s="11" t="s">
        <v>8107</v>
      </c>
      <c r="I406" s="3" t="s">
        <v>5884</v>
      </c>
      <c r="J406" s="7">
        <v>1.03</v>
      </c>
      <c r="K406" s="1" t="s">
        <v>3910</v>
      </c>
      <c r="L406" s="2">
        <v>0.91900000000000004</v>
      </c>
      <c r="M406" s="2">
        <f>100000/100000</f>
        <v>1</v>
      </c>
      <c r="N406" s="2">
        <v>0.82929589999999997</v>
      </c>
      <c r="O406" s="3" t="s">
        <v>5885</v>
      </c>
      <c r="P406" s="7">
        <v>1.62</v>
      </c>
      <c r="Q406" s="1" t="s">
        <v>5886</v>
      </c>
      <c r="R406" s="2">
        <v>1.89E-2</v>
      </c>
      <c r="S406" s="2">
        <f>2230/100000</f>
        <v>2.23E-2</v>
      </c>
      <c r="T406" s="2">
        <v>0.14822679999999999</v>
      </c>
    </row>
    <row r="407" spans="1:20">
      <c r="A407" s="3" t="s">
        <v>3532</v>
      </c>
      <c r="B407" s="1" t="s">
        <v>3533</v>
      </c>
      <c r="C407" s="3" t="s">
        <v>3534</v>
      </c>
      <c r="D407" s="3" t="s">
        <v>3535</v>
      </c>
      <c r="E407" s="3" t="s">
        <v>3536</v>
      </c>
      <c r="F407" s="3" t="s">
        <v>3537</v>
      </c>
      <c r="G407" s="3" t="s">
        <v>3538</v>
      </c>
      <c r="H407" s="11" t="s">
        <v>8078</v>
      </c>
      <c r="I407" s="3" t="s">
        <v>5887</v>
      </c>
      <c r="J407" s="7">
        <v>0</v>
      </c>
      <c r="K407" s="1" t="s">
        <v>774</v>
      </c>
      <c r="L407" s="2">
        <v>0.248</v>
      </c>
      <c r="M407" s="2">
        <f>40838/100000</f>
        <v>0.40838000000000002</v>
      </c>
      <c r="N407" s="2">
        <v>0.67021109999999995</v>
      </c>
      <c r="O407" s="3" t="s">
        <v>5888</v>
      </c>
      <c r="P407" s="7">
        <v>2.2799999999999998</v>
      </c>
      <c r="Q407" s="1" t="s">
        <v>5889</v>
      </c>
      <c r="R407" s="2">
        <v>9.8799999999999999E-2</v>
      </c>
      <c r="S407" s="2">
        <f>10598/100000</f>
        <v>0.10598</v>
      </c>
      <c r="T407" s="2">
        <v>0.364819</v>
      </c>
    </row>
    <row r="408" spans="1:20">
      <c r="A408" s="3" t="s">
        <v>3543</v>
      </c>
      <c r="B408" s="1" t="s">
        <v>3533</v>
      </c>
      <c r="C408" s="3" t="s">
        <v>3534</v>
      </c>
      <c r="D408" s="3" t="s">
        <v>3544</v>
      </c>
      <c r="E408" s="3" t="s">
        <v>3545</v>
      </c>
      <c r="F408" s="3" t="s">
        <v>3546</v>
      </c>
      <c r="G408" s="3" t="s">
        <v>3547</v>
      </c>
      <c r="H408" s="11" t="s">
        <v>8108</v>
      </c>
      <c r="I408" s="3" t="s">
        <v>5890</v>
      </c>
      <c r="J408" s="7">
        <v>0.86</v>
      </c>
      <c r="K408" s="1" t="s">
        <v>5891</v>
      </c>
      <c r="L408" s="2">
        <v>0.80200000000000005</v>
      </c>
      <c r="M408" s="2">
        <f>100000/100000</f>
        <v>1</v>
      </c>
      <c r="N408" s="2">
        <v>0.82929589999999997</v>
      </c>
      <c r="O408" s="3" t="s">
        <v>5892</v>
      </c>
      <c r="P408" s="7">
        <v>0.98</v>
      </c>
      <c r="Q408" s="1" t="s">
        <v>5893</v>
      </c>
      <c r="R408" s="2">
        <v>0.98299999999999998</v>
      </c>
      <c r="S408" s="2">
        <f>100000/100000</f>
        <v>1</v>
      </c>
      <c r="T408" s="2">
        <v>0.82929589999999997</v>
      </c>
    </row>
    <row r="409" spans="1:20">
      <c r="A409" s="3" t="s">
        <v>3552</v>
      </c>
      <c r="B409" s="1" t="s">
        <v>3533</v>
      </c>
      <c r="C409" s="3" t="s">
        <v>3534</v>
      </c>
      <c r="D409" s="3" t="s">
        <v>3553</v>
      </c>
      <c r="E409" s="3" t="s">
        <v>3554</v>
      </c>
      <c r="F409" s="3" t="s">
        <v>3546</v>
      </c>
      <c r="G409" s="3" t="s">
        <v>3547</v>
      </c>
      <c r="H409" s="11" t="s">
        <v>8108</v>
      </c>
      <c r="I409" s="3" t="s">
        <v>5894</v>
      </c>
      <c r="J409" s="7">
        <v>1.04</v>
      </c>
      <c r="K409" s="1" t="s">
        <v>5895</v>
      </c>
      <c r="L409" s="2">
        <v>0.94799999999999995</v>
      </c>
      <c r="M409" s="2">
        <f>100000/100000</f>
        <v>1</v>
      </c>
      <c r="N409" s="2">
        <v>0.82929589999999997</v>
      </c>
      <c r="O409" s="3" t="s">
        <v>5896</v>
      </c>
      <c r="P409" s="7">
        <v>2.88</v>
      </c>
      <c r="Q409" s="1" t="s">
        <v>5897</v>
      </c>
      <c r="R409" s="2">
        <v>1.39E-3</v>
      </c>
      <c r="S409" s="2">
        <f>636/100000</f>
        <v>6.3600000000000002E-3</v>
      </c>
      <c r="T409" s="2">
        <v>6.3291860000000005E-2</v>
      </c>
    </row>
    <row r="410" spans="1:20">
      <c r="A410" s="3" t="s">
        <v>3559</v>
      </c>
      <c r="B410" s="1" t="s">
        <v>3533</v>
      </c>
      <c r="C410" s="3" t="s">
        <v>3534</v>
      </c>
      <c r="D410" s="3" t="s">
        <v>3560</v>
      </c>
      <c r="E410" s="3" t="s">
        <v>3561</v>
      </c>
      <c r="F410" s="3" t="s">
        <v>3546</v>
      </c>
      <c r="G410" s="3" t="s">
        <v>3547</v>
      </c>
      <c r="H410" s="11" t="s">
        <v>8108</v>
      </c>
      <c r="I410" s="3" t="s">
        <v>5898</v>
      </c>
      <c r="J410" s="7">
        <v>1.72</v>
      </c>
      <c r="K410" s="1" t="s">
        <v>5899</v>
      </c>
      <c r="L410" s="2">
        <v>1.9E-2</v>
      </c>
      <c r="M410" s="2">
        <f>2502/100000</f>
        <v>2.5020000000000001E-2</v>
      </c>
      <c r="N410" s="2">
        <v>0.15967039999999999</v>
      </c>
      <c r="O410" s="3" t="s">
        <v>5900</v>
      </c>
      <c r="P410" s="7">
        <v>0.62</v>
      </c>
      <c r="Q410" s="1" t="s">
        <v>1108</v>
      </c>
      <c r="R410" s="2">
        <v>0.154</v>
      </c>
      <c r="S410" s="2">
        <f>17256/100000</f>
        <v>0.17255999999999999</v>
      </c>
      <c r="T410" s="2">
        <v>0.46076499999999998</v>
      </c>
    </row>
    <row r="411" spans="1:20">
      <c r="A411" s="3" t="s">
        <v>3566</v>
      </c>
      <c r="B411" s="1" t="s">
        <v>3533</v>
      </c>
      <c r="C411" s="3" t="s">
        <v>3534</v>
      </c>
      <c r="D411" s="3" t="s">
        <v>3567</v>
      </c>
      <c r="E411" s="3" t="s">
        <v>3568</v>
      </c>
      <c r="F411" s="3" t="s">
        <v>3569</v>
      </c>
      <c r="G411" s="3" t="s">
        <v>3570</v>
      </c>
      <c r="H411" s="11" t="s">
        <v>8108</v>
      </c>
      <c r="I411" s="3" t="s">
        <v>5901</v>
      </c>
      <c r="J411" s="7">
        <v>1.17</v>
      </c>
      <c r="K411" s="1" t="s">
        <v>5902</v>
      </c>
      <c r="L411" s="2">
        <v>0.82899999999999996</v>
      </c>
      <c r="M411" s="2">
        <f>100000/100000</f>
        <v>1</v>
      </c>
      <c r="N411" s="2">
        <v>0.82929589999999997</v>
      </c>
      <c r="O411" s="3" t="s">
        <v>5903</v>
      </c>
      <c r="P411" s="7">
        <v>2.78</v>
      </c>
      <c r="Q411" s="1" t="s">
        <v>5904</v>
      </c>
      <c r="R411" s="2">
        <v>7.22E-2</v>
      </c>
      <c r="S411" s="2">
        <f>10138/100000</f>
        <v>0.10138</v>
      </c>
      <c r="T411" s="2">
        <v>0.35767929999999998</v>
      </c>
    </row>
    <row r="412" spans="1:20">
      <c r="A412" s="3" t="s">
        <v>3575</v>
      </c>
      <c r="B412" s="1" t="s">
        <v>3533</v>
      </c>
      <c r="C412" s="3" t="s">
        <v>3534</v>
      </c>
      <c r="D412" s="3" t="s">
        <v>3576</v>
      </c>
      <c r="E412" s="3" t="s">
        <v>3577</v>
      </c>
      <c r="F412" s="3" t="s">
        <v>3569</v>
      </c>
      <c r="G412" s="3" t="s">
        <v>3570</v>
      </c>
      <c r="H412" s="11" t="s">
        <v>8108</v>
      </c>
      <c r="I412" s="3" t="s">
        <v>5905</v>
      </c>
      <c r="J412" s="7">
        <v>1.89</v>
      </c>
      <c r="K412" s="1" t="s">
        <v>5906</v>
      </c>
      <c r="L412" s="2">
        <v>0.157</v>
      </c>
      <c r="M412" s="2">
        <f>19938/100000</f>
        <v>0.19938</v>
      </c>
      <c r="N412" s="2">
        <v>0.48870029999999998</v>
      </c>
      <c r="O412" s="3" t="s">
        <v>5907</v>
      </c>
      <c r="P412" s="7">
        <v>1.25</v>
      </c>
      <c r="Q412" s="1" t="s">
        <v>5908</v>
      </c>
      <c r="R412" s="2">
        <v>0.7</v>
      </c>
      <c r="S412" s="2">
        <f>73759/100000</f>
        <v>0.73758999999999997</v>
      </c>
      <c r="T412" s="2">
        <v>0.82137769999999999</v>
      </c>
    </row>
    <row r="413" spans="1:20">
      <c r="A413" s="3" t="s">
        <v>3582</v>
      </c>
      <c r="B413" s="1" t="s">
        <v>3533</v>
      </c>
      <c r="C413" s="3" t="s">
        <v>3534</v>
      </c>
      <c r="D413" s="3" t="s">
        <v>3583</v>
      </c>
      <c r="E413" s="3" t="s">
        <v>3584</v>
      </c>
      <c r="F413" s="3" t="s">
        <v>3537</v>
      </c>
      <c r="G413" s="3" t="s">
        <v>3538</v>
      </c>
      <c r="H413" s="11" t="s">
        <v>8078</v>
      </c>
      <c r="I413" s="3" t="s">
        <v>5909</v>
      </c>
      <c r="J413" s="7">
        <v>0.77</v>
      </c>
      <c r="K413" s="1" t="s">
        <v>4711</v>
      </c>
      <c r="L413" s="2">
        <v>0.65900000000000003</v>
      </c>
      <c r="M413" s="2">
        <f>80433/100000</f>
        <v>0.80432999999999999</v>
      </c>
      <c r="N413" s="2">
        <v>0.82929589999999997</v>
      </c>
      <c r="O413" s="3" t="s">
        <v>5910</v>
      </c>
      <c r="P413" s="7">
        <v>0.56999999999999995</v>
      </c>
      <c r="Q413" s="1" t="s">
        <v>5911</v>
      </c>
      <c r="R413" s="2">
        <v>0.32700000000000001</v>
      </c>
      <c r="S413" s="2">
        <f>38536/100000</f>
        <v>0.38535999999999998</v>
      </c>
      <c r="T413" s="2">
        <v>0.65243910000000005</v>
      </c>
    </row>
    <row r="414" spans="1:20">
      <c r="A414" s="3" t="s">
        <v>3589</v>
      </c>
      <c r="B414" s="1" t="s">
        <v>3533</v>
      </c>
      <c r="C414" s="3" t="s">
        <v>3534</v>
      </c>
      <c r="D414" s="3" t="s">
        <v>3590</v>
      </c>
      <c r="E414" s="3" t="s">
        <v>3591</v>
      </c>
      <c r="F414" s="3" t="s">
        <v>3537</v>
      </c>
      <c r="G414" s="3" t="s">
        <v>3538</v>
      </c>
      <c r="H414" s="11" t="s">
        <v>8078</v>
      </c>
      <c r="I414" s="3" t="s">
        <v>5912</v>
      </c>
      <c r="J414" s="7">
        <v>1.59</v>
      </c>
      <c r="K414" s="1" t="s">
        <v>5913</v>
      </c>
      <c r="L414" s="2">
        <v>0.51500000000000001</v>
      </c>
      <c r="M414" s="2">
        <f>63834/100000</f>
        <v>0.63834000000000002</v>
      </c>
      <c r="N414" s="2">
        <v>0.79869500000000004</v>
      </c>
      <c r="O414" s="3" t="s">
        <v>5914</v>
      </c>
      <c r="P414" s="7">
        <v>0.8</v>
      </c>
      <c r="Q414" s="1" t="s">
        <v>5041</v>
      </c>
      <c r="R414" s="2">
        <v>0.70599999999999996</v>
      </c>
      <c r="S414" s="2">
        <f>80468/100000</f>
        <v>0.80467999999999995</v>
      </c>
      <c r="T414" s="2">
        <v>0.82929589999999997</v>
      </c>
    </row>
    <row r="415" spans="1:20">
      <c r="A415" s="3" t="s">
        <v>3596</v>
      </c>
      <c r="B415" s="1" t="s">
        <v>3533</v>
      </c>
      <c r="C415" s="3" t="s">
        <v>3534</v>
      </c>
      <c r="D415" s="3" t="s">
        <v>3597</v>
      </c>
      <c r="E415" s="3" t="s">
        <v>3598</v>
      </c>
      <c r="F415" s="3" t="s">
        <v>3599</v>
      </c>
      <c r="G415" s="3" t="s">
        <v>3600</v>
      </c>
      <c r="H415" s="11" t="s">
        <v>8108</v>
      </c>
      <c r="I415" s="3" t="s">
        <v>5915</v>
      </c>
      <c r="J415" s="7">
        <v>2.87</v>
      </c>
      <c r="K415" s="1" t="s">
        <v>5916</v>
      </c>
      <c r="L415" s="2">
        <v>0.129</v>
      </c>
      <c r="M415" s="2">
        <f>16301/100000</f>
        <v>0.16300999999999999</v>
      </c>
      <c r="N415" s="2">
        <v>0.4485557</v>
      </c>
      <c r="O415" s="3" t="s">
        <v>5917</v>
      </c>
      <c r="P415" s="7">
        <v>0</v>
      </c>
      <c r="Q415" s="1" t="s">
        <v>774</v>
      </c>
      <c r="R415" s="2">
        <v>0.29299999999999998</v>
      </c>
      <c r="S415" s="2">
        <f>42622/100000</f>
        <v>0.42621999999999999</v>
      </c>
      <c r="T415" s="2">
        <v>0.68104299999999995</v>
      </c>
    </row>
    <row r="416" spans="1:20">
      <c r="A416" s="3" t="s">
        <v>3605</v>
      </c>
      <c r="B416" s="1" t="s">
        <v>3533</v>
      </c>
      <c r="C416" s="3" t="s">
        <v>3534</v>
      </c>
      <c r="D416" s="3" t="s">
        <v>3606</v>
      </c>
      <c r="E416" s="3" t="s">
        <v>3607</v>
      </c>
      <c r="F416" s="3" t="s">
        <v>3599</v>
      </c>
      <c r="G416" s="3" t="s">
        <v>3600</v>
      </c>
      <c r="H416" s="11" t="s">
        <v>8108</v>
      </c>
      <c r="I416" s="3" t="s">
        <v>5918</v>
      </c>
      <c r="J416" s="7">
        <v>1.97</v>
      </c>
      <c r="K416" s="1" t="s">
        <v>5919</v>
      </c>
      <c r="L416" s="2">
        <v>0.17899999999999999</v>
      </c>
      <c r="M416" s="2">
        <f>27496/100000</f>
        <v>0.27495999999999998</v>
      </c>
      <c r="N416" s="2">
        <v>0.56620890000000001</v>
      </c>
      <c r="O416" s="3" t="s">
        <v>5920</v>
      </c>
      <c r="P416" s="7">
        <v>1.06</v>
      </c>
      <c r="Q416" s="1" t="s">
        <v>5921</v>
      </c>
      <c r="R416" s="2">
        <v>0.93700000000000006</v>
      </c>
      <c r="S416" s="2">
        <f>100000/100000</f>
        <v>1</v>
      </c>
      <c r="T416" s="2">
        <v>0.82929589999999997</v>
      </c>
    </row>
    <row r="417" spans="1:20">
      <c r="A417" s="3" t="s">
        <v>3612</v>
      </c>
      <c r="B417" s="1" t="s">
        <v>3533</v>
      </c>
      <c r="C417" s="3" t="s">
        <v>3534</v>
      </c>
      <c r="D417" s="3" t="s">
        <v>3613</v>
      </c>
      <c r="E417" s="3" t="s">
        <v>3614</v>
      </c>
      <c r="F417" s="3" t="s">
        <v>3599</v>
      </c>
      <c r="G417" s="3" t="s">
        <v>3600</v>
      </c>
      <c r="H417" s="11" t="s">
        <v>8108</v>
      </c>
      <c r="I417" s="3" t="s">
        <v>5922</v>
      </c>
      <c r="J417" s="7">
        <v>1.88</v>
      </c>
      <c r="K417" s="1" t="s">
        <v>5923</v>
      </c>
      <c r="L417" s="2">
        <v>2.8900000000000002E-3</v>
      </c>
      <c r="M417" s="2">
        <f>432/100000</f>
        <v>4.3200000000000001E-3</v>
      </c>
      <c r="N417" s="2">
        <v>4.8974780000000002E-2</v>
      </c>
      <c r="O417" s="3" t="s">
        <v>5924</v>
      </c>
      <c r="P417" s="7">
        <v>0.1</v>
      </c>
      <c r="Q417" s="1" t="s">
        <v>5925</v>
      </c>
      <c r="R417" s="2">
        <v>4.81E-3</v>
      </c>
      <c r="S417" s="2">
        <f>757/100000</f>
        <v>7.5700000000000003E-3</v>
      </c>
      <c r="T417" s="2">
        <v>7.1985090000000002E-2</v>
      </c>
    </row>
    <row r="418" spans="1:20">
      <c r="A418" s="3" t="s">
        <v>3619</v>
      </c>
      <c r="B418" s="1" t="s">
        <v>3533</v>
      </c>
      <c r="C418" s="3" t="s">
        <v>3534</v>
      </c>
      <c r="D418" s="3" t="s">
        <v>3620</v>
      </c>
      <c r="E418" s="3" t="s">
        <v>3621</v>
      </c>
      <c r="F418" s="3" t="s">
        <v>3622</v>
      </c>
      <c r="G418" s="3" t="s">
        <v>3623</v>
      </c>
      <c r="H418" s="11" t="s">
        <v>8078</v>
      </c>
      <c r="I418" s="3" t="s">
        <v>5926</v>
      </c>
      <c r="J418" s="7">
        <v>1.87</v>
      </c>
      <c r="K418" s="1" t="s">
        <v>5927</v>
      </c>
      <c r="L418" s="2">
        <v>0.214</v>
      </c>
      <c r="M418" s="2">
        <f>28526/100000</f>
        <v>0.28526000000000001</v>
      </c>
      <c r="N418" s="2">
        <v>0.57391179999999997</v>
      </c>
      <c r="O418" s="3" t="s">
        <v>5928</v>
      </c>
      <c r="P418" s="7">
        <v>3.05</v>
      </c>
      <c r="Q418" s="1" t="s">
        <v>5929</v>
      </c>
      <c r="R418" s="2">
        <v>5.5799999999999999E-3</v>
      </c>
      <c r="S418" s="2">
        <f>1833/100000</f>
        <v>1.8329999999999999E-2</v>
      </c>
      <c r="T418" s="2">
        <v>0.13161129999999999</v>
      </c>
    </row>
    <row r="419" spans="1:20">
      <c r="A419" s="3" t="s">
        <v>3628</v>
      </c>
      <c r="B419" s="1" t="s">
        <v>3533</v>
      </c>
      <c r="C419" s="3" t="s">
        <v>3534</v>
      </c>
      <c r="D419" s="3" t="s">
        <v>3629</v>
      </c>
      <c r="E419" s="3" t="s">
        <v>3630</v>
      </c>
      <c r="F419" s="3" t="s">
        <v>3622</v>
      </c>
      <c r="G419" s="3" t="s">
        <v>3623</v>
      </c>
      <c r="H419" s="11" t="s">
        <v>8078</v>
      </c>
      <c r="I419" s="3" t="s">
        <v>5930</v>
      </c>
      <c r="J419" s="7">
        <v>0.47</v>
      </c>
      <c r="K419" s="1" t="s">
        <v>5931</v>
      </c>
      <c r="L419" s="2">
        <v>0.128</v>
      </c>
      <c r="M419" s="2">
        <f>15312/100000</f>
        <v>0.15312000000000001</v>
      </c>
      <c r="N419" s="2">
        <v>0.42978939999999999</v>
      </c>
      <c r="O419" s="3" t="s">
        <v>5932</v>
      </c>
      <c r="P419" s="7">
        <v>1.7</v>
      </c>
      <c r="Q419" s="1" t="s">
        <v>3160</v>
      </c>
      <c r="R419" s="2">
        <v>2.9499999999999998E-2</v>
      </c>
      <c r="S419" s="2">
        <f>3252/100000</f>
        <v>3.252E-2</v>
      </c>
      <c r="T419" s="2">
        <v>0.18836059999999999</v>
      </c>
    </row>
    <row r="420" spans="1:20">
      <c r="A420" s="3" t="s">
        <v>3635</v>
      </c>
      <c r="B420" s="1" t="s">
        <v>3533</v>
      </c>
      <c r="C420" s="3" t="s">
        <v>3534</v>
      </c>
      <c r="D420" s="3" t="s">
        <v>3636</v>
      </c>
      <c r="E420" s="3" t="s">
        <v>3637</v>
      </c>
      <c r="F420" s="3" t="s">
        <v>3622</v>
      </c>
      <c r="G420" s="3" t="s">
        <v>3623</v>
      </c>
      <c r="H420" s="11" t="s">
        <v>8078</v>
      </c>
      <c r="I420" s="3" t="s">
        <v>5933</v>
      </c>
      <c r="J420" s="7">
        <v>0.67</v>
      </c>
      <c r="K420" s="1" t="s">
        <v>5934</v>
      </c>
      <c r="L420" s="2">
        <v>0.161</v>
      </c>
      <c r="M420" s="2">
        <f>18493/100000</f>
        <v>0.18493000000000001</v>
      </c>
      <c r="N420" s="2">
        <v>0.47215459999999998</v>
      </c>
      <c r="O420" s="3" t="s">
        <v>5935</v>
      </c>
      <c r="P420" s="7">
        <v>1.07</v>
      </c>
      <c r="Q420" s="1" t="s">
        <v>5936</v>
      </c>
      <c r="R420" s="2">
        <v>0.76</v>
      </c>
      <c r="S420" s="2">
        <f>81161/100000</f>
        <v>0.81161000000000005</v>
      </c>
      <c r="T420" s="2">
        <v>0.82929589999999997</v>
      </c>
    </row>
    <row r="421" spans="1:20">
      <c r="A421" s="3" t="s">
        <v>3642</v>
      </c>
      <c r="B421" s="1" t="s">
        <v>3643</v>
      </c>
      <c r="C421" s="3" t="s">
        <v>3644</v>
      </c>
      <c r="D421" s="3" t="s">
        <v>3645</v>
      </c>
      <c r="E421" s="3" t="s">
        <v>3646</v>
      </c>
      <c r="F421" s="3" t="s">
        <v>3647</v>
      </c>
      <c r="G421" s="3" t="s">
        <v>3648</v>
      </c>
      <c r="H421" s="11" t="s">
        <v>8120</v>
      </c>
      <c r="I421" s="3" t="s">
        <v>5937</v>
      </c>
      <c r="J421" s="7">
        <v>0.52</v>
      </c>
      <c r="K421" s="1" t="s">
        <v>5938</v>
      </c>
      <c r="L421" s="2">
        <v>0.106</v>
      </c>
      <c r="M421" s="2">
        <f>12450/100000</f>
        <v>0.1245</v>
      </c>
      <c r="N421" s="2">
        <v>0.39282440000000002</v>
      </c>
      <c r="O421" s="3" t="s">
        <v>5939</v>
      </c>
      <c r="P421" s="7">
        <v>1.1499999999999999</v>
      </c>
      <c r="Q421" s="1" t="s">
        <v>5940</v>
      </c>
      <c r="R421" s="2">
        <v>0.47299999999999998</v>
      </c>
      <c r="S421" s="2">
        <f>52409/100000</f>
        <v>0.52408999999999994</v>
      </c>
      <c r="T421" s="2">
        <v>0.74478149999999999</v>
      </c>
    </row>
    <row r="422" spans="1:20">
      <c r="A422" s="3" t="s">
        <v>3653</v>
      </c>
      <c r="B422" s="1" t="s">
        <v>3654</v>
      </c>
      <c r="C422" s="3" t="s">
        <v>3655</v>
      </c>
      <c r="D422" s="3" t="s">
        <v>3656</v>
      </c>
      <c r="E422" s="3" t="s">
        <v>3657</v>
      </c>
      <c r="F422" s="3" t="s">
        <v>3658</v>
      </c>
      <c r="G422" s="3" t="s">
        <v>3659</v>
      </c>
      <c r="H422" s="11" t="s">
        <v>8111</v>
      </c>
      <c r="I422" s="3" t="s">
        <v>5941</v>
      </c>
      <c r="J422" s="7">
        <v>1.63</v>
      </c>
      <c r="K422" s="1" t="s">
        <v>5942</v>
      </c>
      <c r="L422" s="2">
        <v>0.17499999999999999</v>
      </c>
      <c r="M422" s="2">
        <f>25277/100000</f>
        <v>0.25276999999999999</v>
      </c>
      <c r="N422" s="2">
        <v>0.55424700000000005</v>
      </c>
      <c r="O422" s="3" t="s">
        <v>5943</v>
      </c>
      <c r="P422" s="7">
        <v>2.0099999999999998</v>
      </c>
      <c r="Q422" s="1" t="s">
        <v>5944</v>
      </c>
      <c r="R422" s="2">
        <v>3.8100000000000002E-2</v>
      </c>
      <c r="S422" s="2">
        <f>5147/100000</f>
        <v>5.1470000000000002E-2</v>
      </c>
      <c r="T422" s="2">
        <v>0.24623139999999999</v>
      </c>
    </row>
    <row r="423" spans="1:20">
      <c r="A423" s="3" t="s">
        <v>3664</v>
      </c>
      <c r="B423" s="1" t="s">
        <v>3665</v>
      </c>
      <c r="C423" s="3" t="s">
        <v>3666</v>
      </c>
      <c r="D423" s="3" t="s">
        <v>3667</v>
      </c>
      <c r="E423" s="3" t="s">
        <v>3668</v>
      </c>
      <c r="F423" s="3" t="s">
        <v>3669</v>
      </c>
      <c r="G423" s="3" t="s">
        <v>3670</v>
      </c>
      <c r="H423" s="11" t="s">
        <v>8231</v>
      </c>
      <c r="I423" s="3" t="s">
        <v>5945</v>
      </c>
      <c r="J423" s="7">
        <v>1.17</v>
      </c>
      <c r="K423" s="1" t="s">
        <v>5311</v>
      </c>
      <c r="L423" s="2">
        <v>0.72599999999999998</v>
      </c>
      <c r="M423" s="2">
        <f>80330/100000</f>
        <v>0.80330000000000001</v>
      </c>
      <c r="N423" s="2">
        <v>0.82929589999999997</v>
      </c>
      <c r="O423" s="3" t="s">
        <v>5946</v>
      </c>
      <c r="P423" s="7">
        <v>1.34</v>
      </c>
      <c r="Q423" s="1" t="s">
        <v>5246</v>
      </c>
      <c r="R423" s="2">
        <v>0.47499999999999998</v>
      </c>
      <c r="S423" s="2">
        <f>63503/100000</f>
        <v>0.63502999999999998</v>
      </c>
      <c r="T423" s="2">
        <v>0.79869500000000004</v>
      </c>
    </row>
    <row r="424" spans="1:20">
      <c r="A424" s="3" t="s">
        <v>3675</v>
      </c>
      <c r="B424" s="1" t="s">
        <v>3665</v>
      </c>
      <c r="C424" s="3" t="s">
        <v>3666</v>
      </c>
      <c r="D424" s="3" t="s">
        <v>3676</v>
      </c>
      <c r="E424" s="3" t="s">
        <v>3677</v>
      </c>
      <c r="F424" s="3" t="s">
        <v>3669</v>
      </c>
      <c r="G424" s="3" t="s">
        <v>3670</v>
      </c>
      <c r="H424" s="11" t="s">
        <v>8231</v>
      </c>
      <c r="I424" s="3" t="s">
        <v>5947</v>
      </c>
      <c r="J424" s="7">
        <v>0.98</v>
      </c>
      <c r="K424" s="1" t="s">
        <v>5855</v>
      </c>
      <c r="L424" s="2">
        <v>0.97099999999999997</v>
      </c>
      <c r="M424" s="2">
        <f>100000/100000</f>
        <v>1</v>
      </c>
      <c r="N424" s="2">
        <v>0.82929589999999997</v>
      </c>
      <c r="O424" s="3" t="s">
        <v>5948</v>
      </c>
      <c r="P424" s="7">
        <v>2.4300000000000002</v>
      </c>
      <c r="Q424" s="1" t="s">
        <v>5949</v>
      </c>
      <c r="R424" s="2">
        <v>1.8100000000000002E-2</v>
      </c>
      <c r="S424" s="2">
        <f>3120/100000</f>
        <v>3.1199999999999999E-2</v>
      </c>
      <c r="T424" s="2">
        <v>0.1841517</v>
      </c>
    </row>
    <row r="425" spans="1:20">
      <c r="A425" s="3" t="s">
        <v>3682</v>
      </c>
      <c r="B425" s="1" t="s">
        <v>3665</v>
      </c>
      <c r="C425" s="3" t="s">
        <v>3666</v>
      </c>
      <c r="D425" s="3" t="s">
        <v>3683</v>
      </c>
      <c r="E425" s="3" t="s">
        <v>3684</v>
      </c>
      <c r="F425" s="3" t="s">
        <v>3685</v>
      </c>
      <c r="G425" s="3" t="s">
        <v>3686</v>
      </c>
      <c r="H425" s="11" t="s">
        <v>8231</v>
      </c>
      <c r="I425" s="3" t="s">
        <v>5950</v>
      </c>
      <c r="J425" s="7">
        <v>0.7</v>
      </c>
      <c r="K425" s="1" t="s">
        <v>5951</v>
      </c>
      <c r="L425" s="2">
        <v>0.621</v>
      </c>
      <c r="M425" s="2">
        <f>77562/100000</f>
        <v>0.77561999999999998</v>
      </c>
      <c r="N425" s="2">
        <v>0.82929589999999997</v>
      </c>
      <c r="O425" s="3" t="s">
        <v>5952</v>
      </c>
      <c r="P425" s="7">
        <v>2.52</v>
      </c>
      <c r="Q425" s="1" t="s">
        <v>5953</v>
      </c>
      <c r="R425" s="2">
        <v>2.2200000000000001E-2</v>
      </c>
      <c r="S425" s="2">
        <f>3699/100000</f>
        <v>3.6990000000000002E-2</v>
      </c>
      <c r="T425" s="2">
        <v>0.20452029999999999</v>
      </c>
    </row>
    <row r="426" spans="1:20">
      <c r="A426" s="3" t="s">
        <v>3691</v>
      </c>
      <c r="B426" s="1" t="s">
        <v>3665</v>
      </c>
      <c r="C426" s="3" t="s">
        <v>3666</v>
      </c>
      <c r="D426" s="3" t="s">
        <v>3692</v>
      </c>
      <c r="E426" s="3" t="s">
        <v>3693</v>
      </c>
      <c r="F426" s="3" t="s">
        <v>3685</v>
      </c>
      <c r="G426" s="3" t="s">
        <v>3686</v>
      </c>
      <c r="H426" s="11" t="s">
        <v>8231</v>
      </c>
      <c r="I426" s="3" t="s">
        <v>5954</v>
      </c>
      <c r="J426" s="7">
        <v>1.32</v>
      </c>
      <c r="K426" s="1" t="s">
        <v>5955</v>
      </c>
      <c r="L426" s="2">
        <v>0.63700000000000001</v>
      </c>
      <c r="M426" s="2">
        <f>73018/100000</f>
        <v>0.73018000000000005</v>
      </c>
      <c r="N426" s="2">
        <v>0.82137769999999999</v>
      </c>
      <c r="O426" s="3" t="s">
        <v>5956</v>
      </c>
      <c r="P426" s="7">
        <v>1.32</v>
      </c>
      <c r="Q426" s="1" t="s">
        <v>5957</v>
      </c>
      <c r="R426" s="2">
        <v>0.63</v>
      </c>
      <c r="S426" s="2">
        <f>73166/100000</f>
        <v>0.73165999999999998</v>
      </c>
      <c r="T426" s="2">
        <v>0.82137769999999999</v>
      </c>
    </row>
    <row r="427" spans="1:20">
      <c r="A427" s="3" t="s">
        <v>3698</v>
      </c>
      <c r="B427" s="1" t="s">
        <v>3699</v>
      </c>
      <c r="C427" s="3" t="s">
        <v>3700</v>
      </c>
      <c r="D427" s="3" t="s">
        <v>3701</v>
      </c>
      <c r="E427" s="3" t="s">
        <v>3702</v>
      </c>
      <c r="F427" s="3" t="s">
        <v>3703</v>
      </c>
      <c r="G427" s="3" t="s">
        <v>3704</v>
      </c>
      <c r="H427" s="11" t="s">
        <v>8232</v>
      </c>
      <c r="I427" s="3" t="s">
        <v>5958</v>
      </c>
      <c r="J427" s="7">
        <v>1.45</v>
      </c>
      <c r="K427" s="1" t="s">
        <v>5959</v>
      </c>
      <c r="L427" s="2">
        <v>2.86E-2</v>
      </c>
      <c r="M427" s="2">
        <f>3150/100000</f>
        <v>3.15E-2</v>
      </c>
      <c r="N427" s="2">
        <v>0.18497669999999999</v>
      </c>
      <c r="O427" s="3" t="s">
        <v>5960</v>
      </c>
      <c r="P427" s="7">
        <v>0.68</v>
      </c>
      <c r="Q427" s="1" t="s">
        <v>5961</v>
      </c>
      <c r="R427" s="2">
        <v>0.11899999999999999</v>
      </c>
      <c r="S427" s="2">
        <f>13635/100000</f>
        <v>0.13635</v>
      </c>
      <c r="T427" s="2">
        <v>0.40274510000000002</v>
      </c>
    </row>
    <row r="428" spans="1:20">
      <c r="A428" s="3" t="s">
        <v>3709</v>
      </c>
      <c r="B428" s="1" t="s">
        <v>3710</v>
      </c>
      <c r="C428" s="3" t="s">
        <v>3711</v>
      </c>
      <c r="D428" s="3" t="s">
        <v>3701</v>
      </c>
      <c r="E428" s="3" t="s">
        <v>3702</v>
      </c>
      <c r="F428" s="3" t="s">
        <v>3703</v>
      </c>
      <c r="G428" s="3" t="s">
        <v>3704</v>
      </c>
      <c r="H428" s="11" t="s">
        <v>8232</v>
      </c>
      <c r="I428" s="3" t="s">
        <v>5958</v>
      </c>
      <c r="J428" s="7">
        <v>1.45</v>
      </c>
      <c r="K428" s="1" t="s">
        <v>5959</v>
      </c>
      <c r="L428" s="2">
        <v>2.86E-2</v>
      </c>
      <c r="M428" s="2">
        <f>3150/100000</f>
        <v>3.15E-2</v>
      </c>
      <c r="N428" s="2">
        <v>0.18497669999999999</v>
      </c>
      <c r="O428" s="3" t="s">
        <v>5960</v>
      </c>
      <c r="P428" s="7">
        <v>0.68</v>
      </c>
      <c r="Q428" s="1" t="s">
        <v>5961</v>
      </c>
      <c r="R428" s="2">
        <v>0.11899999999999999</v>
      </c>
      <c r="S428" s="2">
        <f>13635/100000</f>
        <v>0.13635</v>
      </c>
      <c r="T428" s="2">
        <v>0.40274510000000002</v>
      </c>
    </row>
    <row r="429" spans="1:20">
      <c r="A429" s="3" t="s">
        <v>3712</v>
      </c>
      <c r="B429" s="1" t="s">
        <v>3713</v>
      </c>
      <c r="C429" s="3" t="s">
        <v>3714</v>
      </c>
      <c r="D429" s="3" t="s">
        <v>3715</v>
      </c>
      <c r="E429" s="3" t="s">
        <v>3716</v>
      </c>
      <c r="F429" s="3" t="s">
        <v>3717</v>
      </c>
      <c r="G429" s="3" t="s">
        <v>3718</v>
      </c>
      <c r="H429" s="11" t="s">
        <v>8233</v>
      </c>
      <c r="I429" s="3" t="s">
        <v>5962</v>
      </c>
      <c r="J429" s="7">
        <v>1.02</v>
      </c>
      <c r="K429" s="1" t="s">
        <v>4987</v>
      </c>
      <c r="L429" s="2">
        <v>0.98299999999999998</v>
      </c>
      <c r="M429" s="2">
        <f>100000/100000</f>
        <v>1</v>
      </c>
      <c r="N429" s="2">
        <v>0.82929589999999997</v>
      </c>
      <c r="O429" s="3" t="s">
        <v>5963</v>
      </c>
      <c r="P429" s="7">
        <v>0</v>
      </c>
      <c r="Q429" s="1" t="s">
        <v>774</v>
      </c>
      <c r="R429" s="2">
        <v>0.11899999999999999</v>
      </c>
      <c r="S429" s="2">
        <f>18213/100000</f>
        <v>0.18212999999999999</v>
      </c>
      <c r="T429" s="2">
        <v>0.47057909999999997</v>
      </c>
    </row>
    <row r="430" spans="1:20">
      <c r="A430" s="3" t="s">
        <v>3723</v>
      </c>
      <c r="B430" s="1" t="s">
        <v>3724</v>
      </c>
      <c r="C430" s="3" t="s">
        <v>3725</v>
      </c>
      <c r="D430" s="3" t="s">
        <v>3726</v>
      </c>
      <c r="E430" s="3" t="s">
        <v>3727</v>
      </c>
      <c r="F430" s="3" t="s">
        <v>3728</v>
      </c>
      <c r="G430" s="3" t="s">
        <v>3729</v>
      </c>
      <c r="H430" s="11" t="s">
        <v>8234</v>
      </c>
      <c r="I430" s="3" t="s">
        <v>5964</v>
      </c>
      <c r="J430" s="7">
        <v>2.4300000000000002</v>
      </c>
      <c r="K430" s="1" t="s">
        <v>5965</v>
      </c>
      <c r="L430" s="2">
        <v>1.4400000000000001E-3</v>
      </c>
      <c r="M430" s="2">
        <f>433/100000</f>
        <v>4.3299999999999996E-3</v>
      </c>
      <c r="N430" s="2">
        <v>4.8974780000000002E-2</v>
      </c>
      <c r="O430" s="3" t="s">
        <v>5966</v>
      </c>
      <c r="P430" s="7">
        <v>0.82</v>
      </c>
      <c r="Q430" s="1" t="s">
        <v>5967</v>
      </c>
      <c r="R430" s="2">
        <v>0.70199999999999996</v>
      </c>
      <c r="S430" s="2">
        <f>82424/100000</f>
        <v>0.82423999999999997</v>
      </c>
      <c r="T430" s="2">
        <v>0.82929589999999997</v>
      </c>
    </row>
    <row r="431" spans="1:20">
      <c r="A431" s="3" t="s">
        <v>3733</v>
      </c>
      <c r="B431" s="1" t="s">
        <v>3724</v>
      </c>
      <c r="C431" s="3" t="s">
        <v>3725</v>
      </c>
      <c r="D431" s="3" t="s">
        <v>3734</v>
      </c>
      <c r="E431" s="3" t="s">
        <v>3735</v>
      </c>
      <c r="F431" s="3" t="s">
        <v>3736</v>
      </c>
      <c r="G431" s="3" t="s">
        <v>3737</v>
      </c>
      <c r="H431" s="11" t="s">
        <v>8234</v>
      </c>
      <c r="I431" s="3" t="s">
        <v>5968</v>
      </c>
      <c r="J431" s="7">
        <v>2.02</v>
      </c>
      <c r="K431" s="1" t="s">
        <v>5969</v>
      </c>
      <c r="L431" s="2">
        <v>6.4500000000000002E-2</v>
      </c>
      <c r="M431" s="2">
        <f>9259/100000</f>
        <v>9.2590000000000006E-2</v>
      </c>
      <c r="N431" s="2">
        <v>0.34738940000000001</v>
      </c>
      <c r="O431" s="3" t="s">
        <v>5970</v>
      </c>
      <c r="P431" s="7">
        <v>0.76</v>
      </c>
      <c r="Q431" s="1" t="s">
        <v>4517</v>
      </c>
      <c r="R431" s="2">
        <v>0.63100000000000001</v>
      </c>
      <c r="S431" s="2">
        <f>80080/100000</f>
        <v>0.80079999999999996</v>
      </c>
      <c r="T431" s="2">
        <v>0.82929589999999997</v>
      </c>
    </row>
    <row r="432" spans="1:20">
      <c r="A432" s="3" t="s">
        <v>3742</v>
      </c>
      <c r="B432" s="1" t="s">
        <v>3743</v>
      </c>
      <c r="C432" s="3" t="s">
        <v>3744</v>
      </c>
      <c r="D432" s="3" t="s">
        <v>3745</v>
      </c>
      <c r="E432" s="3" t="s">
        <v>3746</v>
      </c>
      <c r="F432" s="3" t="s">
        <v>3747</v>
      </c>
      <c r="G432" s="3" t="s">
        <v>3748</v>
      </c>
      <c r="H432" s="11" t="s">
        <v>8109</v>
      </c>
      <c r="I432" s="3" t="s">
        <v>5971</v>
      </c>
      <c r="J432" s="7">
        <v>1.89</v>
      </c>
      <c r="K432" s="1" t="s">
        <v>5972</v>
      </c>
      <c r="L432" s="2">
        <v>0.121</v>
      </c>
      <c r="M432" s="2">
        <f>14642/100000</f>
        <v>0.14641999999999999</v>
      </c>
      <c r="N432" s="2">
        <v>0.41650559999999998</v>
      </c>
      <c r="O432" s="3" t="s">
        <v>5973</v>
      </c>
      <c r="P432" s="7">
        <v>1.32</v>
      </c>
      <c r="Q432" s="1" t="s">
        <v>5955</v>
      </c>
      <c r="R432" s="2">
        <v>0.63600000000000001</v>
      </c>
      <c r="S432" s="2">
        <f>73291/100000</f>
        <v>0.73290999999999995</v>
      </c>
      <c r="T432" s="2">
        <v>0.82137769999999999</v>
      </c>
    </row>
    <row r="433" spans="1:20">
      <c r="A433" s="3" t="s">
        <v>3753</v>
      </c>
      <c r="B433" s="1" t="s">
        <v>3743</v>
      </c>
      <c r="C433" s="3" t="s">
        <v>3744</v>
      </c>
      <c r="D433" s="3" t="s">
        <v>3754</v>
      </c>
      <c r="E433" s="3" t="s">
        <v>3755</v>
      </c>
      <c r="F433" s="3" t="s">
        <v>3756</v>
      </c>
      <c r="G433" s="3" t="s">
        <v>3757</v>
      </c>
      <c r="H433" s="11" t="s">
        <v>8109</v>
      </c>
      <c r="I433" s="3" t="s">
        <v>5974</v>
      </c>
      <c r="J433" s="7">
        <v>0</v>
      </c>
      <c r="K433" s="1" t="s">
        <v>774</v>
      </c>
      <c r="L433" s="2">
        <v>0.11799999999999999</v>
      </c>
      <c r="M433" s="2">
        <f>18366/100000</f>
        <v>0.18365999999999999</v>
      </c>
      <c r="N433" s="2">
        <v>0.47147699999999998</v>
      </c>
      <c r="O433" s="3" t="s">
        <v>5975</v>
      </c>
      <c r="P433" s="7">
        <v>0.82</v>
      </c>
      <c r="Q433" s="1" t="s">
        <v>5976</v>
      </c>
      <c r="R433" s="2">
        <v>0.78100000000000003</v>
      </c>
      <c r="S433" s="2">
        <f>100000/100000</f>
        <v>1</v>
      </c>
      <c r="T433" s="2">
        <v>0.82929589999999997</v>
      </c>
    </row>
    <row r="434" spans="1:20">
      <c r="A434" s="3" t="s">
        <v>3762</v>
      </c>
      <c r="B434" s="1" t="s">
        <v>3743</v>
      </c>
      <c r="C434" s="3" t="s">
        <v>3744</v>
      </c>
      <c r="D434" s="3" t="s">
        <v>3763</v>
      </c>
      <c r="E434" s="3" t="s">
        <v>3764</v>
      </c>
      <c r="F434" s="3" t="s">
        <v>3765</v>
      </c>
      <c r="G434" s="3" t="s">
        <v>3766</v>
      </c>
      <c r="H434" s="11" t="s">
        <v>8109</v>
      </c>
      <c r="I434" s="3" t="s">
        <v>5977</v>
      </c>
      <c r="J434" s="7">
        <v>1.01</v>
      </c>
      <c r="K434" s="1" t="s">
        <v>5978</v>
      </c>
      <c r="L434" s="2">
        <v>0.99199999999999999</v>
      </c>
      <c r="M434" s="2">
        <f>100000/100000</f>
        <v>1</v>
      </c>
      <c r="N434" s="2">
        <v>0.82929589999999997</v>
      </c>
      <c r="O434" s="3" t="s">
        <v>5979</v>
      </c>
      <c r="P434" s="7">
        <v>0</v>
      </c>
      <c r="Q434" s="1" t="s">
        <v>774</v>
      </c>
      <c r="R434" s="2">
        <v>0.13600000000000001</v>
      </c>
      <c r="S434" s="2">
        <f>17723/100000</f>
        <v>0.17723</v>
      </c>
      <c r="T434" s="2">
        <v>0.46586650000000002</v>
      </c>
    </row>
    <row r="435" spans="1:20">
      <c r="A435" s="3" t="s">
        <v>3771</v>
      </c>
      <c r="B435" s="1" t="s">
        <v>3743</v>
      </c>
      <c r="C435" s="3" t="s">
        <v>3744</v>
      </c>
      <c r="D435" s="3" t="s">
        <v>3772</v>
      </c>
      <c r="E435" s="3" t="s">
        <v>3773</v>
      </c>
      <c r="F435" s="3" t="s">
        <v>3774</v>
      </c>
      <c r="G435" s="3" t="s">
        <v>3775</v>
      </c>
      <c r="H435" s="11" t="s">
        <v>8109</v>
      </c>
      <c r="I435" s="3" t="s">
        <v>5980</v>
      </c>
      <c r="J435" s="7">
        <v>0.96</v>
      </c>
      <c r="K435" s="1" t="s">
        <v>5981</v>
      </c>
      <c r="L435" s="2">
        <v>0.95899999999999996</v>
      </c>
      <c r="M435" s="2">
        <f>100000/100000</f>
        <v>1</v>
      </c>
      <c r="N435" s="2">
        <v>0.82929589999999997</v>
      </c>
      <c r="O435" s="3" t="s">
        <v>5982</v>
      </c>
      <c r="P435" s="7">
        <v>1.2</v>
      </c>
      <c r="Q435" s="1" t="s">
        <v>5983</v>
      </c>
      <c r="R435" s="2">
        <v>0.75700000000000001</v>
      </c>
      <c r="S435" s="2">
        <f>100000/100000</f>
        <v>1</v>
      </c>
      <c r="T435" s="2">
        <v>0.82929589999999997</v>
      </c>
    </row>
    <row r="436" spans="1:20">
      <c r="A436" s="3" t="s">
        <v>3780</v>
      </c>
      <c r="B436" s="1" t="s">
        <v>3781</v>
      </c>
      <c r="C436" s="3" t="s">
        <v>3782</v>
      </c>
      <c r="D436" s="3" t="s">
        <v>3745</v>
      </c>
      <c r="E436" s="3" t="s">
        <v>3746</v>
      </c>
      <c r="F436" s="3" t="s">
        <v>3747</v>
      </c>
      <c r="G436" s="3" t="s">
        <v>3748</v>
      </c>
      <c r="H436" s="11" t="s">
        <v>8109</v>
      </c>
      <c r="I436" s="3" t="s">
        <v>5971</v>
      </c>
      <c r="J436" s="7">
        <v>1.89</v>
      </c>
      <c r="K436" s="1" t="s">
        <v>5972</v>
      </c>
      <c r="L436" s="2">
        <v>0.121</v>
      </c>
      <c r="M436" s="2">
        <f>14642/100000</f>
        <v>0.14641999999999999</v>
      </c>
      <c r="N436" s="2">
        <v>0.41650559999999998</v>
      </c>
      <c r="O436" s="3" t="s">
        <v>5973</v>
      </c>
      <c r="P436" s="7">
        <v>1.32</v>
      </c>
      <c r="Q436" s="1" t="s">
        <v>5955</v>
      </c>
      <c r="R436" s="2">
        <v>0.63600000000000001</v>
      </c>
      <c r="S436" s="2">
        <f>73291/100000</f>
        <v>0.73290999999999995</v>
      </c>
      <c r="T436" s="2">
        <v>0.82137769999999999</v>
      </c>
    </row>
    <row r="437" spans="1:20">
      <c r="A437" s="3" t="s">
        <v>3783</v>
      </c>
      <c r="B437" s="1" t="s">
        <v>3781</v>
      </c>
      <c r="C437" s="3" t="s">
        <v>3782</v>
      </c>
      <c r="D437" s="3" t="s">
        <v>3754</v>
      </c>
      <c r="E437" s="3" t="s">
        <v>3755</v>
      </c>
      <c r="F437" s="3" t="s">
        <v>3756</v>
      </c>
      <c r="G437" s="3" t="s">
        <v>3757</v>
      </c>
      <c r="H437" s="11" t="s">
        <v>8109</v>
      </c>
      <c r="I437" s="3" t="s">
        <v>5974</v>
      </c>
      <c r="J437" s="7">
        <v>0</v>
      </c>
      <c r="K437" s="1" t="s">
        <v>774</v>
      </c>
      <c r="L437" s="2">
        <v>0.11799999999999999</v>
      </c>
      <c r="M437" s="2">
        <f>18366/100000</f>
        <v>0.18365999999999999</v>
      </c>
      <c r="N437" s="2">
        <v>0.47147699999999998</v>
      </c>
      <c r="O437" s="3" t="s">
        <v>5975</v>
      </c>
      <c r="P437" s="7">
        <v>0.82</v>
      </c>
      <c r="Q437" s="1" t="s">
        <v>5976</v>
      </c>
      <c r="R437" s="2">
        <v>0.78100000000000003</v>
      </c>
      <c r="S437" s="2">
        <f>100000/100000</f>
        <v>1</v>
      </c>
      <c r="T437" s="2">
        <v>0.82929589999999997</v>
      </c>
    </row>
    <row r="438" spans="1:20">
      <c r="A438" s="3" t="s">
        <v>3784</v>
      </c>
      <c r="B438" s="1" t="s">
        <v>3781</v>
      </c>
      <c r="C438" s="3" t="s">
        <v>3782</v>
      </c>
      <c r="D438" s="3" t="s">
        <v>3763</v>
      </c>
      <c r="E438" s="3" t="s">
        <v>3764</v>
      </c>
      <c r="F438" s="3" t="s">
        <v>3765</v>
      </c>
      <c r="G438" s="3" t="s">
        <v>3766</v>
      </c>
      <c r="H438" s="11" t="s">
        <v>8109</v>
      </c>
      <c r="I438" s="3" t="s">
        <v>5977</v>
      </c>
      <c r="J438" s="7">
        <v>1.01</v>
      </c>
      <c r="K438" s="1" t="s">
        <v>5978</v>
      </c>
      <c r="L438" s="2">
        <v>0.99199999999999999</v>
      </c>
      <c r="M438" s="2">
        <f>100000/100000</f>
        <v>1</v>
      </c>
      <c r="N438" s="2">
        <v>0.82929589999999997</v>
      </c>
      <c r="O438" s="3" t="s">
        <v>5979</v>
      </c>
      <c r="P438" s="7">
        <v>0</v>
      </c>
      <c r="Q438" s="1" t="s">
        <v>774</v>
      </c>
      <c r="R438" s="2">
        <v>0.13600000000000001</v>
      </c>
      <c r="S438" s="2">
        <f>17723/100000</f>
        <v>0.17723</v>
      </c>
      <c r="T438" s="2">
        <v>0.46586650000000002</v>
      </c>
    </row>
    <row r="439" spans="1:20">
      <c r="A439" s="3" t="s">
        <v>3785</v>
      </c>
      <c r="B439" s="1" t="s">
        <v>3781</v>
      </c>
      <c r="C439" s="3" t="s">
        <v>3782</v>
      </c>
      <c r="D439" s="3" t="s">
        <v>3772</v>
      </c>
      <c r="E439" s="3" t="s">
        <v>3773</v>
      </c>
      <c r="F439" s="3" t="s">
        <v>3774</v>
      </c>
      <c r="G439" s="3" t="s">
        <v>3775</v>
      </c>
      <c r="H439" s="11" t="s">
        <v>8109</v>
      </c>
      <c r="I439" s="3" t="s">
        <v>5980</v>
      </c>
      <c r="J439" s="7">
        <v>0.96</v>
      </c>
      <c r="K439" s="1" t="s">
        <v>5981</v>
      </c>
      <c r="L439" s="2">
        <v>0.95899999999999996</v>
      </c>
      <c r="M439" s="2">
        <f>100000/100000</f>
        <v>1</v>
      </c>
      <c r="N439" s="2">
        <v>0.82929589999999997</v>
      </c>
      <c r="O439" s="3" t="s">
        <v>5982</v>
      </c>
      <c r="P439" s="7">
        <v>1.2</v>
      </c>
      <c r="Q439" s="1" t="s">
        <v>5983</v>
      </c>
      <c r="R439" s="2">
        <v>0.75700000000000001</v>
      </c>
      <c r="S439" s="2">
        <f>100000/100000</f>
        <v>1</v>
      </c>
      <c r="T439" s="2">
        <v>0.82929589999999997</v>
      </c>
    </row>
    <row r="440" spans="1:20">
      <c r="A440" s="3" t="s">
        <v>3786</v>
      </c>
      <c r="B440" s="1" t="s">
        <v>3787</v>
      </c>
      <c r="C440" s="3" t="s">
        <v>3788</v>
      </c>
      <c r="D440" s="3" t="s">
        <v>3789</v>
      </c>
      <c r="E440" s="3" t="s">
        <v>3790</v>
      </c>
      <c r="F440" s="3" t="s">
        <v>3791</v>
      </c>
      <c r="G440" s="3" t="s">
        <v>3792</v>
      </c>
      <c r="H440" s="11" t="s">
        <v>8159</v>
      </c>
      <c r="I440" s="3" t="s">
        <v>5984</v>
      </c>
      <c r="J440" s="7">
        <v>1.35</v>
      </c>
      <c r="K440" s="1" t="s">
        <v>5985</v>
      </c>
      <c r="L440" s="2">
        <v>0.21199999999999999</v>
      </c>
      <c r="M440" s="2">
        <f>21761/100000</f>
        <v>0.21761</v>
      </c>
      <c r="N440" s="2">
        <v>0.5106889</v>
      </c>
      <c r="O440" s="3" t="s">
        <v>5986</v>
      </c>
      <c r="P440" s="7">
        <v>0.92</v>
      </c>
      <c r="Q440" s="1" t="s">
        <v>5987</v>
      </c>
      <c r="R440" s="2">
        <v>0.73399999999999999</v>
      </c>
      <c r="S440" s="2">
        <f>80297/100000</f>
        <v>0.80296999999999996</v>
      </c>
      <c r="T440" s="2">
        <v>0.82929589999999997</v>
      </c>
    </row>
    <row r="441" spans="1:20">
      <c r="A441" s="3" t="s">
        <v>3796</v>
      </c>
      <c r="B441" s="1" t="s">
        <v>3797</v>
      </c>
      <c r="C441" s="3" t="s">
        <v>3798</v>
      </c>
      <c r="D441" s="3" t="s">
        <v>3799</v>
      </c>
      <c r="E441" s="3" t="s">
        <v>3800</v>
      </c>
      <c r="F441" s="3" t="s">
        <v>3801</v>
      </c>
      <c r="G441" s="3" t="s">
        <v>3802</v>
      </c>
      <c r="H441" s="11" t="s">
        <v>8235</v>
      </c>
      <c r="I441" s="3" t="s">
        <v>5988</v>
      </c>
      <c r="J441" s="7">
        <v>0.67</v>
      </c>
      <c r="K441" s="1" t="s">
        <v>5989</v>
      </c>
      <c r="L441" s="2">
        <v>0.13600000000000001</v>
      </c>
      <c r="M441" s="2">
        <f>16793/100000</f>
        <v>0.16793</v>
      </c>
      <c r="N441" s="2">
        <v>0.4540421</v>
      </c>
      <c r="O441" s="3" t="s">
        <v>5990</v>
      </c>
      <c r="P441" s="7">
        <v>2.12</v>
      </c>
      <c r="Q441" s="1" t="s">
        <v>5991</v>
      </c>
      <c r="R441" s="2">
        <v>5.8100000000000003E-6</v>
      </c>
      <c r="S441" s="2">
        <f>4/100000</f>
        <v>4.0000000000000003E-5</v>
      </c>
      <c r="T441" s="2">
        <v>1.167045E-3</v>
      </c>
    </row>
    <row r="442" spans="1:20">
      <c r="A442" s="3" t="s">
        <v>3807</v>
      </c>
      <c r="B442" s="1" t="s">
        <v>3808</v>
      </c>
      <c r="C442" s="3" t="s">
        <v>3809</v>
      </c>
      <c r="D442" s="3" t="s">
        <v>3810</v>
      </c>
      <c r="E442" s="3" t="s">
        <v>3811</v>
      </c>
      <c r="F442" s="3" t="s">
        <v>3812</v>
      </c>
      <c r="G442" s="3" t="s">
        <v>3813</v>
      </c>
      <c r="H442" s="11" t="s">
        <v>8236</v>
      </c>
      <c r="I442" s="3" t="s">
        <v>5992</v>
      </c>
      <c r="J442" s="7">
        <v>1.32</v>
      </c>
      <c r="K442" s="1" t="s">
        <v>5993</v>
      </c>
      <c r="L442" s="2">
        <v>0.58699999999999997</v>
      </c>
      <c r="M442" s="2">
        <f>77329/100000</f>
        <v>0.77329000000000003</v>
      </c>
      <c r="N442" s="2">
        <v>0.82929589999999997</v>
      </c>
      <c r="O442" s="3" t="s">
        <v>5994</v>
      </c>
      <c r="P442" s="7">
        <v>0.59</v>
      </c>
      <c r="Q442" s="1" t="s">
        <v>4893</v>
      </c>
      <c r="R442" s="2">
        <v>0.45100000000000001</v>
      </c>
      <c r="S442" s="2">
        <f>59106/100000</f>
        <v>0.59106000000000003</v>
      </c>
      <c r="T442" s="2">
        <v>0.77707570000000004</v>
      </c>
    </row>
    <row r="443" spans="1:20">
      <c r="A443" s="3" t="s">
        <v>3817</v>
      </c>
      <c r="B443" s="1" t="s">
        <v>3818</v>
      </c>
      <c r="C443" s="3" t="s">
        <v>3819</v>
      </c>
      <c r="D443" s="3" t="s">
        <v>3820</v>
      </c>
      <c r="E443" s="3" t="s">
        <v>3821</v>
      </c>
      <c r="F443" s="3" t="s">
        <v>3822</v>
      </c>
      <c r="G443" s="3" t="s">
        <v>3823</v>
      </c>
      <c r="H443" s="11" t="s">
        <v>8237</v>
      </c>
      <c r="I443" s="3" t="s">
        <v>5995</v>
      </c>
      <c r="J443" s="7">
        <v>0.65</v>
      </c>
      <c r="K443" s="1" t="s">
        <v>5996</v>
      </c>
      <c r="L443" s="2">
        <v>4.9599999999999998E-2</v>
      </c>
      <c r="M443" s="2">
        <f>5226/100000</f>
        <v>5.2260000000000001E-2</v>
      </c>
      <c r="N443" s="2">
        <v>0.24959149999999999</v>
      </c>
      <c r="O443" s="3" t="s">
        <v>5997</v>
      </c>
      <c r="P443" s="7">
        <v>1.72</v>
      </c>
      <c r="Q443" s="1" t="s">
        <v>5998</v>
      </c>
      <c r="R443" s="2">
        <v>1.07E-4</v>
      </c>
      <c r="S443" s="2">
        <f>23/100000</f>
        <v>2.3000000000000001E-4</v>
      </c>
      <c r="T443" s="2">
        <v>5.180044E-3</v>
      </c>
    </row>
    <row r="444" spans="1:20">
      <c r="A444" s="3" t="s">
        <v>3828</v>
      </c>
      <c r="B444" s="1" t="s">
        <v>3829</v>
      </c>
      <c r="C444" s="3" t="s">
        <v>3830</v>
      </c>
      <c r="D444" s="3" t="s">
        <v>3831</v>
      </c>
      <c r="E444" s="3" t="s">
        <v>3832</v>
      </c>
      <c r="F444" s="3" t="s">
        <v>3833</v>
      </c>
      <c r="G444" s="3" t="s">
        <v>3834</v>
      </c>
      <c r="H444" s="11" t="s">
        <v>8084</v>
      </c>
      <c r="I444" s="3" t="s">
        <v>5999</v>
      </c>
      <c r="J444" s="7">
        <v>0.83</v>
      </c>
      <c r="K444" s="1" t="s">
        <v>6000</v>
      </c>
      <c r="L444" s="2">
        <v>0.68700000000000006</v>
      </c>
      <c r="M444" s="2">
        <f>83546/100000</f>
        <v>0.83545999999999998</v>
      </c>
      <c r="N444" s="2">
        <v>0.82929589999999997</v>
      </c>
      <c r="O444" s="3" t="s">
        <v>6001</v>
      </c>
      <c r="P444" s="7">
        <v>2.17</v>
      </c>
      <c r="Q444" s="1" t="s">
        <v>6002</v>
      </c>
      <c r="R444" s="2">
        <v>4.1399999999999999E-2</v>
      </c>
      <c r="S444" s="2">
        <f>4956/100000</f>
        <v>4.956E-2</v>
      </c>
      <c r="T444" s="2">
        <v>0.24073349999999999</v>
      </c>
    </row>
    <row r="445" spans="1:20">
      <c r="A445" s="3" t="s">
        <v>3839</v>
      </c>
      <c r="B445" s="1" t="s">
        <v>3840</v>
      </c>
      <c r="C445" s="3" t="s">
        <v>3841</v>
      </c>
      <c r="D445" s="3" t="s">
        <v>3842</v>
      </c>
      <c r="E445" s="3" t="s">
        <v>3843</v>
      </c>
      <c r="F445" s="3" t="s">
        <v>3844</v>
      </c>
      <c r="G445" s="3" t="s">
        <v>3845</v>
      </c>
      <c r="H445" s="11" t="s">
        <v>8110</v>
      </c>
      <c r="I445" s="3" t="s">
        <v>6003</v>
      </c>
      <c r="J445" s="7">
        <v>1.2</v>
      </c>
      <c r="K445" s="1" t="s">
        <v>6004</v>
      </c>
      <c r="L445" s="2">
        <v>0.621</v>
      </c>
      <c r="M445" s="2">
        <f>69021/100000</f>
        <v>0.69020999999999999</v>
      </c>
      <c r="N445" s="2">
        <v>0.81339530000000004</v>
      </c>
      <c r="O445" s="3" t="s">
        <v>6005</v>
      </c>
      <c r="P445" s="7">
        <v>0.74</v>
      </c>
      <c r="Q445" s="1" t="s">
        <v>4818</v>
      </c>
      <c r="R445" s="2">
        <v>0.51500000000000001</v>
      </c>
      <c r="S445" s="2">
        <f>56795/100000</f>
        <v>0.56794999999999995</v>
      </c>
      <c r="T445" s="2">
        <v>0.76153519999999997</v>
      </c>
    </row>
    <row r="446" spans="1:20">
      <c r="A446" s="3" t="s">
        <v>3850</v>
      </c>
      <c r="B446" s="1" t="s">
        <v>3840</v>
      </c>
      <c r="C446" s="3" t="s">
        <v>3841</v>
      </c>
      <c r="D446" s="3" t="s">
        <v>3851</v>
      </c>
      <c r="E446" s="3" t="s">
        <v>3852</v>
      </c>
      <c r="F446" s="3" t="s">
        <v>3844</v>
      </c>
      <c r="G446" s="3" t="s">
        <v>3845</v>
      </c>
      <c r="H446" s="11" t="s">
        <v>8110</v>
      </c>
      <c r="I446" s="3" t="s">
        <v>6006</v>
      </c>
      <c r="J446" s="7">
        <v>0.95</v>
      </c>
      <c r="K446" s="1" t="s">
        <v>6007</v>
      </c>
      <c r="L446" s="2">
        <v>0.94299999999999995</v>
      </c>
      <c r="M446" s="2">
        <f>100000/100000</f>
        <v>1</v>
      </c>
      <c r="N446" s="2">
        <v>0.82929589999999997</v>
      </c>
      <c r="O446" s="3" t="s">
        <v>6008</v>
      </c>
      <c r="P446" s="7">
        <v>1.72</v>
      </c>
      <c r="Q446" s="1" t="s">
        <v>6009</v>
      </c>
      <c r="R446" s="2">
        <v>0.28199999999999997</v>
      </c>
      <c r="S446" s="2">
        <f>30392/100000</f>
        <v>0.30392000000000002</v>
      </c>
      <c r="T446" s="2">
        <v>0.59130300000000002</v>
      </c>
    </row>
    <row r="447" spans="1:20">
      <c r="A447" s="3" t="s">
        <v>3857</v>
      </c>
      <c r="B447" s="1" t="s">
        <v>3858</v>
      </c>
      <c r="C447" s="3" t="s">
        <v>3859</v>
      </c>
      <c r="D447" s="3" t="s">
        <v>3860</v>
      </c>
      <c r="E447" s="3" t="s">
        <v>3861</v>
      </c>
      <c r="F447" s="3" t="s">
        <v>3862</v>
      </c>
      <c r="G447" s="3" t="s">
        <v>3863</v>
      </c>
      <c r="H447" s="11" t="s">
        <v>8238</v>
      </c>
      <c r="I447" s="3" t="s">
        <v>6010</v>
      </c>
      <c r="J447" s="7">
        <v>0.38</v>
      </c>
      <c r="K447" s="1" t="s">
        <v>6011</v>
      </c>
      <c r="L447" s="2">
        <v>0.313</v>
      </c>
      <c r="M447" s="2">
        <f>38316/100000</f>
        <v>0.38316</v>
      </c>
      <c r="N447" s="2">
        <v>0.65163249999999995</v>
      </c>
      <c r="O447" s="3" t="s">
        <v>6012</v>
      </c>
      <c r="P447" s="7">
        <v>0.77</v>
      </c>
      <c r="Q447" s="1" t="s">
        <v>6013</v>
      </c>
      <c r="R447" s="2">
        <v>0.71499999999999997</v>
      </c>
      <c r="S447" s="2">
        <f>78030/100000</f>
        <v>0.78029999999999999</v>
      </c>
      <c r="T447" s="2">
        <v>0.82929589999999997</v>
      </c>
    </row>
    <row r="448" spans="1:20">
      <c r="A448" s="3" t="s">
        <v>3868</v>
      </c>
      <c r="B448" s="1" t="s">
        <v>3869</v>
      </c>
      <c r="C448" s="3" t="s">
        <v>3870</v>
      </c>
      <c r="D448" s="3" t="s">
        <v>3871</v>
      </c>
      <c r="E448" s="3" t="s">
        <v>3872</v>
      </c>
      <c r="F448" s="3" t="s">
        <v>3873</v>
      </c>
      <c r="G448" s="3" t="s">
        <v>3874</v>
      </c>
      <c r="H448" s="11" t="s">
        <v>8112</v>
      </c>
      <c r="I448" s="3" t="s">
        <v>6014</v>
      </c>
      <c r="J448" s="7">
        <v>1.1599999999999999</v>
      </c>
      <c r="K448" s="1" t="s">
        <v>6015</v>
      </c>
      <c r="L448" s="2">
        <v>0.66100000000000003</v>
      </c>
      <c r="M448" s="2">
        <f>71188/100000</f>
        <v>0.71187999999999996</v>
      </c>
      <c r="N448" s="2">
        <v>0.82137769999999999</v>
      </c>
      <c r="O448" s="3" t="s">
        <v>6016</v>
      </c>
      <c r="P448" s="7">
        <v>1.31</v>
      </c>
      <c r="Q448" s="1" t="s">
        <v>6017</v>
      </c>
      <c r="R448" s="2">
        <v>0.45200000000000001</v>
      </c>
      <c r="S448" s="2">
        <f>53715/100000</f>
        <v>0.53715000000000002</v>
      </c>
      <c r="T448" s="2">
        <v>0.74478149999999999</v>
      </c>
    </row>
    <row r="449" spans="1:20">
      <c r="A449" s="3" t="s">
        <v>3879</v>
      </c>
      <c r="B449" s="1" t="s">
        <v>3869</v>
      </c>
      <c r="C449" s="3" t="s">
        <v>3870</v>
      </c>
      <c r="D449" s="3" t="s">
        <v>3880</v>
      </c>
      <c r="E449" s="3" t="s">
        <v>3881</v>
      </c>
      <c r="F449" s="3" t="s">
        <v>3873</v>
      </c>
      <c r="G449" s="3" t="s">
        <v>3874</v>
      </c>
      <c r="H449" s="11" t="s">
        <v>8112</v>
      </c>
      <c r="I449" s="3" t="s">
        <v>6018</v>
      </c>
      <c r="J449" s="7">
        <v>1.23</v>
      </c>
      <c r="K449" s="1" t="s">
        <v>6019</v>
      </c>
      <c r="L449" s="2">
        <v>0.55900000000000005</v>
      </c>
      <c r="M449" s="2">
        <f>69182/100000</f>
        <v>0.69181999999999999</v>
      </c>
      <c r="N449" s="2">
        <v>0.81405680000000002</v>
      </c>
      <c r="O449" s="3" t="s">
        <v>6020</v>
      </c>
      <c r="P449" s="7">
        <v>2.17</v>
      </c>
      <c r="Q449" s="1" t="s">
        <v>6021</v>
      </c>
      <c r="R449" s="2">
        <v>2.24E-4</v>
      </c>
      <c r="S449" s="2">
        <f>59/100000</f>
        <v>5.9000000000000003E-4</v>
      </c>
      <c r="T449" s="2">
        <v>1.122093E-2</v>
      </c>
    </row>
    <row r="450" spans="1:20">
      <c r="A450" s="3" t="s">
        <v>3886</v>
      </c>
      <c r="B450" s="1" t="s">
        <v>3869</v>
      </c>
      <c r="C450" s="3" t="s">
        <v>3870</v>
      </c>
      <c r="D450" s="3" t="s">
        <v>3887</v>
      </c>
      <c r="E450" s="3" t="s">
        <v>3888</v>
      </c>
      <c r="F450" s="3" t="s">
        <v>3873</v>
      </c>
      <c r="G450" s="3" t="s">
        <v>3874</v>
      </c>
      <c r="H450" s="11" t="s">
        <v>8113</v>
      </c>
      <c r="I450" s="3" t="s">
        <v>6022</v>
      </c>
      <c r="J450" s="7">
        <v>0.75</v>
      </c>
      <c r="K450" s="1" t="s">
        <v>6023</v>
      </c>
      <c r="L450" s="2">
        <v>0.57099999999999995</v>
      </c>
      <c r="M450" s="2">
        <f>66545/100000</f>
        <v>0.66544999999999999</v>
      </c>
      <c r="N450" s="2">
        <v>0.80511429999999995</v>
      </c>
      <c r="O450" s="3" t="s">
        <v>6024</v>
      </c>
      <c r="P450" s="7">
        <v>0.89</v>
      </c>
      <c r="Q450" s="1" t="s">
        <v>6025</v>
      </c>
      <c r="R450" s="2">
        <v>0.73499999999999999</v>
      </c>
      <c r="S450" s="2">
        <f>86467/100000</f>
        <v>0.86467000000000005</v>
      </c>
      <c r="T450" s="2">
        <v>0.82929589999999997</v>
      </c>
    </row>
    <row r="451" spans="1:20">
      <c r="A451" s="3" t="s">
        <v>3893</v>
      </c>
      <c r="B451" s="1" t="s">
        <v>3869</v>
      </c>
      <c r="C451" s="3" t="s">
        <v>3870</v>
      </c>
      <c r="D451" s="3" t="s">
        <v>3894</v>
      </c>
      <c r="E451" s="3" t="s">
        <v>3895</v>
      </c>
      <c r="F451" s="3" t="s">
        <v>3873</v>
      </c>
      <c r="G451" s="3" t="s">
        <v>3874</v>
      </c>
      <c r="H451" s="11" t="s">
        <v>8113</v>
      </c>
      <c r="I451" s="3" t="s">
        <v>6026</v>
      </c>
      <c r="J451" s="7">
        <v>1.38</v>
      </c>
      <c r="K451" s="1" t="s">
        <v>6027</v>
      </c>
      <c r="L451" s="2">
        <v>0.32400000000000001</v>
      </c>
      <c r="M451" s="2">
        <f>34242/100000</f>
        <v>0.34242</v>
      </c>
      <c r="N451" s="2">
        <v>0.61619999999999997</v>
      </c>
      <c r="O451" s="3" t="s">
        <v>6028</v>
      </c>
      <c r="P451" s="7">
        <v>1.8</v>
      </c>
      <c r="Q451" s="1" t="s">
        <v>6029</v>
      </c>
      <c r="R451" s="2">
        <v>7.7799999999999996E-3</v>
      </c>
      <c r="S451" s="2">
        <f>1095/100000</f>
        <v>1.095E-2</v>
      </c>
      <c r="T451" s="2">
        <v>9.1104840000000006E-2</v>
      </c>
    </row>
    <row r="452" spans="1:20">
      <c r="A452" s="3" t="s">
        <v>3900</v>
      </c>
      <c r="B452" s="1" t="s">
        <v>3901</v>
      </c>
      <c r="C452" s="3" t="s">
        <v>3902</v>
      </c>
      <c r="D452" s="3" t="s">
        <v>3903</v>
      </c>
      <c r="E452" s="3" t="s">
        <v>3904</v>
      </c>
      <c r="F452" s="3" t="s">
        <v>3905</v>
      </c>
      <c r="G452" s="3" t="s">
        <v>3906</v>
      </c>
      <c r="H452" s="11" t="s">
        <v>8239</v>
      </c>
      <c r="I452" s="3" t="s">
        <v>6030</v>
      </c>
      <c r="J452" s="7">
        <v>0.74</v>
      </c>
      <c r="K452" s="1" t="s">
        <v>5059</v>
      </c>
      <c r="L452" s="2">
        <v>0.66800000000000004</v>
      </c>
      <c r="M452" s="2">
        <f>77596/100000</f>
        <v>0.77595999999999998</v>
      </c>
      <c r="N452" s="2">
        <v>0.82929589999999997</v>
      </c>
      <c r="O452" s="3" t="s">
        <v>6031</v>
      </c>
      <c r="P452" s="7">
        <v>0.76</v>
      </c>
      <c r="Q452" s="1" t="s">
        <v>6032</v>
      </c>
      <c r="R452" s="2">
        <v>0.69599999999999995</v>
      </c>
      <c r="S452" s="2">
        <f>77974/100000</f>
        <v>0.77973999999999999</v>
      </c>
      <c r="T452" s="2">
        <v>0.82929589999999997</v>
      </c>
    </row>
    <row r="453" spans="1:20">
      <c r="A453" s="3" t="s">
        <v>3911</v>
      </c>
      <c r="B453" s="1" t="s">
        <v>3901</v>
      </c>
      <c r="C453" s="3" t="s">
        <v>3902</v>
      </c>
      <c r="D453" s="3" t="s">
        <v>3912</v>
      </c>
      <c r="E453" s="3" t="s">
        <v>3913</v>
      </c>
      <c r="F453" s="3" t="s">
        <v>3914</v>
      </c>
      <c r="G453" s="3" t="s">
        <v>3915</v>
      </c>
      <c r="H453" s="11" t="s">
        <v>8239</v>
      </c>
      <c r="I453" s="3" t="s">
        <v>6033</v>
      </c>
      <c r="J453" s="7">
        <v>0.32</v>
      </c>
      <c r="K453" s="1" t="s">
        <v>5127</v>
      </c>
      <c r="L453" s="2">
        <v>0.23499999999999999</v>
      </c>
      <c r="M453" s="2">
        <f>27413/100000</f>
        <v>0.27412999999999998</v>
      </c>
      <c r="N453" s="2">
        <v>0.56620890000000001</v>
      </c>
      <c r="O453" s="3" t="s">
        <v>6034</v>
      </c>
      <c r="P453" s="7">
        <v>1.83</v>
      </c>
      <c r="Q453" s="1" t="s">
        <v>5539</v>
      </c>
      <c r="R453" s="2">
        <v>0.14099999999999999</v>
      </c>
      <c r="S453" s="2">
        <f>15448/100000</f>
        <v>0.15448000000000001</v>
      </c>
      <c r="T453" s="2">
        <v>0.43024479999999998</v>
      </c>
    </row>
    <row r="454" spans="1:20">
      <c r="A454" s="3" t="s">
        <v>3920</v>
      </c>
      <c r="B454" s="1" t="s">
        <v>3921</v>
      </c>
      <c r="C454" s="3" t="s">
        <v>3922</v>
      </c>
      <c r="D454" s="3" t="s">
        <v>3923</v>
      </c>
      <c r="E454" s="3" t="s">
        <v>3924</v>
      </c>
      <c r="F454" s="3" t="s">
        <v>3925</v>
      </c>
      <c r="G454" s="3" t="s">
        <v>3926</v>
      </c>
      <c r="H454" s="11" t="s">
        <v>8240</v>
      </c>
      <c r="I454" s="3" t="s">
        <v>4894</v>
      </c>
      <c r="J454" s="7">
        <v>1.55</v>
      </c>
      <c r="K454" s="1" t="s">
        <v>4895</v>
      </c>
      <c r="L454" s="2">
        <v>0.44900000000000001</v>
      </c>
      <c r="M454" s="2">
        <f>44713/100000</f>
        <v>0.44713000000000003</v>
      </c>
      <c r="N454" s="2">
        <v>0.69724940000000002</v>
      </c>
      <c r="O454" s="3" t="s">
        <v>6035</v>
      </c>
      <c r="P454" s="7">
        <v>1.35</v>
      </c>
      <c r="Q454" s="1" t="s">
        <v>6036</v>
      </c>
      <c r="R454" s="2">
        <v>0.76900000000000002</v>
      </c>
      <c r="S454" s="2">
        <f>100000/100000</f>
        <v>1</v>
      </c>
      <c r="T454" s="2">
        <v>0.82929589999999997</v>
      </c>
    </row>
    <row r="455" spans="1:20">
      <c r="A455" s="3" t="s">
        <v>3930</v>
      </c>
      <c r="B455" s="1" t="s">
        <v>3931</v>
      </c>
      <c r="C455" s="3" t="s">
        <v>3932</v>
      </c>
      <c r="D455" s="3" t="s">
        <v>3933</v>
      </c>
      <c r="E455" s="3" t="s">
        <v>3934</v>
      </c>
      <c r="F455" s="3" t="s">
        <v>3935</v>
      </c>
      <c r="G455" s="3" t="s">
        <v>3936</v>
      </c>
      <c r="H455" s="11" t="s">
        <v>8241</v>
      </c>
      <c r="I455" s="3" t="s">
        <v>6037</v>
      </c>
      <c r="J455" s="7">
        <v>1.42</v>
      </c>
      <c r="K455" s="1" t="s">
        <v>6038</v>
      </c>
      <c r="L455" s="2">
        <v>0.104</v>
      </c>
      <c r="M455" s="2">
        <f>12710/100000</f>
        <v>0.12709999999999999</v>
      </c>
      <c r="N455" s="2">
        <v>0.39428360000000001</v>
      </c>
      <c r="O455" s="3" t="s">
        <v>6039</v>
      </c>
      <c r="P455" s="7">
        <v>0.77</v>
      </c>
      <c r="Q455" s="1" t="s">
        <v>6040</v>
      </c>
      <c r="R455" s="2">
        <v>0.46200000000000002</v>
      </c>
      <c r="S455" s="2">
        <f>52991/100000</f>
        <v>0.52990999999999999</v>
      </c>
      <c r="T455" s="2">
        <v>0.74478149999999999</v>
      </c>
    </row>
    <row r="456" spans="1:20">
      <c r="A456" s="3" t="s">
        <v>3941</v>
      </c>
      <c r="B456" s="1" t="s">
        <v>3942</v>
      </c>
      <c r="C456" s="3" t="s">
        <v>3943</v>
      </c>
      <c r="D456" s="3" t="s">
        <v>3944</v>
      </c>
      <c r="E456" s="3" t="s">
        <v>3945</v>
      </c>
      <c r="F456" s="3" t="s">
        <v>3946</v>
      </c>
      <c r="G456" s="5" t="s">
        <v>3947</v>
      </c>
      <c r="H456" s="14" t="s">
        <v>8067</v>
      </c>
      <c r="I456" s="3" t="s">
        <v>6041</v>
      </c>
      <c r="J456" s="7">
        <v>0.72</v>
      </c>
      <c r="K456" s="1" t="s">
        <v>6042</v>
      </c>
      <c r="L456" s="2">
        <v>3.39E-2</v>
      </c>
      <c r="M456" s="2">
        <f>3984/100000</f>
        <v>3.984E-2</v>
      </c>
      <c r="N456" s="2">
        <v>0.21288850000000001</v>
      </c>
      <c r="O456" s="3" t="s">
        <v>6043</v>
      </c>
      <c r="P456" s="7">
        <v>1.1000000000000001</v>
      </c>
      <c r="Q456" s="1" t="s">
        <v>6044</v>
      </c>
      <c r="R456" s="2">
        <v>0.54300000000000004</v>
      </c>
      <c r="S456" s="2">
        <f>59342/100000</f>
        <v>0.59341999999999995</v>
      </c>
      <c r="T456" s="2">
        <v>0.77719629999999995</v>
      </c>
    </row>
    <row r="457" spans="1:20">
      <c r="A457" s="3" t="s">
        <v>3952</v>
      </c>
      <c r="B457" s="1" t="s">
        <v>3942</v>
      </c>
      <c r="C457" s="3" t="s">
        <v>3943</v>
      </c>
      <c r="D457" s="3" t="s">
        <v>3953</v>
      </c>
      <c r="E457" s="5" t="s">
        <v>3954</v>
      </c>
      <c r="F457" s="3" t="s">
        <v>3946</v>
      </c>
      <c r="G457" s="5" t="s">
        <v>3947</v>
      </c>
      <c r="H457" s="14" t="s">
        <v>8067</v>
      </c>
      <c r="I457" s="3" t="s">
        <v>6045</v>
      </c>
      <c r="J457" s="7">
        <v>0.97</v>
      </c>
      <c r="K457" s="1" t="s">
        <v>6046</v>
      </c>
      <c r="L457" s="2">
        <v>0.83099999999999996</v>
      </c>
      <c r="M457" s="2">
        <f>87793/100000</f>
        <v>0.87792999999999999</v>
      </c>
      <c r="N457" s="2">
        <v>0.82929589999999997</v>
      </c>
      <c r="O457" s="3" t="s">
        <v>6047</v>
      </c>
      <c r="P457" s="7">
        <v>0.68</v>
      </c>
      <c r="Q457" s="1" t="s">
        <v>6048</v>
      </c>
      <c r="R457" s="2">
        <v>2.5399999999999999E-2</v>
      </c>
      <c r="S457" s="2">
        <f>2733/100000</f>
        <v>2.733E-2</v>
      </c>
      <c r="T457" s="2">
        <v>0.16930619999999999</v>
      </c>
    </row>
    <row r="458" spans="1:20">
      <c r="A458" s="3" t="s">
        <v>3959</v>
      </c>
      <c r="B458" s="1" t="s">
        <v>3960</v>
      </c>
      <c r="C458" s="3" t="s">
        <v>3961</v>
      </c>
      <c r="D458" s="3" t="s">
        <v>3962</v>
      </c>
      <c r="E458" s="3" t="s">
        <v>3963</v>
      </c>
      <c r="F458" s="3" t="s">
        <v>3964</v>
      </c>
      <c r="G458" s="3" t="s">
        <v>3965</v>
      </c>
      <c r="H458" s="14" t="s">
        <v>8055</v>
      </c>
      <c r="I458" s="3" t="s">
        <v>6049</v>
      </c>
      <c r="J458" s="7">
        <v>0.71</v>
      </c>
      <c r="K458" s="1" t="s">
        <v>5053</v>
      </c>
      <c r="L458" s="2">
        <v>0.56399999999999995</v>
      </c>
      <c r="M458" s="2">
        <f>63641/100000</f>
        <v>0.63641000000000003</v>
      </c>
      <c r="N458" s="2">
        <v>0.79869500000000004</v>
      </c>
      <c r="O458" s="3" t="s">
        <v>6050</v>
      </c>
      <c r="P458" s="7">
        <v>2.09</v>
      </c>
      <c r="Q458" s="1" t="s">
        <v>6051</v>
      </c>
      <c r="R458" s="2">
        <v>3.0499999999999999E-2</v>
      </c>
      <c r="S458" s="2">
        <f>4636/100000</f>
        <v>4.6359999999999998E-2</v>
      </c>
      <c r="T458" s="2">
        <v>0.2335922</v>
      </c>
    </row>
    <row r="459" spans="1:20">
      <c r="A459" s="3" t="s">
        <v>3970</v>
      </c>
      <c r="B459" s="1" t="s">
        <v>3960</v>
      </c>
      <c r="C459" s="3" t="s">
        <v>3961</v>
      </c>
      <c r="D459" s="3" t="s">
        <v>3971</v>
      </c>
      <c r="E459" s="3" t="s">
        <v>3972</v>
      </c>
      <c r="F459" s="3" t="s">
        <v>3973</v>
      </c>
      <c r="G459" s="3" t="s">
        <v>3974</v>
      </c>
      <c r="H459" s="11" t="s">
        <v>8056</v>
      </c>
      <c r="I459" s="3" t="s">
        <v>6052</v>
      </c>
      <c r="J459" s="7">
        <v>0</v>
      </c>
      <c r="K459" s="1" t="s">
        <v>774</v>
      </c>
      <c r="L459" s="2">
        <v>8.4699999999999998E-2</v>
      </c>
      <c r="M459" s="2">
        <f>12274/100000</f>
        <v>0.12274</v>
      </c>
      <c r="N459" s="2">
        <v>0.38891930000000002</v>
      </c>
      <c r="O459" s="3" t="s">
        <v>6053</v>
      </c>
      <c r="P459" s="7">
        <v>0.92</v>
      </c>
      <c r="Q459" s="1" t="s">
        <v>6054</v>
      </c>
      <c r="R459" s="2">
        <v>0.88700000000000001</v>
      </c>
      <c r="S459" s="2">
        <f>100000/100000</f>
        <v>1</v>
      </c>
      <c r="T459" s="2">
        <v>0.82929589999999997</v>
      </c>
    </row>
    <row r="460" spans="1:20">
      <c r="A460" s="3" t="s">
        <v>3978</v>
      </c>
      <c r="B460" s="1" t="s">
        <v>3960</v>
      </c>
      <c r="C460" s="3" t="s">
        <v>3961</v>
      </c>
      <c r="D460" s="3" t="s">
        <v>3979</v>
      </c>
      <c r="E460" s="3" t="s">
        <v>3980</v>
      </c>
      <c r="F460" s="3" t="s">
        <v>3964</v>
      </c>
      <c r="G460" s="3" t="s">
        <v>3965</v>
      </c>
      <c r="H460" s="11" t="s">
        <v>8242</v>
      </c>
      <c r="I460" s="3" t="s">
        <v>6055</v>
      </c>
      <c r="J460" s="7">
        <v>1.21</v>
      </c>
      <c r="K460" s="1" t="s">
        <v>6056</v>
      </c>
      <c r="L460" s="2">
        <v>0.71199999999999997</v>
      </c>
      <c r="M460" s="2">
        <f>77554/100000</f>
        <v>0.77554000000000001</v>
      </c>
      <c r="N460" s="2">
        <v>0.82929589999999997</v>
      </c>
      <c r="O460" s="3" t="s">
        <v>6057</v>
      </c>
      <c r="P460" s="7">
        <v>1.39</v>
      </c>
      <c r="Q460" s="1" t="s">
        <v>6058</v>
      </c>
      <c r="R460" s="2">
        <v>0.51900000000000002</v>
      </c>
      <c r="S460" s="2">
        <f>54106/100000</f>
        <v>0.54105999999999999</v>
      </c>
      <c r="T460" s="2">
        <v>0.74478149999999999</v>
      </c>
    </row>
    <row r="461" spans="1:20">
      <c r="A461" s="3" t="s">
        <v>3985</v>
      </c>
      <c r="B461" s="1" t="s">
        <v>3960</v>
      </c>
      <c r="C461" s="3" t="s">
        <v>3961</v>
      </c>
      <c r="D461" s="3" t="s">
        <v>3986</v>
      </c>
      <c r="E461" s="3" t="s">
        <v>3987</v>
      </c>
      <c r="F461" s="3" t="s">
        <v>3964</v>
      </c>
      <c r="G461" s="3" t="s">
        <v>3965</v>
      </c>
      <c r="H461" s="11" t="s">
        <v>8243</v>
      </c>
      <c r="I461" s="3" t="s">
        <v>6059</v>
      </c>
      <c r="J461" s="7">
        <v>1.1000000000000001</v>
      </c>
      <c r="K461" s="1" t="s">
        <v>6060</v>
      </c>
      <c r="L461" s="2">
        <v>0.73</v>
      </c>
      <c r="M461" s="2">
        <f>76828/100000</f>
        <v>0.76827999999999996</v>
      </c>
      <c r="N461" s="2">
        <v>0.82929589999999997</v>
      </c>
      <c r="O461" s="3" t="s">
        <v>6061</v>
      </c>
      <c r="P461" s="7">
        <v>0.59</v>
      </c>
      <c r="Q461" s="1" t="s">
        <v>6062</v>
      </c>
      <c r="R461" s="2">
        <v>0.122</v>
      </c>
      <c r="S461" s="2">
        <f>12959/100000</f>
        <v>0.12959000000000001</v>
      </c>
      <c r="T461" s="2">
        <v>0.39640740000000002</v>
      </c>
    </row>
    <row r="462" spans="1:20">
      <c r="A462" s="3" t="s">
        <v>3992</v>
      </c>
      <c r="B462" s="1" t="s">
        <v>3960</v>
      </c>
      <c r="C462" s="3" t="s">
        <v>3961</v>
      </c>
      <c r="D462" s="3" t="s">
        <v>3993</v>
      </c>
      <c r="E462" s="3" t="s">
        <v>3994</v>
      </c>
      <c r="F462" s="3" t="s">
        <v>3964</v>
      </c>
      <c r="G462" s="3" t="s">
        <v>3965</v>
      </c>
      <c r="H462" s="11" t="s">
        <v>8244</v>
      </c>
      <c r="I462" s="3" t="s">
        <v>6063</v>
      </c>
      <c r="J462" s="7">
        <v>0.89</v>
      </c>
      <c r="K462" s="1" t="s">
        <v>1106</v>
      </c>
      <c r="L462" s="2">
        <v>0.71899999999999997</v>
      </c>
      <c r="M462" s="2">
        <f>76945/100000</f>
        <v>0.76944999999999997</v>
      </c>
      <c r="N462" s="2">
        <v>0.82929589999999997</v>
      </c>
      <c r="O462" s="3" t="s">
        <v>6064</v>
      </c>
      <c r="P462" s="7">
        <v>0.33</v>
      </c>
      <c r="Q462" s="1" t="s">
        <v>6065</v>
      </c>
      <c r="R462" s="2">
        <v>5.5599999999999998E-3</v>
      </c>
      <c r="S462" s="2">
        <f>599/100000</f>
        <v>5.9899999999999997E-3</v>
      </c>
      <c r="T462" s="2">
        <v>6.0276070000000001E-2</v>
      </c>
    </row>
    <row r="463" spans="1:20">
      <c r="A463" s="3" t="s">
        <v>3999</v>
      </c>
      <c r="B463" s="1" t="s">
        <v>3960</v>
      </c>
      <c r="C463" s="3" t="s">
        <v>3961</v>
      </c>
      <c r="D463" s="3" t="s">
        <v>4000</v>
      </c>
      <c r="E463" s="3" t="s">
        <v>4001</v>
      </c>
      <c r="F463" s="3" t="s">
        <v>4002</v>
      </c>
      <c r="G463" s="3" t="s">
        <v>4003</v>
      </c>
      <c r="H463" s="11" t="s">
        <v>8056</v>
      </c>
      <c r="I463" s="3" t="s">
        <v>6066</v>
      </c>
      <c r="J463" s="7">
        <v>0.67</v>
      </c>
      <c r="K463" s="1" t="s">
        <v>6067</v>
      </c>
      <c r="L463" s="2">
        <v>0.49199999999999999</v>
      </c>
      <c r="M463" s="2">
        <f>63188/100000</f>
        <v>0.63188</v>
      </c>
      <c r="N463" s="2">
        <v>0.79869500000000004</v>
      </c>
      <c r="O463" s="3" t="s">
        <v>6068</v>
      </c>
      <c r="P463" s="7">
        <v>1.51</v>
      </c>
      <c r="Q463" s="1" t="s">
        <v>6069</v>
      </c>
      <c r="R463" s="2">
        <v>0.48099999999999998</v>
      </c>
      <c r="S463" s="2">
        <f>72296/100000</f>
        <v>0.72296000000000005</v>
      </c>
      <c r="T463" s="2">
        <v>0.82137769999999999</v>
      </c>
    </row>
    <row r="464" spans="1:20">
      <c r="A464" s="3" t="s">
        <v>4008</v>
      </c>
      <c r="B464" s="1" t="s">
        <v>3960</v>
      </c>
      <c r="C464" s="3" t="s">
        <v>3961</v>
      </c>
      <c r="D464" s="3" t="s">
        <v>4009</v>
      </c>
      <c r="E464" s="3" t="s">
        <v>4010</v>
      </c>
      <c r="F464" s="3" t="s">
        <v>4002</v>
      </c>
      <c r="G464" s="3" t="s">
        <v>4003</v>
      </c>
      <c r="H464" s="11" t="s">
        <v>8056</v>
      </c>
      <c r="I464" s="3" t="s">
        <v>6070</v>
      </c>
      <c r="J464" s="7">
        <v>0.66</v>
      </c>
      <c r="K464" s="1" t="s">
        <v>6071</v>
      </c>
      <c r="L464" s="2">
        <v>0.47299999999999998</v>
      </c>
      <c r="M464" s="2">
        <f>63095/100000</f>
        <v>0.63095000000000001</v>
      </c>
      <c r="N464" s="2">
        <v>0.79869500000000004</v>
      </c>
      <c r="O464" s="3" t="s">
        <v>6072</v>
      </c>
      <c r="P464" s="7">
        <v>0.93</v>
      </c>
      <c r="Q464" s="1" t="s">
        <v>6073</v>
      </c>
      <c r="R464" s="2">
        <v>0.92300000000000004</v>
      </c>
      <c r="S464" s="2">
        <f>100000/100000</f>
        <v>1</v>
      </c>
      <c r="T464" s="2">
        <v>0.82929589999999997</v>
      </c>
    </row>
    <row r="465" spans="1:20">
      <c r="A465" s="3" t="s">
        <v>4015</v>
      </c>
      <c r="B465" s="1" t="s">
        <v>3960</v>
      </c>
      <c r="C465" s="3" t="s">
        <v>3961</v>
      </c>
      <c r="D465" s="3" t="s">
        <v>4016</v>
      </c>
      <c r="E465" s="3" t="s">
        <v>4017</v>
      </c>
      <c r="F465" s="3" t="s">
        <v>4018</v>
      </c>
      <c r="G465" s="3" t="s">
        <v>4019</v>
      </c>
      <c r="H465" s="11" t="s">
        <v>8056</v>
      </c>
      <c r="I465" s="3" t="s">
        <v>6074</v>
      </c>
      <c r="J465" s="7">
        <v>1.26</v>
      </c>
      <c r="K465" s="1" t="s">
        <v>6075</v>
      </c>
      <c r="L465" s="2">
        <v>0.69299999999999995</v>
      </c>
      <c r="M465" s="2">
        <f>73612/100000</f>
        <v>0.73612</v>
      </c>
      <c r="N465" s="2">
        <v>0.82137769999999999</v>
      </c>
      <c r="O465" s="3" t="s">
        <v>6076</v>
      </c>
      <c r="P465" s="7">
        <v>0.84</v>
      </c>
      <c r="Q465" s="1" t="s">
        <v>6077</v>
      </c>
      <c r="R465" s="2">
        <v>0.80900000000000005</v>
      </c>
      <c r="S465" s="2">
        <f>100000/100000</f>
        <v>1</v>
      </c>
      <c r="T465" s="2">
        <v>0.82929589999999997</v>
      </c>
    </row>
    <row r="466" spans="1:20">
      <c r="A466" s="3" t="s">
        <v>4022</v>
      </c>
      <c r="B466" s="1" t="s">
        <v>3960</v>
      </c>
      <c r="C466" s="3" t="s">
        <v>3961</v>
      </c>
      <c r="D466" s="3" t="s">
        <v>4023</v>
      </c>
      <c r="E466" s="3" t="s">
        <v>4024</v>
      </c>
      <c r="F466" s="3" t="s">
        <v>4018</v>
      </c>
      <c r="G466" s="3" t="s">
        <v>4019</v>
      </c>
      <c r="H466" s="11" t="s">
        <v>8056</v>
      </c>
      <c r="I466" s="3" t="s">
        <v>6078</v>
      </c>
      <c r="J466" s="7">
        <v>0.55000000000000004</v>
      </c>
      <c r="K466" s="1" t="s">
        <v>5404</v>
      </c>
      <c r="L466" s="2">
        <v>0.39700000000000002</v>
      </c>
      <c r="M466" s="2">
        <f>45183/100000</f>
        <v>0.45183000000000001</v>
      </c>
      <c r="N466" s="2">
        <v>0.69868149999999996</v>
      </c>
      <c r="O466" s="3" t="s">
        <v>6079</v>
      </c>
      <c r="P466" s="7">
        <v>0.98</v>
      </c>
      <c r="Q466" s="1" t="s">
        <v>6080</v>
      </c>
      <c r="R466" s="2">
        <v>0.97199999999999998</v>
      </c>
      <c r="S466" s="2">
        <f>100000/100000</f>
        <v>1</v>
      </c>
      <c r="T466" s="2">
        <v>0.82929589999999997</v>
      </c>
    </row>
    <row r="467" spans="1:20">
      <c r="A467" s="3" t="s">
        <v>4029</v>
      </c>
      <c r="B467" s="1" t="s">
        <v>3960</v>
      </c>
      <c r="C467" s="3" t="s">
        <v>3961</v>
      </c>
      <c r="D467" s="3" t="s">
        <v>4030</v>
      </c>
      <c r="E467" s="3" t="s">
        <v>4031</v>
      </c>
      <c r="F467" s="3" t="s">
        <v>3973</v>
      </c>
      <c r="G467" s="3" t="s">
        <v>3974</v>
      </c>
      <c r="H467" s="11" t="s">
        <v>8056</v>
      </c>
      <c r="I467" s="3" t="s">
        <v>6081</v>
      </c>
      <c r="J467" s="7">
        <v>0.35</v>
      </c>
      <c r="K467" s="1" t="s">
        <v>6082</v>
      </c>
      <c r="L467" s="2">
        <v>0.26900000000000002</v>
      </c>
      <c r="M467" s="2">
        <f>37281/100000</f>
        <v>0.37280999999999997</v>
      </c>
      <c r="N467" s="2">
        <v>0.64881420000000001</v>
      </c>
      <c r="O467" s="3" t="s">
        <v>6083</v>
      </c>
      <c r="P467" s="7">
        <v>1.1399999999999999</v>
      </c>
      <c r="Q467" s="1" t="s">
        <v>6084</v>
      </c>
      <c r="R467" s="2">
        <v>0.79600000000000004</v>
      </c>
      <c r="S467" s="2">
        <f>100000/100000</f>
        <v>1</v>
      </c>
      <c r="T467" s="2">
        <v>0.82929589999999997</v>
      </c>
    </row>
    <row r="468" spans="1:20">
      <c r="A468" s="3" t="s">
        <v>4036</v>
      </c>
      <c r="B468" s="1" t="s">
        <v>4037</v>
      </c>
      <c r="C468" s="3" t="s">
        <v>4038</v>
      </c>
      <c r="D468" s="3" t="s">
        <v>4039</v>
      </c>
      <c r="E468" s="3" t="s">
        <v>4040</v>
      </c>
      <c r="F468" s="3" t="s">
        <v>4041</v>
      </c>
      <c r="G468" s="3" t="s">
        <v>4042</v>
      </c>
      <c r="H468" s="11" t="s">
        <v>8245</v>
      </c>
      <c r="I468" s="3" t="s">
        <v>6085</v>
      </c>
      <c r="J468" s="7">
        <v>0.61</v>
      </c>
      <c r="K468" s="1" t="s">
        <v>6086</v>
      </c>
      <c r="L468" s="2">
        <v>3.7699999999999997E-2</v>
      </c>
      <c r="M468" s="2">
        <f>4519/100000</f>
        <v>4.5190000000000001E-2</v>
      </c>
      <c r="N468" s="2">
        <v>0.22844690000000001</v>
      </c>
      <c r="O468" s="3" t="s">
        <v>6087</v>
      </c>
      <c r="P468" s="7">
        <v>0.72</v>
      </c>
      <c r="Q468" s="1" t="s">
        <v>6088</v>
      </c>
      <c r="R468" s="2">
        <v>0.161</v>
      </c>
      <c r="S468" s="2">
        <f>18369/100000</f>
        <v>0.18368999999999999</v>
      </c>
      <c r="T468" s="2">
        <v>0.47147699999999998</v>
      </c>
    </row>
    <row r="469" spans="1:20">
      <c r="A469" s="3" t="s">
        <v>4047</v>
      </c>
      <c r="B469" s="1" t="s">
        <v>4037</v>
      </c>
      <c r="C469" s="3" t="s">
        <v>4038</v>
      </c>
      <c r="D469" s="3" t="s">
        <v>4048</v>
      </c>
      <c r="E469" s="3" t="s">
        <v>4049</v>
      </c>
      <c r="F469" s="3" t="s">
        <v>4050</v>
      </c>
      <c r="G469" s="3" t="s">
        <v>4051</v>
      </c>
      <c r="H469" s="11" t="s">
        <v>8245</v>
      </c>
      <c r="I469" s="3" t="s">
        <v>6089</v>
      </c>
      <c r="J469" s="7">
        <v>1.34</v>
      </c>
      <c r="K469" s="1" t="s">
        <v>6090</v>
      </c>
      <c r="L469" s="2">
        <v>0.14799999999999999</v>
      </c>
      <c r="M469" s="2">
        <f>16975/100000</f>
        <v>0.16975000000000001</v>
      </c>
      <c r="N469" s="2">
        <v>0.4546615</v>
      </c>
      <c r="O469" s="3" t="s">
        <v>6091</v>
      </c>
      <c r="P469" s="7">
        <v>0.97</v>
      </c>
      <c r="Q469" s="1" t="s">
        <v>6092</v>
      </c>
      <c r="R469" s="2">
        <v>0.89500000000000002</v>
      </c>
      <c r="S469" s="2">
        <f>91450/100000</f>
        <v>0.91449999999999998</v>
      </c>
      <c r="T469" s="2">
        <v>0.82929589999999997</v>
      </c>
    </row>
    <row r="470" spans="1:20">
      <c r="A470" s="3" t="s">
        <v>4055</v>
      </c>
      <c r="B470" s="1" t="s">
        <v>4056</v>
      </c>
      <c r="C470" s="3" t="s">
        <v>4057</v>
      </c>
      <c r="D470" s="3" t="s">
        <v>4058</v>
      </c>
      <c r="E470" s="3" t="s">
        <v>4059</v>
      </c>
      <c r="F470" s="3" t="s">
        <v>4060</v>
      </c>
      <c r="G470" s="3" t="s">
        <v>4061</v>
      </c>
      <c r="H470" s="11" t="s">
        <v>8246</v>
      </c>
      <c r="I470" s="3" t="s">
        <v>6093</v>
      </c>
      <c r="J470" s="7">
        <v>0.93</v>
      </c>
      <c r="K470" s="1" t="s">
        <v>6094</v>
      </c>
      <c r="L470" s="2">
        <v>0.88</v>
      </c>
      <c r="M470" s="2">
        <f>100000/100000</f>
        <v>1</v>
      </c>
      <c r="N470" s="2">
        <v>0.82929589999999997</v>
      </c>
      <c r="O470" s="3" t="s">
        <v>6095</v>
      </c>
      <c r="P470" s="7">
        <v>1.46</v>
      </c>
      <c r="Q470" s="1" t="s">
        <v>5286</v>
      </c>
      <c r="R470" s="2">
        <v>0.40200000000000002</v>
      </c>
      <c r="S470" s="2">
        <f>40385/100000</f>
        <v>0.40384999999999999</v>
      </c>
      <c r="T470" s="2">
        <v>0.66662600000000005</v>
      </c>
    </row>
    <row r="471" spans="1:20">
      <c r="A471" s="3" t="s">
        <v>4066</v>
      </c>
      <c r="B471" s="1" t="s">
        <v>4056</v>
      </c>
      <c r="C471" s="3" t="s">
        <v>4057</v>
      </c>
      <c r="D471" s="3" t="s">
        <v>4067</v>
      </c>
      <c r="E471" s="3" t="s">
        <v>4068</v>
      </c>
      <c r="F471" s="3" t="s">
        <v>4069</v>
      </c>
      <c r="G471" s="3" t="s">
        <v>4070</v>
      </c>
      <c r="H471" s="11" t="s">
        <v>8246</v>
      </c>
      <c r="I471" s="3" t="s">
        <v>6096</v>
      </c>
      <c r="J471" s="7">
        <v>0.45</v>
      </c>
      <c r="K471" s="1" t="s">
        <v>6097</v>
      </c>
      <c r="L471" s="2">
        <v>0.41299999999999998</v>
      </c>
      <c r="M471" s="2">
        <f>52993/100000</f>
        <v>0.52993000000000001</v>
      </c>
      <c r="N471" s="2">
        <v>0.74478149999999999</v>
      </c>
      <c r="O471" s="3" t="s">
        <v>6098</v>
      </c>
      <c r="P471" s="7">
        <v>0</v>
      </c>
      <c r="Q471" s="1" t="s">
        <v>774</v>
      </c>
      <c r="R471" s="2">
        <v>0.16900000000000001</v>
      </c>
      <c r="S471" s="2">
        <f>26624/100000</f>
        <v>0.26623999999999998</v>
      </c>
      <c r="T471" s="2">
        <v>0.56620890000000001</v>
      </c>
    </row>
    <row r="472" spans="1:20">
      <c r="A472" s="3" t="s">
        <v>4074</v>
      </c>
      <c r="B472" s="1" t="s">
        <v>4056</v>
      </c>
      <c r="C472" s="3" t="s">
        <v>4057</v>
      </c>
      <c r="D472" s="3" t="s">
        <v>4075</v>
      </c>
      <c r="E472" s="3" t="s">
        <v>4076</v>
      </c>
      <c r="F472" s="3" t="s">
        <v>4077</v>
      </c>
      <c r="G472" s="3" t="s">
        <v>4078</v>
      </c>
      <c r="H472" s="14" t="s">
        <v>8246</v>
      </c>
      <c r="I472" s="3" t="s">
        <v>6099</v>
      </c>
      <c r="J472" s="7">
        <v>0.89</v>
      </c>
      <c r="K472" s="1" t="s">
        <v>6100</v>
      </c>
      <c r="L472" s="2">
        <v>0.90700000000000003</v>
      </c>
      <c r="M472" s="2">
        <f>100000/100000</f>
        <v>1</v>
      </c>
      <c r="N472" s="2">
        <v>0.82929589999999997</v>
      </c>
      <c r="O472" s="3" t="s">
        <v>6101</v>
      </c>
      <c r="P472" s="7">
        <v>0.7</v>
      </c>
      <c r="Q472" s="1" t="s">
        <v>6102</v>
      </c>
      <c r="R472" s="2">
        <v>0.72399999999999998</v>
      </c>
      <c r="S472" s="2">
        <f>100000/100000</f>
        <v>1</v>
      </c>
      <c r="T472" s="2">
        <v>0.82929589999999997</v>
      </c>
    </row>
    <row r="473" spans="1:20">
      <c r="A473" s="3" t="s">
        <v>4083</v>
      </c>
      <c r="B473" s="1" t="s">
        <v>4084</v>
      </c>
      <c r="C473" s="3" t="s">
        <v>4085</v>
      </c>
      <c r="D473" s="3" t="s">
        <v>4086</v>
      </c>
      <c r="E473" s="3" t="s">
        <v>4087</v>
      </c>
      <c r="F473" s="3" t="s">
        <v>4088</v>
      </c>
      <c r="G473" s="3" t="s">
        <v>4089</v>
      </c>
      <c r="H473" s="14" t="s">
        <v>8114</v>
      </c>
      <c r="I473" s="3" t="s">
        <v>6103</v>
      </c>
      <c r="J473" s="7">
        <v>1.1200000000000001</v>
      </c>
      <c r="K473" s="1" t="s">
        <v>6104</v>
      </c>
      <c r="L473" s="2">
        <v>0.82499999999999996</v>
      </c>
      <c r="M473" s="2">
        <f>100000/100000</f>
        <v>1</v>
      </c>
      <c r="N473" s="2">
        <v>0.82929589999999997</v>
      </c>
      <c r="O473" s="3" t="s">
        <v>6105</v>
      </c>
      <c r="P473" s="7">
        <v>1.23</v>
      </c>
      <c r="Q473" s="1" t="s">
        <v>5157</v>
      </c>
      <c r="R473" s="2">
        <v>0.68100000000000005</v>
      </c>
      <c r="S473" s="2">
        <f>77443/100000</f>
        <v>0.77442999999999995</v>
      </c>
      <c r="T473" s="2">
        <v>0.82929589999999997</v>
      </c>
    </row>
    <row r="474" spans="1:20">
      <c r="A474" s="3" t="s">
        <v>4094</v>
      </c>
      <c r="B474" s="1" t="s">
        <v>4084</v>
      </c>
      <c r="C474" s="3" t="s">
        <v>4085</v>
      </c>
      <c r="D474" s="3" t="s">
        <v>4095</v>
      </c>
      <c r="E474" s="3" t="s">
        <v>4096</v>
      </c>
      <c r="F474" s="3" t="s">
        <v>4097</v>
      </c>
      <c r="G474" s="3" t="s">
        <v>4098</v>
      </c>
      <c r="H474" s="14" t="s">
        <v>8114</v>
      </c>
      <c r="I474" s="3" t="s">
        <v>6106</v>
      </c>
      <c r="J474" s="7">
        <v>1.07</v>
      </c>
      <c r="K474" s="1" t="s">
        <v>6107</v>
      </c>
      <c r="L474" s="2">
        <v>0.877</v>
      </c>
      <c r="M474" s="2">
        <f>100000/100000</f>
        <v>1</v>
      </c>
      <c r="N474" s="2">
        <v>0.82929589999999997</v>
      </c>
      <c r="O474" s="3" t="s">
        <v>6108</v>
      </c>
      <c r="P474" s="7">
        <v>0.41</v>
      </c>
      <c r="Q474" s="1" t="s">
        <v>5089</v>
      </c>
      <c r="R474" s="2">
        <v>0.19900000000000001</v>
      </c>
      <c r="S474" s="2">
        <f>24989/100000</f>
        <v>0.24989</v>
      </c>
      <c r="T474" s="2">
        <v>0.55238810000000005</v>
      </c>
    </row>
    <row r="475" spans="1:20">
      <c r="A475" s="3" t="s">
        <v>4103</v>
      </c>
      <c r="B475" s="1" t="s">
        <v>4084</v>
      </c>
      <c r="C475" s="3" t="s">
        <v>4085</v>
      </c>
      <c r="D475" s="3" t="s">
        <v>4104</v>
      </c>
      <c r="E475" s="3" t="s">
        <v>4105</v>
      </c>
      <c r="F475" s="3" t="s">
        <v>4106</v>
      </c>
      <c r="G475" s="3" t="s">
        <v>4107</v>
      </c>
      <c r="H475" s="11" t="s">
        <v>8114</v>
      </c>
      <c r="I475" s="3" t="s">
        <v>6109</v>
      </c>
      <c r="J475" s="7">
        <v>0.89</v>
      </c>
      <c r="K475" s="1" t="s">
        <v>6110</v>
      </c>
      <c r="L475" s="2">
        <v>0.82099999999999995</v>
      </c>
      <c r="M475" s="2">
        <f>100000/100000</f>
        <v>1</v>
      </c>
      <c r="N475" s="2">
        <v>0.82929589999999997</v>
      </c>
      <c r="O475" s="3" t="s">
        <v>6111</v>
      </c>
      <c r="P475" s="7">
        <v>0.34</v>
      </c>
      <c r="Q475" s="1" t="s">
        <v>6112</v>
      </c>
      <c r="R475" s="2">
        <v>0.109</v>
      </c>
      <c r="S475" s="2">
        <f>13449/100000</f>
        <v>0.13449</v>
      </c>
      <c r="T475" s="2">
        <v>0.40098479999999997</v>
      </c>
    </row>
    <row r="476" spans="1:20">
      <c r="A476" s="3" t="s">
        <v>4112</v>
      </c>
      <c r="B476" s="1" t="s">
        <v>4084</v>
      </c>
      <c r="C476" s="3" t="s">
        <v>4085</v>
      </c>
      <c r="D476" s="3" t="s">
        <v>4113</v>
      </c>
      <c r="E476" s="3" t="s">
        <v>4114</v>
      </c>
      <c r="F476" s="3" t="s">
        <v>4115</v>
      </c>
      <c r="G476" s="3" t="s">
        <v>4116</v>
      </c>
      <c r="H476" s="11" t="s">
        <v>8114</v>
      </c>
      <c r="I476" s="3" t="s">
        <v>6113</v>
      </c>
      <c r="J476" s="7">
        <v>1.53</v>
      </c>
      <c r="K476" s="1" t="s">
        <v>6114</v>
      </c>
      <c r="L476" s="2">
        <v>0.21</v>
      </c>
      <c r="M476" s="2">
        <f>20749/100000</f>
        <v>0.20749000000000001</v>
      </c>
      <c r="N476" s="2">
        <v>0.49670330000000001</v>
      </c>
      <c r="O476" s="3" t="s">
        <v>6115</v>
      </c>
      <c r="P476" s="7">
        <v>0.56000000000000005</v>
      </c>
      <c r="Q476" s="1" t="s">
        <v>6116</v>
      </c>
      <c r="R476" s="2">
        <v>0.308</v>
      </c>
      <c r="S476" s="2">
        <f>38268/100000</f>
        <v>0.38268000000000002</v>
      </c>
      <c r="T476" s="2">
        <v>0.65163249999999995</v>
      </c>
    </row>
    <row r="477" spans="1:20">
      <c r="A477" s="3" t="s">
        <v>4121</v>
      </c>
      <c r="B477" s="1" t="s">
        <v>4122</v>
      </c>
      <c r="C477" s="3" t="s">
        <v>4123</v>
      </c>
      <c r="D477" s="3" t="s">
        <v>4124</v>
      </c>
      <c r="E477" s="3" t="s">
        <v>4125</v>
      </c>
      <c r="F477" s="3" t="s">
        <v>4126</v>
      </c>
      <c r="G477" s="3" t="s">
        <v>4127</v>
      </c>
      <c r="H477" s="11" t="s">
        <v>8158</v>
      </c>
      <c r="I477" s="3" t="s">
        <v>6117</v>
      </c>
      <c r="J477" s="7">
        <v>1.57</v>
      </c>
      <c r="K477" s="1" t="s">
        <v>6118</v>
      </c>
      <c r="L477" s="2">
        <v>9.1300000000000006E-2</v>
      </c>
      <c r="M477" s="2">
        <f>9914/100000</f>
        <v>9.9140000000000006E-2</v>
      </c>
      <c r="N477" s="2">
        <v>0.3565972</v>
      </c>
      <c r="O477" s="3" t="s">
        <v>6119</v>
      </c>
      <c r="P477" s="7">
        <v>1.02</v>
      </c>
      <c r="Q477" s="1" t="s">
        <v>4610</v>
      </c>
      <c r="R477" s="2">
        <v>0.96299999999999997</v>
      </c>
      <c r="S477" s="2">
        <f>100000/100000</f>
        <v>1</v>
      </c>
      <c r="T477" s="2">
        <v>0.82929589999999997</v>
      </c>
    </row>
    <row r="478" spans="1:20">
      <c r="A478" s="3" t="s">
        <v>4132</v>
      </c>
      <c r="B478" s="1" t="s">
        <v>4133</v>
      </c>
      <c r="C478" s="3" t="s">
        <v>4134</v>
      </c>
      <c r="D478" s="3" t="s">
        <v>4135</v>
      </c>
      <c r="E478" s="5" t="s">
        <v>4136</v>
      </c>
      <c r="F478" s="3" t="s">
        <v>4137</v>
      </c>
      <c r="G478" s="5" t="s">
        <v>4138</v>
      </c>
      <c r="H478" s="11" t="s">
        <v>8247</v>
      </c>
      <c r="I478" s="3" t="s">
        <v>6120</v>
      </c>
      <c r="J478" s="7">
        <v>0.75</v>
      </c>
      <c r="K478" s="1" t="s">
        <v>6121</v>
      </c>
      <c r="L478" s="2">
        <v>0.622</v>
      </c>
      <c r="M478" s="2">
        <f>80158/100000</f>
        <v>0.80157999999999996</v>
      </c>
      <c r="N478" s="2">
        <v>0.82929589999999997</v>
      </c>
      <c r="O478" s="3" t="s">
        <v>6122</v>
      </c>
      <c r="P478" s="7">
        <v>0.22</v>
      </c>
      <c r="Q478" s="1" t="s">
        <v>6123</v>
      </c>
      <c r="R478" s="2">
        <v>9.7799999999999998E-2</v>
      </c>
      <c r="S478" s="2">
        <f>13955/100000</f>
        <v>0.13955000000000001</v>
      </c>
      <c r="T478" s="2">
        <v>0.40986319999999998</v>
      </c>
    </row>
    <row r="479" spans="1:20">
      <c r="A479" s="3" t="s">
        <v>4143</v>
      </c>
      <c r="B479" s="1" t="s">
        <v>4133</v>
      </c>
      <c r="C479" s="3" t="s">
        <v>4134</v>
      </c>
      <c r="D479" s="3" t="s">
        <v>4144</v>
      </c>
      <c r="E479" s="5" t="s">
        <v>4145</v>
      </c>
      <c r="F479" s="3" t="s">
        <v>4137</v>
      </c>
      <c r="G479" s="5" t="s">
        <v>4138</v>
      </c>
      <c r="H479" s="11" t="s">
        <v>8159</v>
      </c>
      <c r="I479" s="3" t="s">
        <v>6124</v>
      </c>
      <c r="J479" s="7">
        <v>0.89</v>
      </c>
      <c r="K479" s="1" t="s">
        <v>6125</v>
      </c>
      <c r="L479" s="2">
        <v>0.76300000000000001</v>
      </c>
      <c r="M479" s="2">
        <f>85653/100000</f>
        <v>0.85653000000000001</v>
      </c>
      <c r="N479" s="2">
        <v>0.82929589999999997</v>
      </c>
      <c r="O479" s="3" t="s">
        <v>6126</v>
      </c>
      <c r="P479" s="7">
        <v>1.27</v>
      </c>
      <c r="Q479" s="1" t="s">
        <v>6127</v>
      </c>
      <c r="R479" s="2">
        <v>0.45800000000000002</v>
      </c>
      <c r="S479" s="2">
        <f>46388/100000</f>
        <v>0.46388000000000001</v>
      </c>
      <c r="T479" s="2">
        <v>0.70911900000000005</v>
      </c>
    </row>
    <row r="480" spans="1:20">
      <c r="A480" s="3" t="s">
        <v>4150</v>
      </c>
      <c r="B480" s="1" t="s">
        <v>4133</v>
      </c>
      <c r="C480" s="3" t="s">
        <v>4134</v>
      </c>
      <c r="D480" s="3" t="s">
        <v>4151</v>
      </c>
      <c r="E480" s="5" t="s">
        <v>4152</v>
      </c>
      <c r="F480" s="3" t="s">
        <v>4137</v>
      </c>
      <c r="G480" s="5" t="s">
        <v>4138</v>
      </c>
      <c r="H480" s="11" t="s">
        <v>8248</v>
      </c>
      <c r="I480" s="3" t="s">
        <v>6128</v>
      </c>
      <c r="J480" s="7">
        <v>0.69</v>
      </c>
      <c r="K480" s="1" t="s">
        <v>565</v>
      </c>
      <c r="L480" s="2">
        <v>0.222</v>
      </c>
      <c r="M480" s="2">
        <f>23642/100000</f>
        <v>0.23641999999999999</v>
      </c>
      <c r="N480" s="2">
        <v>0.53622119999999995</v>
      </c>
      <c r="O480" s="3" t="s">
        <v>6129</v>
      </c>
      <c r="P480" s="7">
        <v>0.54</v>
      </c>
      <c r="Q480" s="1" t="s">
        <v>6130</v>
      </c>
      <c r="R480" s="2">
        <v>0.13400000000000001</v>
      </c>
      <c r="S480" s="2">
        <f>15607/100000</f>
        <v>0.15606999999999999</v>
      </c>
      <c r="T480" s="2">
        <v>0.43347400000000003</v>
      </c>
    </row>
    <row r="481" spans="1:20">
      <c r="A481" s="3" t="s">
        <v>4157</v>
      </c>
      <c r="B481" s="1" t="s">
        <v>4133</v>
      </c>
      <c r="C481" s="3" t="s">
        <v>4134</v>
      </c>
      <c r="D481" s="3" t="s">
        <v>4158</v>
      </c>
      <c r="E481" s="5" t="s">
        <v>4159</v>
      </c>
      <c r="F481" s="3" t="s">
        <v>4137</v>
      </c>
      <c r="G481" s="5" t="s">
        <v>4138</v>
      </c>
      <c r="H481" s="11" t="s">
        <v>8051</v>
      </c>
      <c r="I481" s="3" t="s">
        <v>6131</v>
      </c>
      <c r="J481" s="7">
        <v>0.26</v>
      </c>
      <c r="K481" s="1" t="s">
        <v>6132</v>
      </c>
      <c r="L481" s="2">
        <v>0.153</v>
      </c>
      <c r="M481" s="2">
        <f>18857/100000</f>
        <v>0.18856999999999999</v>
      </c>
      <c r="N481" s="2">
        <v>0.47761559999999997</v>
      </c>
      <c r="O481" s="3" t="s">
        <v>6133</v>
      </c>
      <c r="P481" s="7">
        <v>1.29</v>
      </c>
      <c r="Q481" s="1" t="s">
        <v>6134</v>
      </c>
      <c r="R481" s="2">
        <v>0.57499999999999996</v>
      </c>
      <c r="S481" s="2">
        <f>59688/100000</f>
        <v>0.59687999999999997</v>
      </c>
      <c r="T481" s="2">
        <v>0.78084439999999999</v>
      </c>
    </row>
    <row r="482" spans="1:20">
      <c r="A482" s="3" t="s">
        <v>4164</v>
      </c>
      <c r="B482" s="1" t="s">
        <v>4165</v>
      </c>
      <c r="C482" s="3" t="s">
        <v>4166</v>
      </c>
      <c r="D482" s="3" t="s">
        <v>4167</v>
      </c>
      <c r="E482" s="3" t="s">
        <v>4168</v>
      </c>
      <c r="F482" s="3" t="s">
        <v>4169</v>
      </c>
      <c r="G482" s="3" t="s">
        <v>4170</v>
      </c>
      <c r="H482" s="11" t="s">
        <v>8150</v>
      </c>
      <c r="I482" s="3" t="s">
        <v>6135</v>
      </c>
      <c r="J482" s="7">
        <v>1.04</v>
      </c>
      <c r="K482" s="1" t="s">
        <v>6136</v>
      </c>
      <c r="L482" s="2">
        <v>0.92600000000000005</v>
      </c>
      <c r="M482" s="2">
        <f>100000/100000</f>
        <v>1</v>
      </c>
      <c r="N482" s="2">
        <v>0.82929589999999997</v>
      </c>
      <c r="O482" s="3" t="s">
        <v>6137</v>
      </c>
      <c r="P482" s="7">
        <v>0.9</v>
      </c>
      <c r="Q482" s="1" t="s">
        <v>6138</v>
      </c>
      <c r="R482" s="2">
        <v>0.81</v>
      </c>
      <c r="S482" s="2">
        <f>83768/100000</f>
        <v>0.83767999999999998</v>
      </c>
      <c r="T482" s="2">
        <v>0.82929589999999997</v>
      </c>
    </row>
    <row r="483" spans="1:20">
      <c r="A483" s="3" t="s">
        <v>4175</v>
      </c>
      <c r="B483" s="1" t="s">
        <v>4176</v>
      </c>
      <c r="C483" s="3" t="s">
        <v>4177</v>
      </c>
      <c r="D483" s="3" t="s">
        <v>4178</v>
      </c>
      <c r="E483" s="3" t="s">
        <v>4179</v>
      </c>
      <c r="F483" s="3" t="s">
        <v>4180</v>
      </c>
      <c r="G483" s="3" t="s">
        <v>4181</v>
      </c>
      <c r="H483" s="11" t="s">
        <v>8249</v>
      </c>
      <c r="I483" s="3" t="s">
        <v>6139</v>
      </c>
      <c r="J483" s="7">
        <v>0.99</v>
      </c>
      <c r="K483" s="1" t="s">
        <v>6140</v>
      </c>
      <c r="L483" s="2">
        <v>0.98699999999999999</v>
      </c>
      <c r="M483" s="2">
        <f>100000/100000</f>
        <v>1</v>
      </c>
      <c r="N483" s="2">
        <v>0.82929589999999997</v>
      </c>
      <c r="O483" s="3" t="s">
        <v>6141</v>
      </c>
      <c r="P483" s="7">
        <v>1.42</v>
      </c>
      <c r="Q483" s="1" t="s">
        <v>6142</v>
      </c>
      <c r="R483" s="2">
        <v>0.44500000000000001</v>
      </c>
      <c r="S483" s="2">
        <f>59033/100000</f>
        <v>0.59033000000000002</v>
      </c>
      <c r="T483" s="2">
        <v>0.77707570000000004</v>
      </c>
    </row>
    <row r="484" spans="1:20">
      <c r="A484" s="3" t="s">
        <v>4186</v>
      </c>
      <c r="B484" s="1" t="s">
        <v>4187</v>
      </c>
      <c r="C484" s="3" t="s">
        <v>4188</v>
      </c>
      <c r="D484" s="3" t="s">
        <v>4189</v>
      </c>
      <c r="E484" s="3" t="s">
        <v>4190</v>
      </c>
      <c r="F484" s="3" t="s">
        <v>4191</v>
      </c>
      <c r="G484" s="3" t="s">
        <v>4192</v>
      </c>
      <c r="H484" s="11" t="s">
        <v>8250</v>
      </c>
      <c r="I484" s="3" t="s">
        <v>6143</v>
      </c>
      <c r="J484" s="7">
        <v>0.98</v>
      </c>
      <c r="K484" s="1" t="s">
        <v>6144</v>
      </c>
      <c r="L484" s="2">
        <v>0.97399999999999998</v>
      </c>
      <c r="M484" s="2">
        <f>100000/100000</f>
        <v>1</v>
      </c>
      <c r="N484" s="2">
        <v>0.82929589999999997</v>
      </c>
      <c r="O484" s="3" t="s">
        <v>6145</v>
      </c>
      <c r="P484" s="7">
        <v>0</v>
      </c>
      <c r="Q484" s="1" t="s">
        <v>774</v>
      </c>
      <c r="R484" s="2">
        <v>0.21199999999999999</v>
      </c>
      <c r="S484" s="2">
        <f>28027/100000</f>
        <v>0.28027000000000002</v>
      </c>
      <c r="T484" s="2">
        <v>0.56965129999999997</v>
      </c>
    </row>
    <row r="485" spans="1:20">
      <c r="A485" s="3" t="s">
        <v>4197</v>
      </c>
      <c r="B485" s="1" t="s">
        <v>4198</v>
      </c>
      <c r="C485" s="3" t="s">
        <v>4199</v>
      </c>
      <c r="D485" s="3" t="s">
        <v>4200</v>
      </c>
      <c r="E485" s="3" t="s">
        <v>4201</v>
      </c>
      <c r="F485" s="3" t="s">
        <v>4202</v>
      </c>
      <c r="G485" s="3" t="s">
        <v>4203</v>
      </c>
      <c r="H485" s="11" t="s">
        <v>8251</v>
      </c>
      <c r="I485" s="3" t="s">
        <v>6146</v>
      </c>
      <c r="J485" s="7">
        <v>0.28000000000000003</v>
      </c>
      <c r="K485" s="1" t="s">
        <v>6147</v>
      </c>
      <c r="L485" s="2">
        <v>0.17299999999999999</v>
      </c>
      <c r="M485" s="2">
        <f>19510/100000</f>
        <v>0.1951</v>
      </c>
      <c r="N485" s="2">
        <v>0.4856086</v>
      </c>
      <c r="O485" s="3" t="s">
        <v>6148</v>
      </c>
      <c r="P485" s="7">
        <v>0.75</v>
      </c>
      <c r="Q485" s="1" t="s">
        <v>6023</v>
      </c>
      <c r="R485" s="2">
        <v>0.57499999999999996</v>
      </c>
      <c r="S485" s="2">
        <f>67028/100000</f>
        <v>0.67027999999999999</v>
      </c>
      <c r="T485" s="2">
        <v>0.80511429999999995</v>
      </c>
    </row>
    <row r="486" spans="1:20">
      <c r="A486" s="3" t="s">
        <v>4208</v>
      </c>
      <c r="B486" s="1" t="s">
        <v>4209</v>
      </c>
      <c r="C486" s="3" t="s">
        <v>4210</v>
      </c>
      <c r="D486" s="3" t="s">
        <v>4211</v>
      </c>
      <c r="E486" s="3" t="s">
        <v>4212</v>
      </c>
      <c r="F486" s="3" t="s">
        <v>4213</v>
      </c>
      <c r="G486" s="3" t="s">
        <v>4214</v>
      </c>
      <c r="H486" s="11" t="s">
        <v>8252</v>
      </c>
      <c r="I486" s="3" t="s">
        <v>6149</v>
      </c>
      <c r="J486" s="7">
        <v>1</v>
      </c>
      <c r="K486" s="1" t="s">
        <v>6150</v>
      </c>
      <c r="L486" s="2">
        <v>1</v>
      </c>
      <c r="M486" s="2">
        <f>100000/100000</f>
        <v>1</v>
      </c>
      <c r="N486" s="2">
        <v>0.82929589999999997</v>
      </c>
      <c r="O486" s="3" t="s">
        <v>6151</v>
      </c>
      <c r="P486" s="7">
        <v>0.89</v>
      </c>
      <c r="Q486" s="1" t="s">
        <v>6152</v>
      </c>
      <c r="R486" s="2">
        <v>0.77400000000000002</v>
      </c>
      <c r="S486" s="2">
        <f>84792/100000</f>
        <v>0.84792000000000001</v>
      </c>
      <c r="T486" s="2">
        <v>0.82929589999999997</v>
      </c>
    </row>
    <row r="487" spans="1:20">
      <c r="A487" s="3" t="s">
        <v>4219</v>
      </c>
      <c r="B487" s="1" t="s">
        <v>4220</v>
      </c>
      <c r="C487" s="3" t="s">
        <v>4221</v>
      </c>
      <c r="D487" s="3" t="s">
        <v>4222</v>
      </c>
      <c r="E487" s="3" t="s">
        <v>4223</v>
      </c>
      <c r="F487" s="3" t="s">
        <v>4224</v>
      </c>
      <c r="G487" s="3" t="s">
        <v>4225</v>
      </c>
      <c r="H487" s="11" t="s">
        <v>8121</v>
      </c>
      <c r="I487" s="3" t="s">
        <v>6153</v>
      </c>
      <c r="J487" s="7">
        <v>0.85</v>
      </c>
      <c r="K487" s="1" t="s">
        <v>4543</v>
      </c>
      <c r="L487" s="2">
        <v>0.78700000000000003</v>
      </c>
      <c r="M487" s="2">
        <f>100000/100000</f>
        <v>1</v>
      </c>
      <c r="N487" s="2">
        <v>0.82929589999999997</v>
      </c>
      <c r="O487" s="3" t="s">
        <v>6154</v>
      </c>
      <c r="P487" s="7">
        <v>0.64</v>
      </c>
      <c r="Q487" s="1" t="s">
        <v>6155</v>
      </c>
      <c r="R487" s="2">
        <v>0.52600000000000002</v>
      </c>
      <c r="S487" s="2">
        <f>59834/100000</f>
        <v>0.59833999999999998</v>
      </c>
      <c r="T487" s="2">
        <v>0.78135619999999995</v>
      </c>
    </row>
    <row r="488" spans="1:20">
      <c r="A488" s="3" t="s">
        <v>4230</v>
      </c>
      <c r="B488" s="1" t="s">
        <v>4231</v>
      </c>
      <c r="C488" s="3" t="s">
        <v>4232</v>
      </c>
      <c r="D488" s="3" t="s">
        <v>4233</v>
      </c>
      <c r="E488" s="3" t="s">
        <v>2850</v>
      </c>
      <c r="F488" s="3" t="s">
        <v>4234</v>
      </c>
      <c r="G488" s="3" t="s">
        <v>4235</v>
      </c>
      <c r="H488" s="11" t="s">
        <v>8253</v>
      </c>
      <c r="I488" s="3" t="s">
        <v>6156</v>
      </c>
      <c r="J488" s="7">
        <v>1.46</v>
      </c>
      <c r="K488" s="1" t="s">
        <v>6157</v>
      </c>
      <c r="L488" s="2">
        <v>0.70899999999999996</v>
      </c>
      <c r="M488" s="2">
        <f>100000/100000</f>
        <v>1</v>
      </c>
      <c r="N488" s="2">
        <v>0.82929589999999997</v>
      </c>
      <c r="O488" s="3" t="s">
        <v>6158</v>
      </c>
      <c r="P488" s="7">
        <v>0</v>
      </c>
      <c r="Q488" s="1" t="s">
        <v>774</v>
      </c>
      <c r="R488" s="2">
        <v>0.32800000000000001</v>
      </c>
      <c r="S488" s="2">
        <f>62740/100000</f>
        <v>0.62739999999999996</v>
      </c>
      <c r="T488" s="2">
        <v>0.79869500000000004</v>
      </c>
    </row>
    <row r="489" spans="1:20">
      <c r="A489" s="3" t="s">
        <v>4240</v>
      </c>
      <c r="B489" s="1" t="s">
        <v>4231</v>
      </c>
      <c r="C489" s="3" t="s">
        <v>4232</v>
      </c>
      <c r="D489" s="3" t="s">
        <v>4241</v>
      </c>
      <c r="E489" s="3" t="s">
        <v>4242</v>
      </c>
      <c r="F489" s="3" t="s">
        <v>4233</v>
      </c>
      <c r="G489" s="3" t="s">
        <v>2850</v>
      </c>
      <c r="H489" s="11" t="s">
        <v>8116</v>
      </c>
      <c r="I489" s="3" t="s">
        <v>6158</v>
      </c>
      <c r="J489" s="7">
        <v>0</v>
      </c>
      <c r="K489" s="1" t="s">
        <v>774</v>
      </c>
      <c r="L489" s="2">
        <v>0.32800000000000001</v>
      </c>
      <c r="M489" s="2">
        <f>62741/100000</f>
        <v>0.62741000000000002</v>
      </c>
      <c r="N489" s="2">
        <v>0.79869500000000004</v>
      </c>
      <c r="O489" s="3" t="s">
        <v>6159</v>
      </c>
      <c r="P489" s="7">
        <v>0.87</v>
      </c>
      <c r="Q489" s="1" t="s">
        <v>6160</v>
      </c>
      <c r="R489" s="2">
        <v>0.89300000000000002</v>
      </c>
      <c r="S489" s="2">
        <f>100000/100000</f>
        <v>1</v>
      </c>
      <c r="T489" s="2">
        <v>0.82929589999999997</v>
      </c>
    </row>
    <row r="490" spans="1:20">
      <c r="A490" s="3" t="s">
        <v>4247</v>
      </c>
      <c r="B490" s="1" t="s">
        <v>4231</v>
      </c>
      <c r="C490" s="3" t="s">
        <v>4232</v>
      </c>
      <c r="D490" s="3" t="s">
        <v>4248</v>
      </c>
      <c r="E490" s="3" t="s">
        <v>4249</v>
      </c>
      <c r="F490" s="3" t="s">
        <v>4233</v>
      </c>
      <c r="G490" s="3" t="s">
        <v>2850</v>
      </c>
      <c r="H490" s="11" t="s">
        <v>8116</v>
      </c>
      <c r="I490" s="3" t="s">
        <v>6161</v>
      </c>
      <c r="J490" s="7">
        <v>0.9</v>
      </c>
      <c r="K490" s="1" t="s">
        <v>6162</v>
      </c>
      <c r="L490" s="2">
        <v>0.91800000000000004</v>
      </c>
      <c r="M490" s="2">
        <f>100000/100000</f>
        <v>1</v>
      </c>
      <c r="N490" s="2">
        <v>0.82929589999999997</v>
      </c>
      <c r="O490" s="3" t="s">
        <v>6163</v>
      </c>
      <c r="P490" s="7">
        <v>0.71</v>
      </c>
      <c r="Q490" s="1" t="s">
        <v>6164</v>
      </c>
      <c r="R490" s="2">
        <v>0.73099999999999998</v>
      </c>
      <c r="S490" s="2">
        <f>100000/100000</f>
        <v>1</v>
      </c>
      <c r="T490" s="2">
        <v>0.82929589999999997</v>
      </c>
    </row>
    <row r="491" spans="1:20">
      <c r="A491" s="3" t="s">
        <v>4254</v>
      </c>
      <c r="B491" s="1" t="s">
        <v>4255</v>
      </c>
      <c r="C491" s="3" t="s">
        <v>4256</v>
      </c>
      <c r="D491" s="3" t="s">
        <v>4257</v>
      </c>
      <c r="E491" s="3" t="s">
        <v>4258</v>
      </c>
      <c r="F491" s="3" t="s">
        <v>4259</v>
      </c>
      <c r="G491" s="3" t="s">
        <v>4260</v>
      </c>
      <c r="H491" s="11" t="s">
        <v>8117</v>
      </c>
      <c r="I491" s="3" t="s">
        <v>6165</v>
      </c>
      <c r="J491" s="7">
        <v>1.24</v>
      </c>
      <c r="K491" s="1" t="s">
        <v>6166</v>
      </c>
      <c r="L491" s="2">
        <v>0.53400000000000003</v>
      </c>
      <c r="M491" s="2">
        <f>56844/100000</f>
        <v>0.56843999999999995</v>
      </c>
      <c r="N491" s="2">
        <v>0.76153519999999997</v>
      </c>
      <c r="O491" s="3" t="s">
        <v>6167</v>
      </c>
      <c r="P491" s="7">
        <v>0.99</v>
      </c>
      <c r="Q491" s="1" t="s">
        <v>6168</v>
      </c>
      <c r="R491" s="2">
        <v>0.97599999999999998</v>
      </c>
      <c r="S491" s="2">
        <f>100000/100000</f>
        <v>1</v>
      </c>
      <c r="T491" s="2">
        <v>0.82929589999999997</v>
      </c>
    </row>
    <row r="492" spans="1:20">
      <c r="A492" s="3" t="s">
        <v>4265</v>
      </c>
      <c r="B492" s="1" t="s">
        <v>4255</v>
      </c>
      <c r="C492" s="3" t="s">
        <v>4256</v>
      </c>
      <c r="D492" s="3" t="s">
        <v>4266</v>
      </c>
      <c r="E492" s="3" t="s">
        <v>4267</v>
      </c>
      <c r="F492" s="3" t="s">
        <v>4268</v>
      </c>
      <c r="G492" s="3" t="s">
        <v>4269</v>
      </c>
      <c r="H492" s="11" t="s">
        <v>8117</v>
      </c>
      <c r="I492" s="3" t="s">
        <v>6169</v>
      </c>
      <c r="J492" s="7">
        <v>1.19</v>
      </c>
      <c r="K492" s="1" t="s">
        <v>5556</v>
      </c>
      <c r="L492" s="2">
        <v>0.39200000000000002</v>
      </c>
      <c r="M492" s="2">
        <f>43782/100000</f>
        <v>0.43781999999999999</v>
      </c>
      <c r="N492" s="2">
        <v>0.68822830000000002</v>
      </c>
      <c r="O492" s="3" t="s">
        <v>6170</v>
      </c>
      <c r="P492" s="7">
        <v>0.66</v>
      </c>
      <c r="Q492" s="1" t="s">
        <v>6171</v>
      </c>
      <c r="R492" s="2">
        <v>0.17799999999999999</v>
      </c>
      <c r="S492" s="2">
        <f>19970/100000</f>
        <v>0.19969999999999999</v>
      </c>
      <c r="T492" s="2">
        <v>0.48870029999999998</v>
      </c>
    </row>
    <row r="493" spans="1:20">
      <c r="A493" s="3" t="s">
        <v>4274</v>
      </c>
      <c r="B493" s="1" t="s">
        <v>4275</v>
      </c>
      <c r="C493" s="3" t="s">
        <v>4276</v>
      </c>
      <c r="D493" s="3" t="s">
        <v>4277</v>
      </c>
      <c r="E493" s="3" t="s">
        <v>4278</v>
      </c>
      <c r="F493" s="3" t="s">
        <v>4279</v>
      </c>
      <c r="G493" s="3" t="s">
        <v>4280</v>
      </c>
      <c r="H493" s="11" t="s">
        <v>8241</v>
      </c>
      <c r="I493" s="3" t="s">
        <v>6172</v>
      </c>
      <c r="J493" s="7">
        <v>0.77</v>
      </c>
      <c r="K493" s="1" t="s">
        <v>4627</v>
      </c>
      <c r="L493" s="2">
        <v>0.61199999999999999</v>
      </c>
      <c r="M493" s="2">
        <f>66938/100000</f>
        <v>0.66937999999999998</v>
      </c>
      <c r="N493" s="2">
        <v>0.80511429999999995</v>
      </c>
      <c r="O493" s="3" t="s">
        <v>6173</v>
      </c>
      <c r="P493" s="7">
        <v>0.35</v>
      </c>
      <c r="Q493" s="1" t="s">
        <v>6174</v>
      </c>
      <c r="R493" s="2">
        <v>0.11700000000000001</v>
      </c>
      <c r="S493" s="2">
        <f>13398/100000</f>
        <v>0.13397999999999999</v>
      </c>
      <c r="T493" s="2">
        <v>0.40098479999999997</v>
      </c>
    </row>
    <row r="494" spans="1:20">
      <c r="A494" s="3" t="s">
        <v>4285</v>
      </c>
      <c r="B494" s="1" t="s">
        <v>4286</v>
      </c>
      <c r="C494" s="3" t="s">
        <v>4287</v>
      </c>
      <c r="D494" s="3" t="s">
        <v>4288</v>
      </c>
      <c r="E494" s="3" t="s">
        <v>4289</v>
      </c>
      <c r="F494" s="3" t="s">
        <v>4290</v>
      </c>
      <c r="G494" s="3" t="s">
        <v>4291</v>
      </c>
      <c r="H494" s="11" t="s">
        <v>8254</v>
      </c>
      <c r="I494" s="3" t="s">
        <v>6175</v>
      </c>
      <c r="J494" s="7">
        <v>1.8</v>
      </c>
      <c r="K494" s="1" t="s">
        <v>6176</v>
      </c>
      <c r="L494" s="2">
        <v>0.125</v>
      </c>
      <c r="M494" s="2">
        <f>12381/100000</f>
        <v>0.12381</v>
      </c>
      <c r="N494" s="2">
        <v>0.39063799999999999</v>
      </c>
      <c r="O494" s="3" t="s">
        <v>6177</v>
      </c>
      <c r="P494" s="7">
        <v>2.41</v>
      </c>
      <c r="Q494" s="1" t="s">
        <v>6178</v>
      </c>
      <c r="R494" s="2">
        <v>1.9699999999999999E-2</v>
      </c>
      <c r="S494" s="2">
        <f>3288/100000</f>
        <v>3.288E-2</v>
      </c>
      <c r="T494" s="2">
        <v>0.18855079999999999</v>
      </c>
    </row>
    <row r="495" spans="1:20">
      <c r="A495" s="3" t="s">
        <v>4296</v>
      </c>
      <c r="B495" s="1" t="s">
        <v>4286</v>
      </c>
      <c r="C495" s="3" t="s">
        <v>4287</v>
      </c>
      <c r="D495" s="3" t="s">
        <v>4297</v>
      </c>
      <c r="E495" s="3" t="s">
        <v>4298</v>
      </c>
      <c r="F495" s="3" t="s">
        <v>4299</v>
      </c>
      <c r="G495" s="3" t="s">
        <v>4300</v>
      </c>
      <c r="H495" s="11" t="s">
        <v>8255</v>
      </c>
      <c r="I495" s="3" t="s">
        <v>6179</v>
      </c>
      <c r="J495" s="7">
        <v>1.46</v>
      </c>
      <c r="K495" s="1" t="s">
        <v>6180</v>
      </c>
      <c r="L495" s="2">
        <v>0.10299999999999999</v>
      </c>
      <c r="M495" s="2">
        <f>12599/100000</f>
        <v>0.12598999999999999</v>
      </c>
      <c r="N495" s="2">
        <v>0.39428360000000001</v>
      </c>
      <c r="O495" s="3" t="s">
        <v>6181</v>
      </c>
      <c r="P495" s="7">
        <v>0.44</v>
      </c>
      <c r="Q495" s="1" t="s">
        <v>6182</v>
      </c>
      <c r="R495" s="2">
        <v>3.8399999999999997E-2</v>
      </c>
      <c r="S495" s="2">
        <f>4649/100000</f>
        <v>4.6489999999999997E-2</v>
      </c>
      <c r="T495" s="2">
        <v>0.2336375</v>
      </c>
    </row>
    <row r="496" spans="1:20">
      <c r="A496" s="3" t="s">
        <v>4305</v>
      </c>
      <c r="B496" s="1" t="s">
        <v>4306</v>
      </c>
      <c r="C496" s="3" t="s">
        <v>4307</v>
      </c>
      <c r="D496" s="3" t="s">
        <v>4308</v>
      </c>
      <c r="E496" s="3" t="s">
        <v>4170</v>
      </c>
      <c r="F496" s="3" t="s">
        <v>4309</v>
      </c>
      <c r="G496" s="3" t="s">
        <v>2850</v>
      </c>
      <c r="H496" s="11" t="s">
        <v>8256</v>
      </c>
      <c r="I496" s="3" t="s">
        <v>6183</v>
      </c>
      <c r="J496" s="7">
        <v>1.49</v>
      </c>
      <c r="K496" s="1" t="s">
        <v>6184</v>
      </c>
      <c r="L496" s="2">
        <v>9.6199999999999994E-2</v>
      </c>
      <c r="M496" s="2">
        <f>11671/100000</f>
        <v>0.11670999999999999</v>
      </c>
      <c r="N496" s="2">
        <v>0.38060929999999998</v>
      </c>
      <c r="O496" s="3" t="s">
        <v>6185</v>
      </c>
      <c r="P496" s="7">
        <v>0.64</v>
      </c>
      <c r="Q496" s="1" t="s">
        <v>6186</v>
      </c>
      <c r="R496" s="2">
        <v>6.8900000000000003E-2</v>
      </c>
      <c r="S496" s="2">
        <f>8257/100000</f>
        <v>8.2570000000000005E-2</v>
      </c>
      <c r="T496" s="2">
        <v>0.32477109999999998</v>
      </c>
    </row>
    <row r="497" spans="1:20">
      <c r="A497" s="3" t="s">
        <v>4314</v>
      </c>
      <c r="B497" s="1" t="s">
        <v>4315</v>
      </c>
      <c r="C497" s="3" t="s">
        <v>4316</v>
      </c>
      <c r="D497" s="3" t="s">
        <v>4317</v>
      </c>
      <c r="E497" s="3" t="s">
        <v>4318</v>
      </c>
      <c r="F497" s="3" t="s">
        <v>4319</v>
      </c>
      <c r="G497" s="3" t="s">
        <v>4320</v>
      </c>
      <c r="H497" s="11" t="s">
        <v>8257</v>
      </c>
      <c r="I497" s="3" t="s">
        <v>6187</v>
      </c>
      <c r="J497" s="7">
        <v>2.12</v>
      </c>
      <c r="K497" s="1" t="s">
        <v>6188</v>
      </c>
      <c r="L497" s="2">
        <v>0.19400000000000001</v>
      </c>
      <c r="M497" s="2">
        <f>17812/100000</f>
        <v>0.17812</v>
      </c>
      <c r="N497" s="2">
        <v>0.46586650000000002</v>
      </c>
      <c r="O497" s="3" t="s">
        <v>6189</v>
      </c>
      <c r="P497" s="7">
        <v>0.76</v>
      </c>
      <c r="Q497" s="1" t="s">
        <v>6190</v>
      </c>
      <c r="R497" s="2">
        <v>0.78100000000000003</v>
      </c>
      <c r="S497" s="2">
        <f>100000/100000</f>
        <v>1</v>
      </c>
      <c r="T497" s="2">
        <v>0.82929589999999997</v>
      </c>
    </row>
    <row r="498" spans="1:20">
      <c r="A498" s="3" t="s">
        <v>4325</v>
      </c>
      <c r="B498" s="1" t="s">
        <v>4326</v>
      </c>
      <c r="C498" s="3" t="s">
        <v>4327</v>
      </c>
      <c r="D498" s="3" t="s">
        <v>4328</v>
      </c>
      <c r="E498" s="3" t="s">
        <v>4329</v>
      </c>
      <c r="F498" s="3" t="s">
        <v>4330</v>
      </c>
      <c r="G498" s="3" t="s">
        <v>4331</v>
      </c>
      <c r="H498" s="11" t="s">
        <v>8159</v>
      </c>
      <c r="I498" s="3" t="s">
        <v>6191</v>
      </c>
      <c r="J498" s="7">
        <v>0.48</v>
      </c>
      <c r="K498" s="1" t="s">
        <v>6192</v>
      </c>
      <c r="L498" s="2">
        <v>0.19500000000000001</v>
      </c>
      <c r="M498" s="2">
        <f>22258/100000</f>
        <v>0.22258</v>
      </c>
      <c r="N498" s="2">
        <v>0.51721090000000003</v>
      </c>
      <c r="O498" s="3" t="s">
        <v>6193</v>
      </c>
      <c r="P498" s="7">
        <v>0.47</v>
      </c>
      <c r="Q498" s="1" t="s">
        <v>6194</v>
      </c>
      <c r="R498" s="2">
        <v>0.28000000000000003</v>
      </c>
      <c r="S498" s="2">
        <f>33291/100000</f>
        <v>0.33290999999999998</v>
      </c>
      <c r="T498" s="2">
        <v>0.61526179999999997</v>
      </c>
    </row>
    <row r="499" spans="1:20">
      <c r="A499" s="3" t="s">
        <v>4335</v>
      </c>
      <c r="B499" s="1" t="s">
        <v>4326</v>
      </c>
      <c r="C499" s="3" t="s">
        <v>4327</v>
      </c>
      <c r="D499" s="3" t="s">
        <v>4336</v>
      </c>
      <c r="E499" s="3" t="s">
        <v>4337</v>
      </c>
      <c r="F499" s="3" t="s">
        <v>4338</v>
      </c>
      <c r="G499" s="3" t="s">
        <v>4339</v>
      </c>
      <c r="H499" s="11" t="s">
        <v>8159</v>
      </c>
      <c r="I499" s="3" t="s">
        <v>6195</v>
      </c>
      <c r="J499" s="7">
        <v>0.5</v>
      </c>
      <c r="K499" s="1" t="s">
        <v>6196</v>
      </c>
      <c r="L499" s="2">
        <v>8.5500000000000007E-2</v>
      </c>
      <c r="M499" s="2">
        <f>9158/100000</f>
        <v>9.1579999999999995E-2</v>
      </c>
      <c r="N499" s="2">
        <v>0.34636670000000003</v>
      </c>
      <c r="O499" s="3" t="s">
        <v>6197</v>
      </c>
      <c r="P499" s="7">
        <v>0.84</v>
      </c>
      <c r="Q499" s="1" t="s">
        <v>6198</v>
      </c>
      <c r="R499" s="2">
        <v>0.67200000000000004</v>
      </c>
      <c r="S499" s="2">
        <f>70606/100000</f>
        <v>0.70606000000000002</v>
      </c>
      <c r="T499" s="2">
        <v>0.82137769999999999</v>
      </c>
    </row>
    <row r="500" spans="1:20">
      <c r="A500" s="3" t="s">
        <v>4344</v>
      </c>
      <c r="B500" s="1" t="s">
        <v>4345</v>
      </c>
      <c r="C500" s="3" t="s">
        <v>4346</v>
      </c>
      <c r="D500" s="3" t="s">
        <v>4347</v>
      </c>
      <c r="E500" s="3" t="s">
        <v>4348</v>
      </c>
      <c r="F500" s="3" t="s">
        <v>4349</v>
      </c>
      <c r="G500" s="3" t="s">
        <v>4350</v>
      </c>
      <c r="H500" s="11" t="s">
        <v>8258</v>
      </c>
      <c r="I500" s="3" t="s">
        <v>6199</v>
      </c>
      <c r="J500" s="7">
        <v>2.11</v>
      </c>
      <c r="K500" s="1" t="s">
        <v>6200</v>
      </c>
      <c r="L500" s="2">
        <v>9.8100000000000007E-2</v>
      </c>
      <c r="M500" s="2">
        <f>9911/100000</f>
        <v>9.9110000000000004E-2</v>
      </c>
      <c r="N500" s="2">
        <v>0.3565972</v>
      </c>
      <c r="O500" s="3" t="s">
        <v>6201</v>
      </c>
      <c r="P500" s="7">
        <v>1.04</v>
      </c>
      <c r="Q500" s="1" t="s">
        <v>6202</v>
      </c>
      <c r="R500" s="2">
        <v>0.88500000000000001</v>
      </c>
      <c r="S500" s="2">
        <f>100000/100000</f>
        <v>1</v>
      </c>
      <c r="T500" s="2">
        <v>0.82929589999999997</v>
      </c>
    </row>
    <row r="501" spans="1:20">
      <c r="A501" s="3" t="s">
        <v>4354</v>
      </c>
      <c r="B501" s="1" t="s">
        <v>4345</v>
      </c>
      <c r="C501" s="3" t="s">
        <v>4346</v>
      </c>
      <c r="D501" s="3" t="s">
        <v>4355</v>
      </c>
      <c r="E501" s="3" t="s">
        <v>4356</v>
      </c>
      <c r="F501" s="3" t="s">
        <v>4349</v>
      </c>
      <c r="G501" s="3" t="s">
        <v>4350</v>
      </c>
      <c r="H501" s="11" t="s">
        <v>8259</v>
      </c>
      <c r="I501" s="3" t="s">
        <v>6203</v>
      </c>
      <c r="J501" s="7">
        <v>0.67</v>
      </c>
      <c r="K501" s="1" t="s">
        <v>6204</v>
      </c>
      <c r="L501" s="2">
        <v>0.57299999999999995</v>
      </c>
      <c r="M501" s="2">
        <f>77092/100000</f>
        <v>0.77092000000000005</v>
      </c>
      <c r="N501" s="2">
        <v>0.82929589999999997</v>
      </c>
      <c r="O501" s="3" t="s">
        <v>6205</v>
      </c>
      <c r="P501" s="7">
        <v>1.69</v>
      </c>
      <c r="Q501" s="1" t="s">
        <v>6206</v>
      </c>
      <c r="R501" s="2">
        <v>2.4400000000000002E-2</v>
      </c>
      <c r="S501" s="2">
        <f>3103/100000</f>
        <v>3.1029999999999999E-2</v>
      </c>
      <c r="T501" s="2">
        <v>0.1841517</v>
      </c>
    </row>
    <row r="502" spans="1:20">
      <c r="A502" s="3" t="s">
        <v>4361</v>
      </c>
      <c r="B502" s="1" t="s">
        <v>4362</v>
      </c>
      <c r="C502" s="3" t="s">
        <v>4363</v>
      </c>
      <c r="D502" s="3" t="s">
        <v>4364</v>
      </c>
      <c r="E502" s="3" t="s">
        <v>4365</v>
      </c>
      <c r="F502" s="3" t="s">
        <v>4366</v>
      </c>
      <c r="G502" s="3" t="s">
        <v>4367</v>
      </c>
      <c r="H502" s="11" t="s">
        <v>8260</v>
      </c>
      <c r="I502" s="3" t="s">
        <v>6207</v>
      </c>
      <c r="J502" s="7">
        <v>0.91</v>
      </c>
      <c r="K502" s="1" t="s">
        <v>6208</v>
      </c>
      <c r="L502" s="2">
        <v>0.76600000000000001</v>
      </c>
      <c r="M502" s="2">
        <f>87807/100000</f>
        <v>0.87807000000000002</v>
      </c>
      <c r="N502" s="2">
        <v>0.82929589999999997</v>
      </c>
      <c r="O502" s="3" t="s">
        <v>6209</v>
      </c>
      <c r="P502" s="7">
        <v>1.05</v>
      </c>
      <c r="Q502" s="1" t="s">
        <v>1657</v>
      </c>
      <c r="R502" s="2">
        <v>0.86699999999999999</v>
      </c>
      <c r="S502" s="2">
        <f>87283/100000</f>
        <v>0.87282999999999999</v>
      </c>
      <c r="T502" s="2">
        <v>0.82929589999999997</v>
      </c>
    </row>
    <row r="503" spans="1:20">
      <c r="A503" s="3" t="s">
        <v>4372</v>
      </c>
      <c r="B503" s="1" t="s">
        <v>4362</v>
      </c>
      <c r="C503" s="3" t="s">
        <v>4363</v>
      </c>
      <c r="D503" s="3" t="s">
        <v>4373</v>
      </c>
      <c r="E503" s="3" t="s">
        <v>4374</v>
      </c>
      <c r="F503" s="3" t="s">
        <v>4366</v>
      </c>
      <c r="G503" s="3" t="s">
        <v>4367</v>
      </c>
      <c r="H503" s="11" t="s">
        <v>8261</v>
      </c>
      <c r="I503" s="3" t="s">
        <v>6210</v>
      </c>
      <c r="J503" s="7">
        <v>1.06</v>
      </c>
      <c r="K503" s="1" t="s">
        <v>6211</v>
      </c>
      <c r="L503" s="2">
        <v>0.83</v>
      </c>
      <c r="M503" s="2">
        <f>89804/100000</f>
        <v>0.89803999999999995</v>
      </c>
      <c r="N503" s="2">
        <v>0.82929589999999997</v>
      </c>
      <c r="O503" s="3" t="s">
        <v>6212</v>
      </c>
      <c r="P503" s="7">
        <v>1.24</v>
      </c>
      <c r="Q503" s="1" t="s">
        <v>6213</v>
      </c>
      <c r="R503" s="2">
        <v>0.39</v>
      </c>
      <c r="S503" s="2">
        <f>40282/100000</f>
        <v>0.40282000000000001</v>
      </c>
      <c r="T503" s="2">
        <v>0.66626050000000003</v>
      </c>
    </row>
    <row r="504" spans="1:20">
      <c r="A504" s="3" t="s">
        <v>4379</v>
      </c>
      <c r="B504" s="1" t="s">
        <v>4362</v>
      </c>
      <c r="C504" s="3" t="s">
        <v>4363</v>
      </c>
      <c r="D504" s="3" t="s">
        <v>4366</v>
      </c>
      <c r="E504" s="3" t="s">
        <v>4367</v>
      </c>
      <c r="F504" s="3" t="s">
        <v>4380</v>
      </c>
      <c r="G504" s="3" t="s">
        <v>4381</v>
      </c>
      <c r="H504" s="11" t="s">
        <v>8150</v>
      </c>
      <c r="I504" s="3" t="s">
        <v>6214</v>
      </c>
      <c r="J504" s="7">
        <v>1</v>
      </c>
      <c r="K504" s="1" t="s">
        <v>6215</v>
      </c>
      <c r="L504" s="2">
        <v>0.99299999999999999</v>
      </c>
      <c r="M504" s="2">
        <f>100000/100000</f>
        <v>1</v>
      </c>
      <c r="N504" s="2">
        <v>0.82929589999999997</v>
      </c>
      <c r="O504" s="3" t="s">
        <v>6216</v>
      </c>
      <c r="P504" s="7">
        <v>0.87</v>
      </c>
      <c r="Q504" s="1" t="s">
        <v>6217</v>
      </c>
      <c r="R504" s="2">
        <v>0.72599999999999998</v>
      </c>
      <c r="S504" s="2">
        <f>85916/100000</f>
        <v>0.85916000000000003</v>
      </c>
      <c r="T504" s="2">
        <v>0.82929589999999997</v>
      </c>
    </row>
    <row r="505" spans="1:20">
      <c r="A505" s="3" t="s">
        <v>4386</v>
      </c>
      <c r="B505" s="1" t="s">
        <v>4387</v>
      </c>
      <c r="C505" s="3" t="s">
        <v>4388</v>
      </c>
      <c r="D505" s="3" t="s">
        <v>4389</v>
      </c>
      <c r="E505" s="3" t="s">
        <v>4390</v>
      </c>
      <c r="F505" s="3" t="s">
        <v>4391</v>
      </c>
      <c r="G505" s="3" t="s">
        <v>4392</v>
      </c>
      <c r="H505" s="11" t="s">
        <v>8262</v>
      </c>
      <c r="I505" s="3" t="s">
        <v>6218</v>
      </c>
      <c r="J505" s="7">
        <v>1.66</v>
      </c>
      <c r="K505" s="1" t="s">
        <v>6219</v>
      </c>
      <c r="L505" s="2">
        <v>0.38400000000000001</v>
      </c>
      <c r="M505" s="2">
        <f>43585/100000</f>
        <v>0.43585000000000002</v>
      </c>
      <c r="N505" s="2">
        <v>0.68761059999999996</v>
      </c>
      <c r="O505" s="3" t="s">
        <v>6220</v>
      </c>
      <c r="P505" s="7">
        <v>0.69</v>
      </c>
      <c r="Q505" s="1" t="s">
        <v>6221</v>
      </c>
      <c r="R505" s="2">
        <v>0.71199999999999997</v>
      </c>
      <c r="S505" s="2">
        <f>100000/100000</f>
        <v>1</v>
      </c>
      <c r="T505" s="2">
        <v>0.82929589999999997</v>
      </c>
    </row>
    <row r="506" spans="1:20">
      <c r="A506" s="3" t="s">
        <v>4397</v>
      </c>
      <c r="B506" s="1" t="s">
        <v>4398</v>
      </c>
      <c r="C506" s="3" t="s">
        <v>4399</v>
      </c>
      <c r="D506" s="3" t="s">
        <v>4400</v>
      </c>
      <c r="E506" s="3" t="s">
        <v>4401</v>
      </c>
      <c r="F506" s="3" t="s">
        <v>4402</v>
      </c>
      <c r="G506" s="3" t="s">
        <v>4403</v>
      </c>
      <c r="H506" s="11" t="s">
        <v>8213</v>
      </c>
      <c r="I506" s="3" t="s">
        <v>6222</v>
      </c>
      <c r="J506" s="7">
        <v>0.63</v>
      </c>
      <c r="K506" s="1" t="s">
        <v>6223</v>
      </c>
      <c r="L506" s="2">
        <v>0.25800000000000001</v>
      </c>
      <c r="M506" s="2">
        <f>31813/100000</f>
        <v>0.31813000000000002</v>
      </c>
      <c r="N506" s="2">
        <v>0.60300220000000004</v>
      </c>
      <c r="O506" s="3" t="s">
        <v>6224</v>
      </c>
      <c r="P506" s="7">
        <v>0.95</v>
      </c>
      <c r="Q506" s="1" t="s">
        <v>6225</v>
      </c>
      <c r="R506" s="2">
        <v>0.80600000000000005</v>
      </c>
      <c r="S506" s="2">
        <f>85022/100000</f>
        <v>0.85021999999999998</v>
      </c>
      <c r="T506" s="2">
        <v>0.82929589999999997</v>
      </c>
    </row>
    <row r="507" spans="1:20">
      <c r="A507" s="3" t="s">
        <v>4408</v>
      </c>
      <c r="B507" s="1" t="s">
        <v>4398</v>
      </c>
      <c r="C507" s="3" t="s">
        <v>4399</v>
      </c>
      <c r="D507" s="3" t="s">
        <v>4409</v>
      </c>
      <c r="E507" s="3" t="s">
        <v>4410</v>
      </c>
      <c r="F507" s="3" t="s">
        <v>4411</v>
      </c>
      <c r="G507" s="3" t="s">
        <v>4412</v>
      </c>
      <c r="H507" s="11" t="s">
        <v>8213</v>
      </c>
      <c r="I507" s="3" t="s">
        <v>6226</v>
      </c>
      <c r="J507" s="7">
        <v>1</v>
      </c>
      <c r="K507" s="1" t="s">
        <v>6227</v>
      </c>
      <c r="L507" s="2">
        <v>0.998</v>
      </c>
      <c r="M507" s="2">
        <f>100000/100000</f>
        <v>1</v>
      </c>
      <c r="N507" s="2">
        <v>0.82929589999999997</v>
      </c>
      <c r="O507" s="3" t="s">
        <v>6228</v>
      </c>
      <c r="P507" s="7">
        <v>1.1299999999999999</v>
      </c>
      <c r="Q507" s="1" t="s">
        <v>6229</v>
      </c>
      <c r="R507" s="2">
        <v>0.64</v>
      </c>
      <c r="S507" s="2">
        <f>67963/100000</f>
        <v>0.67962999999999996</v>
      </c>
      <c r="T507" s="2">
        <v>0.81053850000000005</v>
      </c>
    </row>
    <row r="508" spans="1:20">
      <c r="A508" s="3" t="s">
        <v>4417</v>
      </c>
      <c r="B508" s="1" t="s">
        <v>4418</v>
      </c>
      <c r="C508" s="3" t="s">
        <v>4419</v>
      </c>
      <c r="D508" s="3" t="s">
        <v>4420</v>
      </c>
      <c r="E508" s="3" t="s">
        <v>4421</v>
      </c>
      <c r="F508" s="3" t="s">
        <v>4422</v>
      </c>
      <c r="G508" s="3" t="s">
        <v>4423</v>
      </c>
      <c r="H508" s="11" t="s">
        <v>8114</v>
      </c>
      <c r="I508" s="3" t="s">
        <v>6230</v>
      </c>
      <c r="J508" s="7">
        <v>1.62</v>
      </c>
      <c r="K508" s="1" t="s">
        <v>6231</v>
      </c>
      <c r="L508" s="2">
        <v>0.41099999999999998</v>
      </c>
      <c r="M508" s="2">
        <f>43988/100000</f>
        <v>0.43987999999999999</v>
      </c>
      <c r="N508" s="2">
        <v>0.69010380000000004</v>
      </c>
      <c r="O508" s="3" t="s">
        <v>6232</v>
      </c>
      <c r="P508" s="7">
        <v>0</v>
      </c>
      <c r="Q508" s="1" t="s">
        <v>774</v>
      </c>
      <c r="R508" s="2">
        <v>0.14899999999999999</v>
      </c>
      <c r="S508" s="2">
        <f>17946/100000</f>
        <v>0.17946000000000001</v>
      </c>
      <c r="T508" s="2">
        <v>0.46658119999999997</v>
      </c>
    </row>
    <row r="509" spans="1:20">
      <c r="A509" s="3" t="s">
        <v>4428</v>
      </c>
      <c r="B509" s="1" t="s">
        <v>4418</v>
      </c>
      <c r="C509" s="3" t="s">
        <v>4419</v>
      </c>
      <c r="D509" s="3" t="s">
        <v>4429</v>
      </c>
      <c r="E509" s="3" t="s">
        <v>4430</v>
      </c>
      <c r="F509" s="3" t="s">
        <v>4422</v>
      </c>
      <c r="G509" s="3" t="s">
        <v>4423</v>
      </c>
      <c r="H509" s="11" t="s">
        <v>8263</v>
      </c>
      <c r="I509" s="3" t="s">
        <v>6233</v>
      </c>
      <c r="J509" s="7">
        <v>1.76</v>
      </c>
      <c r="K509" s="1" t="s">
        <v>6234</v>
      </c>
      <c r="L509" s="2">
        <v>0.33300000000000002</v>
      </c>
      <c r="M509" s="2">
        <f>42568/100000</f>
        <v>0.42568</v>
      </c>
      <c r="N509" s="2">
        <v>0.68104299999999995</v>
      </c>
      <c r="O509" s="3" t="s">
        <v>6235</v>
      </c>
      <c r="P509" s="7">
        <v>1.39</v>
      </c>
      <c r="Q509" s="1" t="s">
        <v>6236</v>
      </c>
      <c r="R509" s="2">
        <v>0.51900000000000002</v>
      </c>
      <c r="S509" s="2">
        <f>53958/100000</f>
        <v>0.53957999999999995</v>
      </c>
      <c r="T509" s="2">
        <v>0.74478149999999999</v>
      </c>
    </row>
    <row r="510" spans="1:20">
      <c r="A510" s="3" t="s">
        <v>4435</v>
      </c>
      <c r="B510" s="1" t="s">
        <v>4418</v>
      </c>
      <c r="C510" s="3" t="s">
        <v>4419</v>
      </c>
      <c r="D510" s="3" t="s">
        <v>4436</v>
      </c>
      <c r="E510" s="3" t="s">
        <v>4437</v>
      </c>
      <c r="F510" s="3" t="s">
        <v>4422</v>
      </c>
      <c r="G510" s="3" t="s">
        <v>4423</v>
      </c>
      <c r="H510" s="11" t="s">
        <v>8263</v>
      </c>
      <c r="I510" s="3" t="s">
        <v>6237</v>
      </c>
      <c r="J510" s="7">
        <v>1.1200000000000001</v>
      </c>
      <c r="K510" s="1" t="s">
        <v>6238</v>
      </c>
      <c r="L510" s="2">
        <v>0.874</v>
      </c>
      <c r="M510" s="2">
        <f>100000/100000</f>
        <v>1</v>
      </c>
      <c r="N510" s="2">
        <v>0.82929589999999997</v>
      </c>
      <c r="O510" s="3" t="s">
        <v>6239</v>
      </c>
      <c r="P510" s="7">
        <v>0.65</v>
      </c>
      <c r="Q510" s="1" t="s">
        <v>6240</v>
      </c>
      <c r="R510" s="2">
        <v>0.54400000000000004</v>
      </c>
      <c r="S510" s="2">
        <f>59865/100000</f>
        <v>0.59865000000000002</v>
      </c>
      <c r="T510" s="2">
        <v>0.78146979999999999</v>
      </c>
    </row>
    <row r="511" spans="1:20">
      <c r="A511" s="3" t="s">
        <v>4442</v>
      </c>
      <c r="B511" s="1" t="s">
        <v>4443</v>
      </c>
      <c r="C511" s="3" t="s">
        <v>4444</v>
      </c>
      <c r="D511" s="3" t="s">
        <v>4445</v>
      </c>
      <c r="E511" s="3" t="s">
        <v>4446</v>
      </c>
      <c r="F511" s="3" t="s">
        <v>4447</v>
      </c>
      <c r="G511" s="3" t="s">
        <v>4448</v>
      </c>
      <c r="H511" s="11" t="s">
        <v>8264</v>
      </c>
      <c r="I511" s="3" t="s">
        <v>6241</v>
      </c>
      <c r="J511" s="7">
        <v>1.0900000000000001</v>
      </c>
      <c r="K511" s="1" t="s">
        <v>6242</v>
      </c>
      <c r="L511" s="2">
        <v>0.69099999999999995</v>
      </c>
      <c r="M511" s="2">
        <f>74388/100000</f>
        <v>0.74387999999999999</v>
      </c>
      <c r="N511" s="2">
        <v>0.82337070000000001</v>
      </c>
      <c r="O511" s="3" t="s">
        <v>6243</v>
      </c>
      <c r="P511" s="7">
        <v>0.9</v>
      </c>
      <c r="Q511" s="1" t="s">
        <v>6244</v>
      </c>
      <c r="R511" s="2">
        <v>0.61899999999999999</v>
      </c>
      <c r="S511" s="2">
        <f>67707/100000</f>
        <v>0.67706999999999995</v>
      </c>
      <c r="T511" s="2">
        <v>0.80846399999999996</v>
      </c>
    </row>
    <row r="512" spans="1:20">
      <c r="A512" s="3" t="s">
        <v>4453</v>
      </c>
      <c r="B512" s="1" t="s">
        <v>4443</v>
      </c>
      <c r="C512" s="3" t="s">
        <v>4444</v>
      </c>
      <c r="D512" s="3" t="s">
        <v>4454</v>
      </c>
      <c r="E512" s="3" t="s">
        <v>4455</v>
      </c>
      <c r="F512" s="3" t="s">
        <v>4447</v>
      </c>
      <c r="G512" s="3" t="s">
        <v>4448</v>
      </c>
      <c r="H512" s="11" t="s">
        <v>8265</v>
      </c>
      <c r="I512" s="3" t="s">
        <v>6245</v>
      </c>
      <c r="J512" s="7">
        <v>1.31</v>
      </c>
      <c r="K512" s="1" t="s">
        <v>6246</v>
      </c>
      <c r="L512" s="2">
        <v>0.17699999999999999</v>
      </c>
      <c r="M512" s="2">
        <f>20993/100000</f>
        <v>0.20993000000000001</v>
      </c>
      <c r="N512" s="2">
        <v>0.50155810000000001</v>
      </c>
      <c r="O512" s="3" t="s">
        <v>6247</v>
      </c>
      <c r="P512" s="7">
        <v>0.72</v>
      </c>
      <c r="Q512" s="1" t="s">
        <v>6248</v>
      </c>
      <c r="R512" s="2">
        <v>0.14899999999999999</v>
      </c>
      <c r="S512" s="2">
        <f>16464/100000</f>
        <v>0.16464000000000001</v>
      </c>
      <c r="T512" s="2">
        <v>0.45067819999999997</v>
      </c>
    </row>
    <row r="513" spans="1:20">
      <c r="A513" s="3" t="s">
        <v>4460</v>
      </c>
      <c r="B513" s="1" t="s">
        <v>4461</v>
      </c>
      <c r="C513" s="3" t="s">
        <v>4462</v>
      </c>
      <c r="D513" s="3" t="s">
        <v>4463</v>
      </c>
      <c r="E513" s="3" t="s">
        <v>4464</v>
      </c>
      <c r="F513" s="3" t="s">
        <v>4465</v>
      </c>
      <c r="G513" s="3" t="s">
        <v>4466</v>
      </c>
      <c r="H513" s="11" t="s">
        <v>8266</v>
      </c>
      <c r="I513" s="3" t="s">
        <v>6249</v>
      </c>
      <c r="J513" s="7">
        <v>1.83</v>
      </c>
      <c r="K513" s="1" t="s">
        <v>6250</v>
      </c>
      <c r="L513" s="2">
        <v>0.29699999999999999</v>
      </c>
      <c r="M513" s="2">
        <f>41872/100000</f>
        <v>0.41871999999999998</v>
      </c>
      <c r="N513" s="2">
        <v>0.67565790000000003</v>
      </c>
      <c r="O513" s="3" t="s">
        <v>6251</v>
      </c>
      <c r="P513" s="7">
        <v>0.74</v>
      </c>
      <c r="Q513" s="1" t="s">
        <v>6252</v>
      </c>
      <c r="R513" s="2">
        <v>0.76900000000000002</v>
      </c>
      <c r="S513" s="2">
        <f>100000/100000</f>
        <v>1</v>
      </c>
      <c r="T513" s="2">
        <v>0.82929589999999997</v>
      </c>
    </row>
    <row r="514" spans="1:20">
      <c r="A514" s="3" t="s">
        <v>4471</v>
      </c>
      <c r="B514" s="1" t="s">
        <v>4461</v>
      </c>
      <c r="C514" s="3" t="s">
        <v>4462</v>
      </c>
      <c r="D514" s="3" t="s">
        <v>4472</v>
      </c>
      <c r="E514" s="3" t="s">
        <v>4473</v>
      </c>
      <c r="F514" s="3" t="s">
        <v>4465</v>
      </c>
      <c r="G514" s="3" t="s">
        <v>4466</v>
      </c>
      <c r="H514" s="11" t="s">
        <v>8266</v>
      </c>
      <c r="I514" s="3" t="s">
        <v>6253</v>
      </c>
      <c r="J514" s="7">
        <v>1.47</v>
      </c>
      <c r="K514" s="1" t="s">
        <v>6254</v>
      </c>
      <c r="L514" s="2">
        <v>0.51400000000000001</v>
      </c>
      <c r="M514" s="2">
        <f>72515/100000</f>
        <v>0.72514999999999996</v>
      </c>
      <c r="N514" s="2">
        <v>0.82137769999999999</v>
      </c>
      <c r="O514" s="3" t="s">
        <v>6255</v>
      </c>
      <c r="P514" s="7">
        <v>0.56000000000000005</v>
      </c>
      <c r="Q514" s="1" t="s">
        <v>6256</v>
      </c>
      <c r="R514" s="2">
        <v>0.40699999999999997</v>
      </c>
      <c r="S514" s="2">
        <f>45394/100000</f>
        <v>0.45394000000000001</v>
      </c>
      <c r="T514" s="2">
        <v>0.70008709999999996</v>
      </c>
    </row>
    <row r="515" spans="1:20">
      <c r="A515" s="3" t="s">
        <v>4478</v>
      </c>
      <c r="B515" s="1" t="s">
        <v>4461</v>
      </c>
      <c r="C515" s="3" t="s">
        <v>4462</v>
      </c>
      <c r="D515" s="3" t="s">
        <v>4479</v>
      </c>
      <c r="E515" s="3" t="s">
        <v>4480</v>
      </c>
      <c r="F515" s="3" t="s">
        <v>4465</v>
      </c>
      <c r="G515" s="3" t="s">
        <v>4466</v>
      </c>
      <c r="H515" s="11" t="s">
        <v>8266</v>
      </c>
      <c r="I515" s="3" t="s">
        <v>6257</v>
      </c>
      <c r="J515" s="7">
        <v>0.89</v>
      </c>
      <c r="K515" s="1" t="s">
        <v>6258</v>
      </c>
      <c r="L515" s="2">
        <v>0.90600000000000003</v>
      </c>
      <c r="M515" s="2">
        <f>100000/100000</f>
        <v>1</v>
      </c>
      <c r="N515" s="2">
        <v>0.82929589999999997</v>
      </c>
      <c r="O515" s="3" t="s">
        <v>6259</v>
      </c>
      <c r="P515" s="7">
        <v>0</v>
      </c>
      <c r="Q515" s="1" t="s">
        <v>774</v>
      </c>
      <c r="R515" s="2">
        <v>0.40899999999999997</v>
      </c>
      <c r="S515" s="2">
        <f>65176/100000</f>
        <v>0.65176000000000001</v>
      </c>
      <c r="T515" s="2">
        <v>0.80365339999999996</v>
      </c>
    </row>
    <row r="516" spans="1:20">
      <c r="A516" s="3" t="s">
        <v>4485</v>
      </c>
      <c r="B516" s="1" t="s">
        <v>4486</v>
      </c>
      <c r="C516" s="3" t="s">
        <v>4487</v>
      </c>
      <c r="D516" s="3" t="s">
        <v>4488</v>
      </c>
      <c r="E516" s="3" t="s">
        <v>4489</v>
      </c>
      <c r="F516" s="3" t="s">
        <v>4490</v>
      </c>
      <c r="G516" s="3" t="s">
        <v>4491</v>
      </c>
      <c r="H516" s="11" t="s">
        <v>8267</v>
      </c>
      <c r="I516" s="3" t="s">
        <v>6260</v>
      </c>
      <c r="J516" s="7">
        <v>1.43</v>
      </c>
      <c r="K516" s="1" t="s">
        <v>6261</v>
      </c>
      <c r="L516" s="2">
        <v>0.54500000000000004</v>
      </c>
      <c r="M516" s="2">
        <f>72583/100000</f>
        <v>0.72582999999999998</v>
      </c>
      <c r="N516" s="2">
        <v>0.82137769999999999</v>
      </c>
      <c r="O516" s="3" t="s">
        <v>6262</v>
      </c>
      <c r="P516" s="7">
        <v>1.52</v>
      </c>
      <c r="Q516" s="1" t="s">
        <v>6263</v>
      </c>
      <c r="R516" s="2">
        <v>0.246</v>
      </c>
      <c r="S516" s="2">
        <f>26388/100000</f>
        <v>0.26388</v>
      </c>
      <c r="T516" s="2">
        <v>0.56484999999999996</v>
      </c>
    </row>
    <row r="517" spans="1:20">
      <c r="A517" s="3" t="s">
        <v>4494</v>
      </c>
      <c r="B517" s="1" t="s">
        <v>4495</v>
      </c>
      <c r="C517" s="3" t="s">
        <v>4496</v>
      </c>
      <c r="D517" s="3" t="s">
        <v>4497</v>
      </c>
      <c r="E517" s="3" t="s">
        <v>4498</v>
      </c>
      <c r="F517" s="3" t="s">
        <v>4499</v>
      </c>
      <c r="G517" s="3" t="s">
        <v>4500</v>
      </c>
      <c r="H517" s="11" t="s">
        <v>8268</v>
      </c>
      <c r="I517" s="3" t="s">
        <v>6264</v>
      </c>
      <c r="J517" s="7">
        <v>1.06</v>
      </c>
      <c r="K517" s="1" t="s">
        <v>6265</v>
      </c>
      <c r="L517" s="2">
        <v>0.80900000000000005</v>
      </c>
      <c r="M517" s="2">
        <f>81672/100000</f>
        <v>0.81672</v>
      </c>
      <c r="N517" s="2">
        <v>0.82929589999999997</v>
      </c>
      <c r="O517" s="3" t="s">
        <v>6266</v>
      </c>
      <c r="P517" s="7">
        <v>0.98</v>
      </c>
      <c r="Q517" s="1" t="s">
        <v>6267</v>
      </c>
      <c r="R517" s="2">
        <v>0.92</v>
      </c>
      <c r="S517" s="2">
        <f>100000/100000</f>
        <v>1</v>
      </c>
      <c r="T517" s="2">
        <v>0.82929589999999997</v>
      </c>
    </row>
    <row r="518" spans="1:20">
      <c r="A518" s="3" t="s">
        <v>4505</v>
      </c>
      <c r="B518" s="1" t="s">
        <v>4495</v>
      </c>
      <c r="C518" s="3" t="s">
        <v>4496</v>
      </c>
      <c r="D518" s="3" t="s">
        <v>4506</v>
      </c>
      <c r="E518" s="3" t="s">
        <v>4507</v>
      </c>
      <c r="F518" s="3" t="s">
        <v>4499</v>
      </c>
      <c r="G518" s="3" t="s">
        <v>4500</v>
      </c>
      <c r="H518" s="11" t="s">
        <v>8268</v>
      </c>
      <c r="I518" s="3" t="s">
        <v>6268</v>
      </c>
      <c r="J518" s="7">
        <v>1.07</v>
      </c>
      <c r="K518" s="1" t="s">
        <v>6269</v>
      </c>
      <c r="L518" s="2">
        <v>0.76100000000000001</v>
      </c>
      <c r="M518" s="2">
        <f>81471/100000</f>
        <v>0.81471000000000005</v>
      </c>
      <c r="N518" s="2">
        <v>0.82929589999999997</v>
      </c>
      <c r="O518" s="3" t="s">
        <v>6270</v>
      </c>
      <c r="P518" s="7">
        <v>0.78</v>
      </c>
      <c r="Q518" s="1" t="s">
        <v>6271</v>
      </c>
      <c r="R518" s="2">
        <v>0.30099999999999999</v>
      </c>
      <c r="S518" s="2">
        <f>32793/100000</f>
        <v>0.32793</v>
      </c>
      <c r="T518" s="2">
        <v>0.61380469999999998</v>
      </c>
    </row>
  </sheetData>
  <mergeCells count="10">
    <mergeCell ref="G1:G2"/>
    <mergeCell ref="I1:N1"/>
    <mergeCell ref="O1:T1"/>
    <mergeCell ref="A1:A2"/>
    <mergeCell ref="B1:B2"/>
    <mergeCell ref="C1:C2"/>
    <mergeCell ref="D1:D2"/>
    <mergeCell ref="E1:E2"/>
    <mergeCell ref="F1:F2"/>
    <mergeCell ref="H1:H2"/>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A1:T518"/>
  <sheetViews>
    <sheetView topLeftCell="R1" zoomScale="85" zoomScaleNormal="85" workbookViewId="0">
      <selection activeCell="T2" sqref="T2"/>
    </sheetView>
  </sheetViews>
  <sheetFormatPr defaultRowHeight="14.25"/>
  <cols>
    <col min="1" max="1" width="13.125" style="3" customWidth="1"/>
    <col min="2" max="2" width="15.375" style="1" customWidth="1"/>
    <col min="3" max="3" width="10.875" style="3" customWidth="1"/>
    <col min="4" max="4" width="7.625" style="3" customWidth="1"/>
    <col min="5" max="5" width="11.75" style="3" customWidth="1"/>
    <col min="6" max="6" width="8.375" style="3" customWidth="1"/>
    <col min="7" max="7" width="11.625" style="3" customWidth="1"/>
    <col min="8" max="8" width="13.75" style="3" bestFit="1" customWidth="1"/>
    <col min="9" max="9" width="9" style="3"/>
    <col min="10" max="10" width="9" style="7"/>
    <col min="11" max="11" width="10.125" style="1" customWidth="1"/>
    <col min="12" max="14" width="10.625" style="1" customWidth="1"/>
    <col min="15" max="15" width="9" style="3"/>
    <col min="16" max="16" width="9" style="7"/>
    <col min="17" max="17" width="10.125" style="1" customWidth="1"/>
    <col min="18" max="20" width="10.625" style="1" customWidth="1"/>
  </cols>
  <sheetData>
    <row r="1" spans="1:20">
      <c r="A1" s="16" t="s">
        <v>0</v>
      </c>
      <c r="B1" s="16" t="s">
        <v>1</v>
      </c>
      <c r="C1" s="16" t="s">
        <v>2</v>
      </c>
      <c r="D1" s="16" t="s">
        <v>3</v>
      </c>
      <c r="E1" s="16" t="s">
        <v>4</v>
      </c>
      <c r="F1" s="16" t="s">
        <v>5</v>
      </c>
      <c r="G1" s="16" t="s">
        <v>4</v>
      </c>
      <c r="H1" s="17" t="s">
        <v>8046</v>
      </c>
      <c r="I1" s="15" t="s">
        <v>11</v>
      </c>
      <c r="J1" s="16"/>
      <c r="K1" s="16"/>
      <c r="L1" s="16"/>
      <c r="M1" s="16"/>
      <c r="N1" s="16"/>
      <c r="O1" s="15" t="s">
        <v>12</v>
      </c>
      <c r="P1" s="16"/>
      <c r="Q1" s="16"/>
      <c r="R1" s="16"/>
      <c r="S1" s="16"/>
      <c r="T1" s="16"/>
    </row>
    <row r="2" spans="1:20" ht="42.75">
      <c r="A2" s="16"/>
      <c r="B2" s="16"/>
      <c r="C2" s="16"/>
      <c r="D2" s="16"/>
      <c r="E2" s="16"/>
      <c r="F2" s="16"/>
      <c r="G2" s="16"/>
      <c r="H2" s="18"/>
      <c r="I2" s="9" t="s">
        <v>6</v>
      </c>
      <c r="J2" s="6" t="s">
        <v>7</v>
      </c>
      <c r="K2" s="9" t="s">
        <v>8</v>
      </c>
      <c r="L2" s="10" t="s">
        <v>9</v>
      </c>
      <c r="M2" s="10" t="s">
        <v>10</v>
      </c>
      <c r="N2" s="10" t="s">
        <v>8269</v>
      </c>
      <c r="O2" s="9" t="s">
        <v>6</v>
      </c>
      <c r="P2" s="6" t="s">
        <v>7</v>
      </c>
      <c r="Q2" s="9" t="s">
        <v>8</v>
      </c>
      <c r="R2" s="10" t="s">
        <v>9</v>
      </c>
      <c r="S2" s="10" t="s">
        <v>10</v>
      </c>
      <c r="T2" s="10" t="s">
        <v>8269</v>
      </c>
    </row>
    <row r="3" spans="1:20">
      <c r="A3" s="3" t="s">
        <v>13</v>
      </c>
      <c r="B3" s="1" t="s">
        <v>14</v>
      </c>
      <c r="C3" s="3" t="s">
        <v>15</v>
      </c>
      <c r="D3" s="3" t="s">
        <v>16</v>
      </c>
      <c r="E3" s="3" t="s">
        <v>17</v>
      </c>
      <c r="F3" s="3" t="s">
        <v>18</v>
      </c>
      <c r="G3" s="3" t="s">
        <v>19</v>
      </c>
      <c r="H3" s="11" t="s">
        <v>8047</v>
      </c>
      <c r="I3" s="3" t="s">
        <v>6272</v>
      </c>
      <c r="J3" s="7">
        <v>1.49</v>
      </c>
      <c r="K3" s="2" t="s">
        <v>6273</v>
      </c>
      <c r="L3" s="2">
        <v>0.16500000000000001</v>
      </c>
      <c r="M3" s="2">
        <f>16574/100000</f>
        <v>0.16574</v>
      </c>
      <c r="N3" s="2">
        <v>0.45196710000000001</v>
      </c>
      <c r="O3" s="3" t="s">
        <v>6274</v>
      </c>
      <c r="P3" s="7">
        <v>1.39</v>
      </c>
      <c r="Q3" s="2" t="s">
        <v>6275</v>
      </c>
      <c r="R3" s="2">
        <v>0.216</v>
      </c>
      <c r="S3" s="2">
        <f>27217/100000</f>
        <v>0.27217000000000002</v>
      </c>
      <c r="T3" s="2">
        <v>0.56620890000000001</v>
      </c>
    </row>
    <row r="4" spans="1:20">
      <c r="A4" s="3" t="s">
        <v>24</v>
      </c>
      <c r="B4" s="1" t="s">
        <v>25</v>
      </c>
      <c r="C4" s="3" t="s">
        <v>26</v>
      </c>
      <c r="D4" s="3" t="s">
        <v>27</v>
      </c>
      <c r="E4" s="3" t="s">
        <v>28</v>
      </c>
      <c r="F4" s="3" t="s">
        <v>29</v>
      </c>
      <c r="G4" s="3" t="s">
        <v>30</v>
      </c>
      <c r="H4" s="11" t="s">
        <v>8048</v>
      </c>
      <c r="I4" s="3" t="s">
        <v>6276</v>
      </c>
      <c r="J4" s="7">
        <v>1.37</v>
      </c>
      <c r="K4" s="2" t="s">
        <v>6277</v>
      </c>
      <c r="L4" s="2">
        <v>0.27300000000000002</v>
      </c>
      <c r="M4" s="2">
        <f>31633/100000</f>
        <v>0.31633</v>
      </c>
      <c r="N4" s="2">
        <v>0.60187690000000005</v>
      </c>
      <c r="O4" s="3" t="s">
        <v>6278</v>
      </c>
      <c r="P4" s="7">
        <v>1.34</v>
      </c>
      <c r="Q4" s="2" t="s">
        <v>6279</v>
      </c>
      <c r="R4" s="2">
        <v>0.26800000000000002</v>
      </c>
      <c r="S4" s="2">
        <f>28305/100000</f>
        <v>0.28305000000000002</v>
      </c>
      <c r="T4" s="2">
        <v>0.57234689999999999</v>
      </c>
    </row>
    <row r="5" spans="1:20">
      <c r="A5" s="3" t="s">
        <v>35</v>
      </c>
      <c r="B5" s="1" t="s">
        <v>36</v>
      </c>
      <c r="C5" s="3" t="s">
        <v>37</v>
      </c>
      <c r="D5" s="3" t="s">
        <v>38</v>
      </c>
      <c r="E5" s="3" t="s">
        <v>39</v>
      </c>
      <c r="F5" s="3" t="s">
        <v>40</v>
      </c>
      <c r="G5" s="3" t="s">
        <v>41</v>
      </c>
      <c r="H5" s="11" t="s">
        <v>8048</v>
      </c>
      <c r="I5" s="3" t="s">
        <v>6280</v>
      </c>
      <c r="J5" s="7">
        <v>1.2</v>
      </c>
      <c r="K5" s="2" t="s">
        <v>6281</v>
      </c>
      <c r="L5" s="2">
        <v>0.40799999999999997</v>
      </c>
      <c r="M5" s="2">
        <f>41114/100000</f>
        <v>0.41114000000000001</v>
      </c>
      <c r="N5" s="2">
        <v>0.67127389999999998</v>
      </c>
      <c r="O5" s="3" t="s">
        <v>6282</v>
      </c>
      <c r="P5" s="7">
        <v>0.73</v>
      </c>
      <c r="Q5" s="2" t="s">
        <v>6283</v>
      </c>
      <c r="R5" s="2">
        <v>0.19600000000000001</v>
      </c>
      <c r="S5" s="2">
        <f>23446/100000</f>
        <v>0.23446</v>
      </c>
      <c r="T5" s="2">
        <v>0.53403999999999996</v>
      </c>
    </row>
    <row r="6" spans="1:20">
      <c r="A6" s="3" t="s">
        <v>46</v>
      </c>
      <c r="B6" s="1" t="s">
        <v>47</v>
      </c>
      <c r="C6" s="3" t="s">
        <v>48</v>
      </c>
      <c r="D6" s="3" t="s">
        <v>49</v>
      </c>
      <c r="E6" s="3" t="s">
        <v>50</v>
      </c>
      <c r="F6" s="3" t="s">
        <v>51</v>
      </c>
      <c r="G6" s="3" t="s">
        <v>52</v>
      </c>
      <c r="H6" s="11" t="s">
        <v>8049</v>
      </c>
      <c r="I6" s="3" t="s">
        <v>6284</v>
      </c>
      <c r="J6" s="7">
        <v>1</v>
      </c>
      <c r="K6" s="2" t="s">
        <v>6285</v>
      </c>
      <c r="L6" s="2">
        <v>0.99</v>
      </c>
      <c r="M6" s="2">
        <f>100000/100000</f>
        <v>1</v>
      </c>
      <c r="N6" s="2">
        <v>0.82929589999999997</v>
      </c>
      <c r="O6" s="3" t="s">
        <v>6286</v>
      </c>
      <c r="P6" s="7">
        <v>0.42</v>
      </c>
      <c r="Q6" s="2" t="s">
        <v>6287</v>
      </c>
      <c r="R6" s="2">
        <v>4.87E-2</v>
      </c>
      <c r="S6" s="2">
        <f>4662/100000</f>
        <v>4.6620000000000002E-2</v>
      </c>
      <c r="T6" s="2">
        <v>0.23368259999999999</v>
      </c>
    </row>
    <row r="7" spans="1:20">
      <c r="A7" s="3" t="s">
        <v>57</v>
      </c>
      <c r="B7" s="1" t="s">
        <v>58</v>
      </c>
      <c r="C7" s="3" t="s">
        <v>59</v>
      </c>
      <c r="D7" s="3" t="s">
        <v>60</v>
      </c>
      <c r="E7" s="3" t="s">
        <v>61</v>
      </c>
      <c r="F7" s="3" t="s">
        <v>62</v>
      </c>
      <c r="G7" s="3" t="s">
        <v>63</v>
      </c>
      <c r="H7" s="11" t="s">
        <v>8050</v>
      </c>
      <c r="I7" s="3" t="s">
        <v>6288</v>
      </c>
      <c r="J7" s="7">
        <v>1.1000000000000001</v>
      </c>
      <c r="K7" s="2" t="s">
        <v>6289</v>
      </c>
      <c r="L7" s="2">
        <v>0.78800000000000003</v>
      </c>
      <c r="M7" s="2">
        <f>85774/100000</f>
        <v>0.85773999999999995</v>
      </c>
      <c r="N7" s="2">
        <v>0.82929589999999997</v>
      </c>
      <c r="O7" s="3" t="s">
        <v>6290</v>
      </c>
      <c r="P7" s="7">
        <v>1.29</v>
      </c>
      <c r="Q7" s="2" t="s">
        <v>6291</v>
      </c>
      <c r="R7" s="2">
        <v>0.48799999999999999</v>
      </c>
      <c r="S7" s="2">
        <f>53713/100000</f>
        <v>0.53713</v>
      </c>
      <c r="T7" s="2">
        <v>0.74478149999999999</v>
      </c>
    </row>
    <row r="8" spans="1:20">
      <c r="A8" s="3" t="s">
        <v>68</v>
      </c>
      <c r="B8" s="1" t="s">
        <v>69</v>
      </c>
      <c r="C8" s="3" t="s">
        <v>70</v>
      </c>
      <c r="D8" s="3" t="s">
        <v>71</v>
      </c>
      <c r="E8" s="3" t="s">
        <v>72</v>
      </c>
      <c r="F8" s="3" t="s">
        <v>73</v>
      </c>
      <c r="G8" s="3" t="s">
        <v>74</v>
      </c>
      <c r="H8" s="11" t="s">
        <v>8049</v>
      </c>
      <c r="I8" s="3" t="s">
        <v>6292</v>
      </c>
      <c r="J8" s="7">
        <v>1.06</v>
      </c>
      <c r="K8" s="2" t="s">
        <v>6293</v>
      </c>
      <c r="L8" s="2">
        <v>0.65</v>
      </c>
      <c r="M8" s="2">
        <f>68194/100000</f>
        <v>0.68193999999999999</v>
      </c>
      <c r="N8" s="2">
        <v>0.81216840000000001</v>
      </c>
      <c r="O8" s="3" t="s">
        <v>6294</v>
      </c>
      <c r="P8" s="7">
        <v>1.4</v>
      </c>
      <c r="Q8" s="2" t="s">
        <v>6295</v>
      </c>
      <c r="R8" s="2">
        <v>4.9699999999999996E-3</v>
      </c>
      <c r="S8" s="2">
        <f>559/100000</f>
        <v>5.5900000000000004E-3</v>
      </c>
      <c r="T8" s="2">
        <v>5.8106579999999998E-2</v>
      </c>
    </row>
    <row r="9" spans="1:20">
      <c r="A9" s="3" t="s">
        <v>79</v>
      </c>
      <c r="B9" s="1" t="s">
        <v>80</v>
      </c>
      <c r="C9" s="3" t="s">
        <v>81</v>
      </c>
      <c r="D9" s="3" t="s">
        <v>82</v>
      </c>
      <c r="E9" s="3" t="s">
        <v>83</v>
      </c>
      <c r="F9" s="3" t="s">
        <v>84</v>
      </c>
      <c r="G9" s="3" t="s">
        <v>85</v>
      </c>
      <c r="H9" s="11" t="s">
        <v>8050</v>
      </c>
      <c r="I9" s="3" t="s">
        <v>6296</v>
      </c>
      <c r="J9" s="7">
        <v>1.65</v>
      </c>
      <c r="K9" s="2" t="s">
        <v>6297</v>
      </c>
      <c r="L9" s="2">
        <v>0.106</v>
      </c>
      <c r="M9" s="2">
        <f>11369/100000</f>
        <v>0.11369</v>
      </c>
      <c r="N9" s="2">
        <v>0.37913859999999999</v>
      </c>
      <c r="O9" s="3" t="s">
        <v>6298</v>
      </c>
      <c r="P9" s="7">
        <v>0.49</v>
      </c>
      <c r="Q9" s="2" t="s">
        <v>6299</v>
      </c>
      <c r="R9" s="2">
        <v>0.214</v>
      </c>
      <c r="S9" s="2">
        <f>29345/100000</f>
        <v>0.29344999999999999</v>
      </c>
      <c r="T9" s="2">
        <v>0.57823020000000003</v>
      </c>
    </row>
    <row r="10" spans="1:20">
      <c r="A10" s="3" t="s">
        <v>90</v>
      </c>
      <c r="B10" s="1" t="s">
        <v>91</v>
      </c>
      <c r="C10" s="3" t="s">
        <v>92</v>
      </c>
      <c r="D10" s="3" t="s">
        <v>93</v>
      </c>
      <c r="E10" s="3" t="s">
        <v>94</v>
      </c>
      <c r="F10" s="3" t="s">
        <v>95</v>
      </c>
      <c r="G10" s="3" t="s">
        <v>96</v>
      </c>
      <c r="H10" s="11" t="s">
        <v>8051</v>
      </c>
      <c r="I10" s="3" t="s">
        <v>6300</v>
      </c>
      <c r="J10" s="7">
        <v>0.94</v>
      </c>
      <c r="K10" s="2" t="s">
        <v>6301</v>
      </c>
      <c r="L10" s="2">
        <v>0.86199999999999999</v>
      </c>
      <c r="M10" s="2">
        <f>87309/100000</f>
        <v>0.87309000000000003</v>
      </c>
      <c r="N10" s="2">
        <v>0.82929589999999997</v>
      </c>
      <c r="O10" s="3" t="s">
        <v>6302</v>
      </c>
      <c r="P10" s="7">
        <v>1.05</v>
      </c>
      <c r="Q10" s="2" t="s">
        <v>6303</v>
      </c>
      <c r="R10" s="2">
        <v>0.88500000000000001</v>
      </c>
      <c r="S10" s="2">
        <f>100000/100000</f>
        <v>1</v>
      </c>
      <c r="T10" s="2">
        <v>0.82929589999999997</v>
      </c>
    </row>
    <row r="11" spans="1:20">
      <c r="A11" s="3" t="s">
        <v>101</v>
      </c>
      <c r="B11" s="1" t="s">
        <v>102</v>
      </c>
      <c r="C11" s="3" t="s">
        <v>103</v>
      </c>
      <c r="D11" s="3" t="s">
        <v>104</v>
      </c>
      <c r="E11" s="3" t="s">
        <v>105</v>
      </c>
      <c r="F11" s="3" t="s">
        <v>106</v>
      </c>
      <c r="G11" s="3" t="s">
        <v>107</v>
      </c>
      <c r="H11" s="11" t="s">
        <v>8052</v>
      </c>
      <c r="I11" s="3" t="s">
        <v>6304</v>
      </c>
      <c r="J11" s="7">
        <v>1.33</v>
      </c>
      <c r="K11" s="2" t="s">
        <v>6305</v>
      </c>
      <c r="L11" s="2">
        <v>0.10199999999999999</v>
      </c>
      <c r="M11" s="2">
        <f>11999/100000</f>
        <v>0.11999</v>
      </c>
      <c r="N11" s="2">
        <v>0.38416460000000002</v>
      </c>
      <c r="O11" s="3" t="s">
        <v>6306</v>
      </c>
      <c r="P11" s="7">
        <v>0.91</v>
      </c>
      <c r="Q11" s="2" t="s">
        <v>6307</v>
      </c>
      <c r="R11" s="2">
        <v>0.59399999999999997</v>
      </c>
      <c r="S11" s="2">
        <f>59950/100000</f>
        <v>0.59950000000000003</v>
      </c>
      <c r="T11" s="2">
        <v>0.78197970000000006</v>
      </c>
    </row>
    <row r="12" spans="1:20">
      <c r="A12" s="3" t="s">
        <v>112</v>
      </c>
      <c r="B12" s="1" t="s">
        <v>102</v>
      </c>
      <c r="C12" s="3" t="s">
        <v>103</v>
      </c>
      <c r="D12" s="3" t="s">
        <v>113</v>
      </c>
      <c r="E12" s="3" t="s">
        <v>114</v>
      </c>
      <c r="F12" s="3" t="s">
        <v>115</v>
      </c>
      <c r="G12" s="3" t="s">
        <v>116</v>
      </c>
      <c r="H12" s="11" t="s">
        <v>8053</v>
      </c>
      <c r="I12" s="3" t="s">
        <v>6308</v>
      </c>
      <c r="J12" s="7">
        <v>1.75</v>
      </c>
      <c r="K12" s="2" t="s">
        <v>6309</v>
      </c>
      <c r="L12" s="2">
        <v>4.2000000000000003E-2</v>
      </c>
      <c r="M12" s="2">
        <f>4861/100000</f>
        <v>4.861E-2</v>
      </c>
      <c r="N12" s="2">
        <v>0.2376771</v>
      </c>
      <c r="O12" s="3" t="s">
        <v>6310</v>
      </c>
      <c r="P12" s="7">
        <v>1.33</v>
      </c>
      <c r="Q12" s="2" t="s">
        <v>6311</v>
      </c>
      <c r="R12" s="2">
        <v>0.34100000000000003</v>
      </c>
      <c r="S12" s="2">
        <f>39415/100000</f>
        <v>0.39415</v>
      </c>
      <c r="T12" s="2">
        <v>0.65983250000000004</v>
      </c>
    </row>
    <row r="13" spans="1:20">
      <c r="A13" s="3" t="s">
        <v>121</v>
      </c>
      <c r="B13" s="1" t="s">
        <v>122</v>
      </c>
      <c r="C13" s="3" t="s">
        <v>123</v>
      </c>
      <c r="D13" s="3" t="s">
        <v>124</v>
      </c>
      <c r="E13" s="3" t="s">
        <v>125</v>
      </c>
      <c r="F13" s="3" t="s">
        <v>126</v>
      </c>
      <c r="G13" s="3" t="s">
        <v>127</v>
      </c>
      <c r="H13" s="11" t="s">
        <v>8054</v>
      </c>
      <c r="I13" s="3" t="s">
        <v>6312</v>
      </c>
      <c r="J13" s="7">
        <v>1.05</v>
      </c>
      <c r="K13" s="2" t="s">
        <v>1611</v>
      </c>
      <c r="L13" s="2">
        <v>0.86299999999999999</v>
      </c>
      <c r="M13" s="2">
        <f>88842/100000</f>
        <v>0.88841999999999999</v>
      </c>
      <c r="N13" s="2">
        <v>0.82929589999999997</v>
      </c>
      <c r="O13" s="3" t="s">
        <v>6313</v>
      </c>
      <c r="P13" s="7">
        <v>1.35</v>
      </c>
      <c r="Q13" s="2" t="s">
        <v>6314</v>
      </c>
      <c r="R13" s="2">
        <v>0.33200000000000002</v>
      </c>
      <c r="S13" s="2">
        <f>36732/100000</f>
        <v>0.36731999999999998</v>
      </c>
      <c r="T13" s="2">
        <v>0.64231249999999995</v>
      </c>
    </row>
    <row r="14" spans="1:20">
      <c r="A14" s="3" t="s">
        <v>132</v>
      </c>
      <c r="B14" s="1" t="s">
        <v>122</v>
      </c>
      <c r="C14" s="3" t="s">
        <v>123</v>
      </c>
      <c r="D14" s="3" t="s">
        <v>133</v>
      </c>
      <c r="E14" s="3" t="s">
        <v>134</v>
      </c>
      <c r="F14" s="3" t="s">
        <v>135</v>
      </c>
      <c r="G14" s="3" t="s">
        <v>136</v>
      </c>
      <c r="H14" s="11" t="s">
        <v>8054</v>
      </c>
      <c r="I14" s="3" t="s">
        <v>6315</v>
      </c>
      <c r="J14" s="7">
        <v>1.07</v>
      </c>
      <c r="K14" s="2" t="s">
        <v>6316</v>
      </c>
      <c r="L14" s="2">
        <v>0.79700000000000004</v>
      </c>
      <c r="M14" s="2">
        <f>89361/100000</f>
        <v>0.89361000000000002</v>
      </c>
      <c r="N14" s="2">
        <v>0.82929589999999997</v>
      </c>
      <c r="O14" s="3" t="s">
        <v>6317</v>
      </c>
      <c r="P14" s="7">
        <v>0.95</v>
      </c>
      <c r="Q14" s="2" t="s">
        <v>6318</v>
      </c>
      <c r="R14" s="2">
        <v>0.85799999999999998</v>
      </c>
      <c r="S14" s="2">
        <f>88503/100000</f>
        <v>0.88502999999999998</v>
      </c>
      <c r="T14" s="2">
        <v>0.82929589999999997</v>
      </c>
    </row>
    <row r="15" spans="1:20">
      <c r="A15" s="3" t="s">
        <v>141</v>
      </c>
      <c r="B15" s="1" t="s">
        <v>142</v>
      </c>
      <c r="C15" s="3" t="s">
        <v>143</v>
      </c>
      <c r="D15" s="3" t="s">
        <v>144</v>
      </c>
      <c r="E15" s="3" t="s">
        <v>145</v>
      </c>
      <c r="F15" s="3" t="s">
        <v>146</v>
      </c>
      <c r="G15" s="3" t="s">
        <v>147</v>
      </c>
      <c r="H15" s="11" t="s">
        <v>8055</v>
      </c>
      <c r="I15" s="3" t="s">
        <v>6319</v>
      </c>
      <c r="J15" s="7">
        <v>1.1399999999999999</v>
      </c>
      <c r="K15" s="2" t="s">
        <v>6320</v>
      </c>
      <c r="L15" s="2">
        <v>0.76900000000000002</v>
      </c>
      <c r="M15" s="2">
        <f>80380/100000</f>
        <v>0.80379999999999996</v>
      </c>
      <c r="N15" s="2">
        <v>0.82929589999999997</v>
      </c>
      <c r="O15" s="3" t="s">
        <v>6321</v>
      </c>
      <c r="P15" s="7">
        <v>1.21</v>
      </c>
      <c r="Q15" s="2" t="s">
        <v>6322</v>
      </c>
      <c r="R15" s="2">
        <v>0.65100000000000002</v>
      </c>
      <c r="S15" s="2">
        <f>82111/100000</f>
        <v>0.82111000000000001</v>
      </c>
      <c r="T15" s="2">
        <v>0.82929589999999997</v>
      </c>
    </row>
    <row r="16" spans="1:20">
      <c r="A16" s="3" t="s">
        <v>152</v>
      </c>
      <c r="B16" s="1" t="s">
        <v>153</v>
      </c>
      <c r="C16" s="3" t="s">
        <v>154</v>
      </c>
      <c r="D16" s="3" t="s">
        <v>155</v>
      </c>
      <c r="E16" s="3" t="s">
        <v>156</v>
      </c>
      <c r="F16" s="3" t="s">
        <v>157</v>
      </c>
      <c r="G16" s="3" t="s">
        <v>158</v>
      </c>
      <c r="H16" s="11" t="s">
        <v>8056</v>
      </c>
      <c r="I16" s="3" t="s">
        <v>6323</v>
      </c>
      <c r="J16" s="7">
        <v>1.49</v>
      </c>
      <c r="K16" s="2" t="s">
        <v>6324</v>
      </c>
      <c r="L16" s="2">
        <v>0.436</v>
      </c>
      <c r="M16" s="2">
        <f>52737/100000</f>
        <v>0.52737000000000001</v>
      </c>
      <c r="N16" s="2">
        <v>0.74478149999999999</v>
      </c>
      <c r="O16" s="3" t="s">
        <v>6325</v>
      </c>
      <c r="P16" s="7">
        <v>0.89</v>
      </c>
      <c r="Q16" s="2" t="s">
        <v>6326</v>
      </c>
      <c r="R16" s="2">
        <v>0.85</v>
      </c>
      <c r="S16" s="2">
        <f>100000/100000</f>
        <v>1</v>
      </c>
      <c r="T16" s="2">
        <v>0.82929589999999997</v>
      </c>
    </row>
    <row r="17" spans="1:20">
      <c r="A17" s="3" t="s">
        <v>163</v>
      </c>
      <c r="B17" s="1" t="s">
        <v>153</v>
      </c>
      <c r="C17" s="3" t="s">
        <v>154</v>
      </c>
      <c r="D17" s="3" t="s">
        <v>164</v>
      </c>
      <c r="E17" s="3" t="s">
        <v>165</v>
      </c>
      <c r="F17" s="3" t="s">
        <v>166</v>
      </c>
      <c r="G17" s="3" t="s">
        <v>167</v>
      </c>
      <c r="H17" s="11" t="s">
        <v>8050</v>
      </c>
      <c r="I17" s="3" t="s">
        <v>6327</v>
      </c>
      <c r="J17" s="7">
        <v>1.64</v>
      </c>
      <c r="K17" s="2" t="s">
        <v>6328</v>
      </c>
      <c r="L17" s="2">
        <v>0.23499999999999999</v>
      </c>
      <c r="M17" s="2">
        <f>27846/100000</f>
        <v>0.27845999999999999</v>
      </c>
      <c r="N17" s="2">
        <v>0.56873700000000005</v>
      </c>
      <c r="O17" s="3" t="s">
        <v>6329</v>
      </c>
      <c r="P17" s="7">
        <v>1.81</v>
      </c>
      <c r="Q17" s="2" t="s">
        <v>6330</v>
      </c>
      <c r="R17" s="2">
        <v>0.10199999999999999</v>
      </c>
      <c r="S17" s="2">
        <f>14352/100000</f>
        <v>0.14352000000000001</v>
      </c>
      <c r="T17" s="2">
        <v>0.41635139999999998</v>
      </c>
    </row>
    <row r="18" spans="1:20">
      <c r="A18" s="3" t="s">
        <v>172</v>
      </c>
      <c r="B18" s="1" t="s">
        <v>173</v>
      </c>
      <c r="C18" s="3" t="s">
        <v>174</v>
      </c>
      <c r="D18" s="3" t="s">
        <v>175</v>
      </c>
      <c r="E18" s="3" t="s">
        <v>176</v>
      </c>
      <c r="F18" s="3" t="s">
        <v>177</v>
      </c>
      <c r="G18" s="3" t="s">
        <v>178</v>
      </c>
      <c r="H18" s="11" t="s">
        <v>8057</v>
      </c>
      <c r="I18" s="3" t="s">
        <v>6331</v>
      </c>
      <c r="J18" s="7">
        <v>0.51</v>
      </c>
      <c r="K18" s="2" t="s">
        <v>6332</v>
      </c>
      <c r="L18" s="2">
        <v>0.33300000000000002</v>
      </c>
      <c r="M18" s="2">
        <f>44252/100000</f>
        <v>0.44252000000000002</v>
      </c>
      <c r="N18" s="2">
        <v>0.69353810000000005</v>
      </c>
      <c r="O18" s="3" t="s">
        <v>6333</v>
      </c>
      <c r="P18" s="7">
        <v>1.52</v>
      </c>
      <c r="Q18" s="2" t="s">
        <v>6334</v>
      </c>
      <c r="R18" s="2">
        <v>0.17899999999999999</v>
      </c>
      <c r="S18" s="2">
        <f>18561/100000</f>
        <v>0.18561</v>
      </c>
      <c r="T18" s="2">
        <v>0.47329529999999997</v>
      </c>
    </row>
    <row r="19" spans="1:20">
      <c r="A19" s="3" t="s">
        <v>183</v>
      </c>
      <c r="B19" s="1" t="s">
        <v>184</v>
      </c>
      <c r="C19" s="3" t="s">
        <v>185</v>
      </c>
      <c r="D19" s="3" t="s">
        <v>186</v>
      </c>
      <c r="E19" s="3" t="s">
        <v>187</v>
      </c>
      <c r="F19" s="3" t="s">
        <v>188</v>
      </c>
      <c r="G19" s="3" t="s">
        <v>189</v>
      </c>
      <c r="H19" s="11" t="s">
        <v>8058</v>
      </c>
      <c r="I19" s="3" t="s">
        <v>6335</v>
      </c>
      <c r="J19" s="7">
        <v>1.84</v>
      </c>
      <c r="K19" s="2" t="s">
        <v>6336</v>
      </c>
      <c r="L19" s="2">
        <v>2.6599999999999999E-2</v>
      </c>
      <c r="M19" s="2">
        <f>3101/100000</f>
        <v>3.1009999999999999E-2</v>
      </c>
      <c r="N19" s="2">
        <v>0.1841517</v>
      </c>
      <c r="O19" s="3" t="s">
        <v>6337</v>
      </c>
      <c r="P19" s="7">
        <v>1.37</v>
      </c>
      <c r="Q19" s="2" t="s">
        <v>6338</v>
      </c>
      <c r="R19" s="2">
        <v>0.24</v>
      </c>
      <c r="S19" s="2">
        <f>27877/100000</f>
        <v>0.27877000000000002</v>
      </c>
      <c r="T19" s="2">
        <v>0.56965129999999997</v>
      </c>
    </row>
    <row r="20" spans="1:20">
      <c r="A20" s="3" t="s">
        <v>194</v>
      </c>
      <c r="B20" s="1" t="s">
        <v>184</v>
      </c>
      <c r="C20" s="3" t="s">
        <v>185</v>
      </c>
      <c r="D20" s="3" t="s">
        <v>195</v>
      </c>
      <c r="E20" s="3" t="s">
        <v>196</v>
      </c>
      <c r="F20" s="3" t="s">
        <v>197</v>
      </c>
      <c r="G20" s="3" t="s">
        <v>198</v>
      </c>
      <c r="H20" s="11" t="s">
        <v>8058</v>
      </c>
      <c r="I20" s="3" t="s">
        <v>6339</v>
      </c>
      <c r="J20" s="7">
        <v>2.78</v>
      </c>
      <c r="K20" s="2" t="s">
        <v>6340</v>
      </c>
      <c r="L20" s="2">
        <v>1.2099999999999999E-5</v>
      </c>
      <c r="M20" s="2">
        <f>18/100000</f>
        <v>1.8000000000000001E-4</v>
      </c>
      <c r="N20" s="2">
        <v>4.2399079999999997E-3</v>
      </c>
      <c r="O20" s="3" t="s">
        <v>6341</v>
      </c>
      <c r="P20" s="7">
        <v>0.78</v>
      </c>
      <c r="Q20" s="2" t="s">
        <v>6342</v>
      </c>
      <c r="R20" s="2">
        <v>0.45900000000000002</v>
      </c>
      <c r="S20" s="2">
        <f>54474/100000</f>
        <v>0.54474</v>
      </c>
      <c r="T20" s="2">
        <v>0.74606439999999996</v>
      </c>
    </row>
    <row r="21" spans="1:20">
      <c r="A21" s="3" t="s">
        <v>203</v>
      </c>
      <c r="B21" s="1" t="s">
        <v>204</v>
      </c>
      <c r="C21" s="3" t="s">
        <v>205</v>
      </c>
      <c r="D21" s="3" t="s">
        <v>206</v>
      </c>
      <c r="E21" s="3" t="s">
        <v>207</v>
      </c>
      <c r="F21" s="3" t="s">
        <v>208</v>
      </c>
      <c r="G21" s="3" t="s">
        <v>209</v>
      </c>
      <c r="H21" s="11" t="s">
        <v>8059</v>
      </c>
      <c r="I21" s="3" t="s">
        <v>6343</v>
      </c>
      <c r="J21" s="7">
        <v>0.21</v>
      </c>
      <c r="K21" s="2" t="s">
        <v>6344</v>
      </c>
      <c r="L21" s="2">
        <v>8.9599999999999999E-2</v>
      </c>
      <c r="M21" s="2">
        <f>9364/100000</f>
        <v>9.3640000000000001E-2</v>
      </c>
      <c r="N21" s="2">
        <v>0.34738940000000001</v>
      </c>
      <c r="O21" s="3" t="s">
        <v>6345</v>
      </c>
      <c r="P21" s="7">
        <v>0</v>
      </c>
      <c r="Q21" s="2" t="s">
        <v>774</v>
      </c>
      <c r="R21" s="2">
        <v>3.3099999999999997E-2</v>
      </c>
      <c r="S21" s="2">
        <f>4054/100000</f>
        <v>4.054E-2</v>
      </c>
      <c r="T21" s="2">
        <v>0.21413370000000001</v>
      </c>
    </row>
    <row r="22" spans="1:20">
      <c r="A22" s="3" t="s">
        <v>214</v>
      </c>
      <c r="B22" s="1" t="s">
        <v>215</v>
      </c>
      <c r="C22" s="3" t="s">
        <v>216</v>
      </c>
      <c r="D22" s="3" t="s">
        <v>217</v>
      </c>
      <c r="E22" s="3" t="s">
        <v>218</v>
      </c>
      <c r="F22" s="3" t="s">
        <v>219</v>
      </c>
      <c r="G22" s="3" t="s">
        <v>220</v>
      </c>
      <c r="H22" s="11" t="s">
        <v>8060</v>
      </c>
      <c r="I22" s="3" t="s">
        <v>6346</v>
      </c>
      <c r="J22" s="7">
        <v>1.03</v>
      </c>
      <c r="K22" s="2" t="s">
        <v>6347</v>
      </c>
      <c r="L22" s="2">
        <v>0.92700000000000005</v>
      </c>
      <c r="M22" s="2">
        <f>100000/100000</f>
        <v>1</v>
      </c>
      <c r="N22" s="2">
        <v>0.82929589999999997</v>
      </c>
      <c r="O22" s="3" t="s">
        <v>6348</v>
      </c>
      <c r="P22" s="7">
        <v>1.03</v>
      </c>
      <c r="Q22" s="2" t="s">
        <v>3910</v>
      </c>
      <c r="R22" s="2">
        <v>0.91800000000000004</v>
      </c>
      <c r="S22" s="2">
        <f>100000/100000</f>
        <v>1</v>
      </c>
      <c r="T22" s="2">
        <v>0.82929589999999997</v>
      </c>
    </row>
    <row r="23" spans="1:20">
      <c r="A23" s="3" t="s">
        <v>225</v>
      </c>
      <c r="B23" s="1" t="s">
        <v>215</v>
      </c>
      <c r="C23" s="3" t="s">
        <v>216</v>
      </c>
      <c r="D23" s="3" t="s">
        <v>226</v>
      </c>
      <c r="E23" s="3" t="s">
        <v>227</v>
      </c>
      <c r="F23" s="3" t="s">
        <v>228</v>
      </c>
      <c r="G23" s="3" t="s">
        <v>229</v>
      </c>
      <c r="H23" s="11" t="s">
        <v>8061</v>
      </c>
      <c r="I23" s="3" t="s">
        <v>6349</v>
      </c>
      <c r="J23" s="7">
        <v>0.92</v>
      </c>
      <c r="K23" s="2" t="s">
        <v>6350</v>
      </c>
      <c r="L23" s="2">
        <v>0.84799999999999998</v>
      </c>
      <c r="M23" s="2">
        <f>100000/100000</f>
        <v>1</v>
      </c>
      <c r="N23" s="2">
        <v>0.82929589999999997</v>
      </c>
      <c r="O23" s="3" t="s">
        <v>6351</v>
      </c>
      <c r="P23" s="7">
        <v>1.22</v>
      </c>
      <c r="Q23" s="2" t="s">
        <v>6352</v>
      </c>
      <c r="R23" s="2">
        <v>0.499</v>
      </c>
      <c r="S23" s="2">
        <f>51371/100000</f>
        <v>0.51371</v>
      </c>
      <c r="T23" s="2">
        <v>0.74432880000000001</v>
      </c>
    </row>
    <row r="24" spans="1:20">
      <c r="A24" s="3" t="s">
        <v>234</v>
      </c>
      <c r="B24" s="1" t="s">
        <v>235</v>
      </c>
      <c r="C24" s="3" t="s">
        <v>236</v>
      </c>
      <c r="D24" s="3" t="s">
        <v>237</v>
      </c>
      <c r="E24" s="5" t="s">
        <v>238</v>
      </c>
      <c r="F24" s="3" t="s">
        <v>239</v>
      </c>
      <c r="G24" s="5" t="s">
        <v>240</v>
      </c>
      <c r="H24" s="11" t="s">
        <v>8062</v>
      </c>
      <c r="I24" s="3" t="s">
        <v>6353</v>
      </c>
      <c r="J24" s="7">
        <v>1.2</v>
      </c>
      <c r="K24" s="2" t="s">
        <v>6354</v>
      </c>
      <c r="L24" s="2">
        <v>0.182</v>
      </c>
      <c r="M24" s="2">
        <f>19660/100000</f>
        <v>0.1966</v>
      </c>
      <c r="N24" s="2">
        <v>0.48775069999999998</v>
      </c>
      <c r="O24" s="3" t="s">
        <v>6355</v>
      </c>
      <c r="P24" s="7">
        <v>1.24</v>
      </c>
      <c r="Q24" s="2" t="s">
        <v>6356</v>
      </c>
      <c r="R24" s="2">
        <v>6.6600000000000006E-2</v>
      </c>
      <c r="S24" s="2">
        <f>6949/100000</f>
        <v>6.9489999999999996E-2</v>
      </c>
      <c r="T24" s="2">
        <v>0.2958576</v>
      </c>
    </row>
    <row r="25" spans="1:20">
      <c r="A25" s="3" t="s">
        <v>245</v>
      </c>
      <c r="B25" s="1" t="s">
        <v>246</v>
      </c>
      <c r="C25" s="3" t="s">
        <v>247</v>
      </c>
      <c r="D25" s="3" t="s">
        <v>248</v>
      </c>
      <c r="E25" s="3" t="s">
        <v>249</v>
      </c>
      <c r="F25" s="3" t="s">
        <v>250</v>
      </c>
      <c r="G25" s="3" t="s">
        <v>251</v>
      </c>
      <c r="H25" s="11" t="s">
        <v>8051</v>
      </c>
      <c r="I25" s="3" t="s">
        <v>6357</v>
      </c>
      <c r="J25" s="7">
        <v>1.3</v>
      </c>
      <c r="K25" s="2" t="s">
        <v>6358</v>
      </c>
      <c r="L25" s="2">
        <v>0.50600000000000001</v>
      </c>
      <c r="M25" s="2">
        <f>50583/100000</f>
        <v>0.50583</v>
      </c>
      <c r="N25" s="2">
        <v>0.73941659999999998</v>
      </c>
      <c r="O25" s="3" t="s">
        <v>6359</v>
      </c>
      <c r="P25" s="7">
        <v>0.63</v>
      </c>
      <c r="Q25" s="2" t="s">
        <v>6360</v>
      </c>
      <c r="R25" s="2">
        <v>0.22500000000000001</v>
      </c>
      <c r="S25" s="2">
        <f>27481/100000</f>
        <v>0.27481</v>
      </c>
      <c r="T25" s="2">
        <v>0.56620890000000001</v>
      </c>
    </row>
    <row r="26" spans="1:20">
      <c r="A26" s="3" t="s">
        <v>256</v>
      </c>
      <c r="B26" s="1" t="s">
        <v>257</v>
      </c>
      <c r="C26" s="3" t="s">
        <v>258</v>
      </c>
      <c r="D26" s="3" t="s">
        <v>259</v>
      </c>
      <c r="E26" s="5" t="s">
        <v>260</v>
      </c>
      <c r="F26" s="3" t="s">
        <v>261</v>
      </c>
      <c r="G26" s="5" t="s">
        <v>262</v>
      </c>
      <c r="H26" s="11" t="s">
        <v>8063</v>
      </c>
      <c r="I26" s="3" t="s">
        <v>6361</v>
      </c>
      <c r="J26" s="7">
        <v>0.53</v>
      </c>
      <c r="K26" s="2" t="s">
        <v>6362</v>
      </c>
      <c r="L26" s="2">
        <v>0.52700000000000002</v>
      </c>
      <c r="M26" s="2">
        <f>72429/100000</f>
        <v>0.72428999999999999</v>
      </c>
      <c r="N26" s="2">
        <v>0.82137769999999999</v>
      </c>
      <c r="O26" s="3" t="s">
        <v>6363</v>
      </c>
      <c r="P26" s="7">
        <v>0.73</v>
      </c>
      <c r="Q26" s="2" t="s">
        <v>6364</v>
      </c>
      <c r="R26" s="2">
        <v>0.59599999999999997</v>
      </c>
      <c r="S26" s="2">
        <f>63729/100000</f>
        <v>0.63729000000000002</v>
      </c>
      <c r="T26" s="2">
        <v>0.79869500000000004</v>
      </c>
    </row>
    <row r="27" spans="1:20">
      <c r="A27" s="3" t="s">
        <v>267</v>
      </c>
      <c r="B27" s="1" t="s">
        <v>268</v>
      </c>
      <c r="C27" s="3" t="s">
        <v>269</v>
      </c>
      <c r="D27" s="3" t="s">
        <v>270</v>
      </c>
      <c r="E27" s="3" t="s">
        <v>271</v>
      </c>
      <c r="F27" s="3" t="s">
        <v>272</v>
      </c>
      <c r="G27" s="3" t="s">
        <v>273</v>
      </c>
      <c r="H27" s="11" t="s">
        <v>8064</v>
      </c>
      <c r="I27" s="3" t="s">
        <v>6365</v>
      </c>
      <c r="J27" s="7">
        <v>1.45</v>
      </c>
      <c r="K27" s="2" t="s">
        <v>6366</v>
      </c>
      <c r="L27" s="2">
        <v>0.154</v>
      </c>
      <c r="M27" s="2">
        <f>16612/100000</f>
        <v>0.16611999999999999</v>
      </c>
      <c r="N27" s="2">
        <v>0.45196710000000001</v>
      </c>
      <c r="O27" s="3" t="s">
        <v>6367</v>
      </c>
      <c r="P27" s="7">
        <v>1.26</v>
      </c>
      <c r="Q27" s="2" t="s">
        <v>6368</v>
      </c>
      <c r="R27" s="2">
        <v>0.435</v>
      </c>
      <c r="S27" s="2">
        <f>50858/100000</f>
        <v>0.50858000000000003</v>
      </c>
      <c r="T27" s="2">
        <v>0.74084890000000003</v>
      </c>
    </row>
    <row r="28" spans="1:20">
      <c r="A28" s="3" t="s">
        <v>278</v>
      </c>
      <c r="B28" s="1" t="s">
        <v>268</v>
      </c>
      <c r="C28" s="3" t="s">
        <v>269</v>
      </c>
      <c r="D28" s="3" t="s">
        <v>279</v>
      </c>
      <c r="E28" s="3" t="s">
        <v>280</v>
      </c>
      <c r="F28" s="3" t="s">
        <v>272</v>
      </c>
      <c r="G28" s="3" t="s">
        <v>273</v>
      </c>
      <c r="H28" s="11" t="s">
        <v>8065</v>
      </c>
      <c r="I28" s="3" t="s">
        <v>6369</v>
      </c>
      <c r="J28" s="7">
        <v>0.74</v>
      </c>
      <c r="K28" s="2" t="s">
        <v>6370</v>
      </c>
      <c r="L28" s="2">
        <v>0.36799999999999999</v>
      </c>
      <c r="M28" s="2">
        <f>38237/100000</f>
        <v>0.38236999999999999</v>
      </c>
      <c r="N28" s="2">
        <v>0.65125169999999999</v>
      </c>
      <c r="O28" s="3" t="s">
        <v>6371</v>
      </c>
      <c r="P28" s="7">
        <v>1.25</v>
      </c>
      <c r="Q28" s="2" t="s">
        <v>6372</v>
      </c>
      <c r="R28" s="2">
        <v>0.42199999999999999</v>
      </c>
      <c r="S28" s="2">
        <f>44042/100000</f>
        <v>0.44041999999999998</v>
      </c>
      <c r="T28" s="2">
        <v>0.69010380000000004</v>
      </c>
    </row>
    <row r="29" spans="1:20">
      <c r="A29" s="3" t="s">
        <v>285</v>
      </c>
      <c r="B29" s="1" t="s">
        <v>286</v>
      </c>
      <c r="C29" s="3" t="s">
        <v>287</v>
      </c>
      <c r="D29" s="3" t="s">
        <v>288</v>
      </c>
      <c r="E29" s="3" t="s">
        <v>289</v>
      </c>
      <c r="F29" s="3" t="s">
        <v>290</v>
      </c>
      <c r="G29" s="3" t="s">
        <v>291</v>
      </c>
      <c r="H29" s="11" t="s">
        <v>8052</v>
      </c>
      <c r="I29" s="3" t="s">
        <v>6373</v>
      </c>
      <c r="J29" s="7">
        <v>0.61</v>
      </c>
      <c r="K29" s="2" t="s">
        <v>6374</v>
      </c>
      <c r="L29" s="2">
        <v>0.317</v>
      </c>
      <c r="M29" s="2">
        <f>41996/100000</f>
        <v>0.41996</v>
      </c>
      <c r="N29" s="2">
        <v>0.67565790000000003</v>
      </c>
      <c r="O29" s="3" t="s">
        <v>6375</v>
      </c>
      <c r="P29" s="7">
        <v>1.54</v>
      </c>
      <c r="Q29" s="2" t="s">
        <v>6376</v>
      </c>
      <c r="R29" s="2">
        <v>0.106</v>
      </c>
      <c r="S29" s="2">
        <f>14105/100000</f>
        <v>0.14105000000000001</v>
      </c>
      <c r="T29" s="2">
        <v>0.41232059999999998</v>
      </c>
    </row>
    <row r="30" spans="1:20">
      <c r="A30" s="3" t="s">
        <v>296</v>
      </c>
      <c r="B30" s="1" t="s">
        <v>297</v>
      </c>
      <c r="C30" s="3" t="s">
        <v>298</v>
      </c>
      <c r="D30" s="3" t="s">
        <v>299</v>
      </c>
      <c r="E30" s="3" t="s">
        <v>300</v>
      </c>
      <c r="F30" s="3" t="s">
        <v>301</v>
      </c>
      <c r="G30" s="3" t="s">
        <v>302</v>
      </c>
      <c r="H30" s="11" t="s">
        <v>8066</v>
      </c>
      <c r="I30" s="3" t="s">
        <v>6377</v>
      </c>
      <c r="J30" s="7">
        <v>0.73</v>
      </c>
      <c r="K30" s="2" t="s">
        <v>5272</v>
      </c>
      <c r="L30" s="2">
        <v>0.66400000000000003</v>
      </c>
      <c r="M30" s="2">
        <f>77500/100000</f>
        <v>0.77500000000000002</v>
      </c>
      <c r="N30" s="2">
        <v>0.82929589999999997</v>
      </c>
      <c r="O30" s="3" t="s">
        <v>6378</v>
      </c>
      <c r="P30" s="7">
        <v>1.05</v>
      </c>
      <c r="Q30" s="2" t="s">
        <v>6379</v>
      </c>
      <c r="R30" s="2">
        <v>0.91600000000000004</v>
      </c>
      <c r="S30" s="2">
        <f>100000/100000</f>
        <v>1</v>
      </c>
      <c r="T30" s="2">
        <v>0.82929589999999997</v>
      </c>
    </row>
    <row r="31" spans="1:20">
      <c r="A31" s="3" t="s">
        <v>307</v>
      </c>
      <c r="B31" s="1" t="s">
        <v>308</v>
      </c>
      <c r="C31" s="3" t="s">
        <v>309</v>
      </c>
      <c r="D31" s="3" t="s">
        <v>310</v>
      </c>
      <c r="E31" s="3" t="s">
        <v>311</v>
      </c>
      <c r="F31" s="3" t="s">
        <v>312</v>
      </c>
      <c r="G31" s="3" t="s">
        <v>313</v>
      </c>
      <c r="H31" s="11" t="s">
        <v>8067</v>
      </c>
      <c r="I31" s="3" t="s">
        <v>6380</v>
      </c>
      <c r="J31" s="7">
        <v>2.0699999999999998</v>
      </c>
      <c r="K31" s="2" t="s">
        <v>6381</v>
      </c>
      <c r="L31" s="2">
        <v>5.8799999999999997E-8</v>
      </c>
      <c r="M31" s="2" t="s">
        <v>500</v>
      </c>
      <c r="N31" s="2">
        <v>3.517123E-4</v>
      </c>
      <c r="O31" s="3" t="s">
        <v>6382</v>
      </c>
      <c r="P31" s="7">
        <v>0.96</v>
      </c>
      <c r="Q31" s="2" t="s">
        <v>6383</v>
      </c>
      <c r="R31" s="2">
        <v>0.85499999999999998</v>
      </c>
      <c r="S31" s="2">
        <f>90918/100000</f>
        <v>0.90917999999999999</v>
      </c>
      <c r="T31" s="2">
        <v>0.82929589999999997</v>
      </c>
    </row>
    <row r="32" spans="1:20">
      <c r="A32" s="3" t="s">
        <v>318</v>
      </c>
      <c r="B32" s="1" t="s">
        <v>308</v>
      </c>
      <c r="C32" s="3" t="s">
        <v>309</v>
      </c>
      <c r="D32" s="3" t="s">
        <v>319</v>
      </c>
      <c r="E32" s="3" t="s">
        <v>320</v>
      </c>
      <c r="F32" s="3" t="s">
        <v>321</v>
      </c>
      <c r="G32" s="3" t="s">
        <v>322</v>
      </c>
      <c r="H32" s="11" t="s">
        <v>8068</v>
      </c>
      <c r="I32" s="3" t="s">
        <v>6384</v>
      </c>
      <c r="J32" s="7">
        <v>1.18</v>
      </c>
      <c r="K32" s="2" t="s">
        <v>6385</v>
      </c>
      <c r="L32" s="2">
        <v>0.54200000000000004</v>
      </c>
      <c r="M32" s="2">
        <f>54958/100000</f>
        <v>0.54957999999999996</v>
      </c>
      <c r="N32" s="2">
        <v>0.75073100000000004</v>
      </c>
      <c r="O32" s="3" t="s">
        <v>6386</v>
      </c>
      <c r="P32" s="7">
        <v>0.84</v>
      </c>
      <c r="Q32" s="2" t="s">
        <v>6387</v>
      </c>
      <c r="R32" s="2">
        <v>0.56799999999999995</v>
      </c>
      <c r="S32" s="2">
        <f>57937/100000</f>
        <v>0.57937000000000005</v>
      </c>
      <c r="T32" s="2">
        <v>0.76945260000000004</v>
      </c>
    </row>
    <row r="33" spans="1:20">
      <c r="A33" s="3" t="s">
        <v>327</v>
      </c>
      <c r="B33" s="1" t="s">
        <v>328</v>
      </c>
      <c r="C33" s="3" t="s">
        <v>329</v>
      </c>
      <c r="D33" s="3" t="s">
        <v>330</v>
      </c>
      <c r="E33" s="3" t="s">
        <v>331</v>
      </c>
      <c r="F33" s="3" t="s">
        <v>332</v>
      </c>
      <c r="G33" s="3" t="s">
        <v>333</v>
      </c>
      <c r="H33" s="11" t="s">
        <v>8069</v>
      </c>
      <c r="I33" s="3" t="s">
        <v>6388</v>
      </c>
      <c r="J33" s="7">
        <v>0.72</v>
      </c>
      <c r="K33" s="2" t="s">
        <v>6389</v>
      </c>
      <c r="L33" s="2">
        <v>0.11799999999999999</v>
      </c>
      <c r="M33" s="2">
        <f>13819/100000</f>
        <v>0.13819000000000001</v>
      </c>
      <c r="N33" s="2">
        <v>0.40585909999999997</v>
      </c>
      <c r="O33" s="3" t="s">
        <v>6390</v>
      </c>
      <c r="P33" s="7">
        <v>0.79</v>
      </c>
      <c r="Q33" s="2" t="s">
        <v>6391</v>
      </c>
      <c r="R33" s="2">
        <v>0.21199999999999999</v>
      </c>
      <c r="S33" s="2">
        <f>22475/100000</f>
        <v>0.22475000000000001</v>
      </c>
      <c r="T33" s="2">
        <v>0.51997070000000001</v>
      </c>
    </row>
    <row r="34" spans="1:20">
      <c r="A34" s="3" t="s">
        <v>338</v>
      </c>
      <c r="B34" s="1" t="s">
        <v>339</v>
      </c>
      <c r="C34" s="3" t="s">
        <v>340</v>
      </c>
      <c r="D34" s="3" t="s">
        <v>341</v>
      </c>
      <c r="E34" s="3" t="s">
        <v>342</v>
      </c>
      <c r="F34" s="3" t="s">
        <v>343</v>
      </c>
      <c r="G34" s="3" t="s">
        <v>344</v>
      </c>
      <c r="H34" s="11" t="s">
        <v>8060</v>
      </c>
      <c r="I34" s="3" t="s">
        <v>6392</v>
      </c>
      <c r="J34" s="7">
        <v>1.38</v>
      </c>
      <c r="K34" s="2" t="s">
        <v>6393</v>
      </c>
      <c r="L34" s="2">
        <v>4.5499999999999999E-2</v>
      </c>
      <c r="M34" s="2">
        <f>5022/100000</f>
        <v>5.0220000000000001E-2</v>
      </c>
      <c r="N34" s="2">
        <v>0.2413642</v>
      </c>
      <c r="O34" s="3" t="s">
        <v>6394</v>
      </c>
      <c r="P34" s="7">
        <v>1.22</v>
      </c>
      <c r="Q34" s="2" t="s">
        <v>6395</v>
      </c>
      <c r="R34" s="2">
        <v>0.46800000000000003</v>
      </c>
      <c r="S34" s="2">
        <f>54532/100000</f>
        <v>0.54532000000000003</v>
      </c>
      <c r="T34" s="2">
        <v>0.74606439999999996</v>
      </c>
    </row>
    <row r="35" spans="1:20">
      <c r="A35" s="3" t="s">
        <v>349</v>
      </c>
      <c r="B35" s="1" t="s">
        <v>350</v>
      </c>
      <c r="C35" s="3" t="s">
        <v>351</v>
      </c>
      <c r="D35" s="3" t="s">
        <v>341</v>
      </c>
      <c r="E35" s="3" t="s">
        <v>342</v>
      </c>
      <c r="F35" s="3" t="s">
        <v>343</v>
      </c>
      <c r="G35" s="3" t="s">
        <v>344</v>
      </c>
      <c r="H35" s="11" t="s">
        <v>8070</v>
      </c>
      <c r="I35" s="3" t="s">
        <v>6392</v>
      </c>
      <c r="J35" s="7">
        <v>1.38</v>
      </c>
      <c r="K35" s="2" t="s">
        <v>6393</v>
      </c>
      <c r="L35" s="2">
        <v>4.5499999999999999E-2</v>
      </c>
      <c r="M35" s="2">
        <f>5022/100000</f>
        <v>5.0220000000000001E-2</v>
      </c>
      <c r="N35" s="2">
        <v>0.2413642</v>
      </c>
      <c r="O35" s="3" t="s">
        <v>6394</v>
      </c>
      <c r="P35" s="7">
        <v>1.22</v>
      </c>
      <c r="Q35" s="2" t="s">
        <v>6395</v>
      </c>
      <c r="R35" s="2">
        <v>0.46800000000000003</v>
      </c>
      <c r="S35" s="2">
        <f>54532/100000</f>
        <v>0.54532000000000003</v>
      </c>
      <c r="T35" s="2">
        <v>0.74606439999999996</v>
      </c>
    </row>
    <row r="36" spans="1:20">
      <c r="A36" s="3" t="s">
        <v>352</v>
      </c>
      <c r="B36" s="1" t="s">
        <v>353</v>
      </c>
      <c r="C36" s="3" t="s">
        <v>354</v>
      </c>
      <c r="D36" s="3" t="s">
        <v>355</v>
      </c>
      <c r="E36" s="3" t="s">
        <v>356</v>
      </c>
      <c r="F36" s="3" t="s">
        <v>357</v>
      </c>
      <c r="G36" s="3" t="s">
        <v>358</v>
      </c>
      <c r="H36" s="11" t="s">
        <v>8071</v>
      </c>
      <c r="I36" s="3" t="s">
        <v>6396</v>
      </c>
      <c r="J36" s="7">
        <v>0.35</v>
      </c>
      <c r="K36" s="2" t="s">
        <v>6397</v>
      </c>
      <c r="L36" s="2">
        <v>0.26800000000000002</v>
      </c>
      <c r="M36" s="2">
        <f>37750/100000</f>
        <v>0.3775</v>
      </c>
      <c r="N36" s="2">
        <v>0.65084330000000001</v>
      </c>
      <c r="O36" s="3" t="s">
        <v>6398</v>
      </c>
      <c r="P36" s="7">
        <v>1.47</v>
      </c>
      <c r="Q36" s="2" t="s">
        <v>6399</v>
      </c>
      <c r="R36" s="2">
        <v>0.4</v>
      </c>
      <c r="S36" s="2">
        <f>40235/100000</f>
        <v>0.40234999999999999</v>
      </c>
      <c r="T36" s="2">
        <v>0.66589350000000003</v>
      </c>
    </row>
    <row r="37" spans="1:20">
      <c r="A37" s="3" t="s">
        <v>363</v>
      </c>
      <c r="B37" s="1" t="s">
        <v>364</v>
      </c>
      <c r="C37" s="3" t="s">
        <v>365</v>
      </c>
      <c r="D37" s="3" t="s">
        <v>366</v>
      </c>
      <c r="E37" s="3" t="s">
        <v>367</v>
      </c>
      <c r="F37" s="3" t="s">
        <v>368</v>
      </c>
      <c r="G37" s="3" t="s">
        <v>369</v>
      </c>
      <c r="H37" s="11" t="s">
        <v>8072</v>
      </c>
      <c r="I37" s="3" t="s">
        <v>6400</v>
      </c>
      <c r="J37" s="7">
        <v>0.92</v>
      </c>
      <c r="K37" s="2" t="s">
        <v>6401</v>
      </c>
      <c r="L37" s="2">
        <v>0.85099999999999998</v>
      </c>
      <c r="M37" s="2">
        <f>100000/100000</f>
        <v>1</v>
      </c>
      <c r="N37" s="2">
        <v>0.82929589999999997</v>
      </c>
      <c r="O37" s="3" t="s">
        <v>6402</v>
      </c>
      <c r="P37" s="7">
        <v>0.84</v>
      </c>
      <c r="Q37" s="2" t="s">
        <v>6403</v>
      </c>
      <c r="R37" s="2">
        <v>0.73399999999999999</v>
      </c>
      <c r="S37" s="2">
        <f>81997/100000</f>
        <v>0.81996999999999998</v>
      </c>
      <c r="T37" s="2">
        <v>0.82929589999999997</v>
      </c>
    </row>
    <row r="38" spans="1:20">
      <c r="A38" s="3" t="s">
        <v>374</v>
      </c>
      <c r="B38" s="1" t="s">
        <v>375</v>
      </c>
      <c r="C38" s="3" t="s">
        <v>376</v>
      </c>
      <c r="D38" s="3" t="s">
        <v>377</v>
      </c>
      <c r="E38" s="3" t="s">
        <v>378</v>
      </c>
      <c r="F38" s="3" t="s">
        <v>379</v>
      </c>
      <c r="G38" s="3" t="s">
        <v>380</v>
      </c>
      <c r="H38" s="11" t="s">
        <v>8073</v>
      </c>
      <c r="I38" s="3" t="s">
        <v>6404</v>
      </c>
      <c r="J38" s="7">
        <v>1.36</v>
      </c>
      <c r="K38" s="2" t="s">
        <v>6405</v>
      </c>
      <c r="L38" s="2">
        <v>0.42899999999999999</v>
      </c>
      <c r="M38" s="2">
        <f>49562/100000</f>
        <v>0.49562</v>
      </c>
      <c r="N38" s="2">
        <v>0.73484130000000003</v>
      </c>
      <c r="O38" s="3" t="s">
        <v>6406</v>
      </c>
      <c r="P38" s="7">
        <v>0.47</v>
      </c>
      <c r="Q38" s="2" t="s">
        <v>6407</v>
      </c>
      <c r="R38" s="2">
        <v>0.28399999999999997</v>
      </c>
      <c r="S38" s="2">
        <f>33277/100000</f>
        <v>0.33277000000000001</v>
      </c>
      <c r="T38" s="2">
        <v>0.61526179999999997</v>
      </c>
    </row>
    <row r="39" spans="1:20">
      <c r="A39" s="3" t="s">
        <v>385</v>
      </c>
      <c r="B39" s="1" t="s">
        <v>375</v>
      </c>
      <c r="C39" s="3" t="s">
        <v>376</v>
      </c>
      <c r="D39" s="3" t="s">
        <v>386</v>
      </c>
      <c r="E39" s="3" t="s">
        <v>387</v>
      </c>
      <c r="F39" s="3" t="s">
        <v>388</v>
      </c>
      <c r="G39" s="3" t="s">
        <v>389</v>
      </c>
      <c r="H39" s="11" t="s">
        <v>8053</v>
      </c>
      <c r="I39" s="3" t="s">
        <v>6408</v>
      </c>
      <c r="J39" s="7">
        <v>1.72</v>
      </c>
      <c r="K39" s="2" t="s">
        <v>6409</v>
      </c>
      <c r="L39" s="2">
        <v>0.19800000000000001</v>
      </c>
      <c r="M39" s="2">
        <f>27050/100000</f>
        <v>0.27050000000000002</v>
      </c>
      <c r="N39" s="2">
        <v>0.56620890000000001</v>
      </c>
      <c r="O39" s="3" t="s">
        <v>6410</v>
      </c>
      <c r="P39" s="7">
        <v>1.55</v>
      </c>
      <c r="Q39" s="2" t="s">
        <v>6411</v>
      </c>
      <c r="R39" s="2">
        <v>0.26200000000000001</v>
      </c>
      <c r="S39" s="2">
        <f>33128/100000</f>
        <v>0.33128000000000002</v>
      </c>
      <c r="T39" s="2">
        <v>0.61526179999999997</v>
      </c>
    </row>
    <row r="40" spans="1:20">
      <c r="A40" s="3" t="s">
        <v>394</v>
      </c>
      <c r="B40" s="1" t="s">
        <v>395</v>
      </c>
      <c r="C40" s="3" t="s">
        <v>396</v>
      </c>
      <c r="D40" s="3" t="s">
        <v>397</v>
      </c>
      <c r="E40" s="3" t="s">
        <v>398</v>
      </c>
      <c r="F40" s="3" t="s">
        <v>399</v>
      </c>
      <c r="G40" s="3" t="s">
        <v>400</v>
      </c>
      <c r="H40" s="11" t="s">
        <v>8074</v>
      </c>
      <c r="I40" s="3" t="s">
        <v>6412</v>
      </c>
      <c r="J40" s="7">
        <v>0.24</v>
      </c>
      <c r="K40" s="2" t="s">
        <v>6413</v>
      </c>
      <c r="L40" s="2">
        <v>0.121</v>
      </c>
      <c r="M40" s="2">
        <f>13404/100000</f>
        <v>0.13403999999999999</v>
      </c>
      <c r="N40" s="2">
        <v>0.40098479999999997</v>
      </c>
      <c r="O40" s="3" t="s">
        <v>6410</v>
      </c>
      <c r="P40" s="7">
        <v>1.55</v>
      </c>
      <c r="Q40" s="2" t="s">
        <v>6411</v>
      </c>
      <c r="R40" s="2">
        <v>0.26200000000000001</v>
      </c>
      <c r="S40" s="2">
        <f>33284/100000</f>
        <v>0.33284000000000002</v>
      </c>
      <c r="T40" s="2">
        <v>0.61526179999999997</v>
      </c>
    </row>
    <row r="41" spans="1:20">
      <c r="A41" s="3" t="s">
        <v>405</v>
      </c>
      <c r="B41" s="1" t="s">
        <v>406</v>
      </c>
      <c r="C41" s="3" t="s">
        <v>407</v>
      </c>
      <c r="D41" s="3" t="s">
        <v>408</v>
      </c>
      <c r="E41" s="3" t="s">
        <v>409</v>
      </c>
      <c r="F41" s="3" t="s">
        <v>410</v>
      </c>
      <c r="G41" s="3" t="s">
        <v>411</v>
      </c>
      <c r="H41" s="11" t="s">
        <v>8055</v>
      </c>
      <c r="I41" s="3" t="s">
        <v>6414</v>
      </c>
      <c r="J41" s="7">
        <v>0.74</v>
      </c>
      <c r="K41" s="2" t="s">
        <v>6415</v>
      </c>
      <c r="L41" s="2">
        <v>0.61099999999999999</v>
      </c>
      <c r="M41" s="2">
        <f>79893/100000</f>
        <v>0.79893000000000003</v>
      </c>
      <c r="N41" s="2">
        <v>0.82929589999999997</v>
      </c>
      <c r="O41" s="3" t="s">
        <v>6416</v>
      </c>
      <c r="P41" s="7">
        <v>0.18</v>
      </c>
      <c r="Q41" s="2" t="s">
        <v>6417</v>
      </c>
      <c r="R41" s="2">
        <v>5.4300000000000001E-2</v>
      </c>
      <c r="S41" s="2">
        <f>7072/100000</f>
        <v>7.0720000000000005E-2</v>
      </c>
      <c r="T41" s="2">
        <v>0.29709039999999998</v>
      </c>
    </row>
    <row r="42" spans="1:20">
      <c r="A42" s="3" t="s">
        <v>416</v>
      </c>
      <c r="B42" s="1" t="s">
        <v>406</v>
      </c>
      <c r="C42" s="3" t="s">
        <v>407</v>
      </c>
      <c r="D42" s="3" t="s">
        <v>417</v>
      </c>
      <c r="E42" s="3" t="s">
        <v>418</v>
      </c>
      <c r="F42" s="3" t="s">
        <v>410</v>
      </c>
      <c r="G42" s="3" t="s">
        <v>411</v>
      </c>
      <c r="H42" s="11" t="s">
        <v>8075</v>
      </c>
      <c r="I42" s="3" t="s">
        <v>6418</v>
      </c>
      <c r="J42" s="7">
        <v>1.52</v>
      </c>
      <c r="K42" s="2" t="s">
        <v>6419</v>
      </c>
      <c r="L42" s="2">
        <v>0.28100000000000003</v>
      </c>
      <c r="M42" s="2">
        <f>33776/100000</f>
        <v>0.33776</v>
      </c>
      <c r="N42" s="2">
        <v>0.61526179999999997</v>
      </c>
      <c r="O42" s="3" t="s">
        <v>6420</v>
      </c>
      <c r="P42" s="7">
        <v>1.3</v>
      </c>
      <c r="Q42" s="2" t="s">
        <v>5597</v>
      </c>
      <c r="R42" s="2">
        <v>0.502</v>
      </c>
      <c r="S42" s="2">
        <f>50457/100000</f>
        <v>0.50456999999999996</v>
      </c>
      <c r="T42" s="2">
        <v>0.73837560000000002</v>
      </c>
    </row>
    <row r="43" spans="1:20">
      <c r="A43" s="3" t="s">
        <v>423</v>
      </c>
      <c r="B43" s="1" t="s">
        <v>406</v>
      </c>
      <c r="C43" s="3" t="s">
        <v>407</v>
      </c>
      <c r="D43" s="3" t="s">
        <v>424</v>
      </c>
      <c r="E43" s="3" t="s">
        <v>425</v>
      </c>
      <c r="F43" s="3" t="s">
        <v>426</v>
      </c>
      <c r="G43" s="3" t="s">
        <v>427</v>
      </c>
      <c r="H43" s="11" t="s">
        <v>8076</v>
      </c>
      <c r="I43" s="3" t="s">
        <v>6421</v>
      </c>
      <c r="J43" s="7">
        <v>0.56000000000000005</v>
      </c>
      <c r="K43" s="2" t="s">
        <v>5862</v>
      </c>
      <c r="L43" s="2">
        <v>0.41099999999999998</v>
      </c>
      <c r="M43" s="2">
        <f>45035/100000</f>
        <v>0.45034999999999997</v>
      </c>
      <c r="N43" s="2">
        <v>0.69853390000000004</v>
      </c>
      <c r="O43" s="3" t="s">
        <v>6422</v>
      </c>
      <c r="P43" s="7">
        <v>0.96</v>
      </c>
      <c r="Q43" s="2" t="s">
        <v>6423</v>
      </c>
      <c r="R43" s="2">
        <v>0.94199999999999995</v>
      </c>
      <c r="S43" s="2">
        <f>100000/100000</f>
        <v>1</v>
      </c>
      <c r="T43" s="2">
        <v>0.82929589999999997</v>
      </c>
    </row>
    <row r="44" spans="1:20">
      <c r="A44" s="3" t="s">
        <v>432</v>
      </c>
      <c r="B44" s="1" t="s">
        <v>406</v>
      </c>
      <c r="C44" s="3" t="s">
        <v>407</v>
      </c>
      <c r="D44" s="3" t="s">
        <v>433</v>
      </c>
      <c r="E44" s="3" t="s">
        <v>434</v>
      </c>
      <c r="F44" s="3" t="s">
        <v>426</v>
      </c>
      <c r="G44" s="3" t="s">
        <v>427</v>
      </c>
      <c r="H44" s="11" t="s">
        <v>8056</v>
      </c>
      <c r="I44" s="3" t="s">
        <v>6424</v>
      </c>
      <c r="J44" s="7">
        <v>0.35</v>
      </c>
      <c r="K44" s="2" t="s">
        <v>6425</v>
      </c>
      <c r="L44" s="2">
        <v>0.124</v>
      </c>
      <c r="M44" s="2">
        <f>13196/100000</f>
        <v>0.13195999999999999</v>
      </c>
      <c r="N44" s="2">
        <v>0.40060279999999998</v>
      </c>
      <c r="O44" s="3" t="s">
        <v>6426</v>
      </c>
      <c r="P44" s="7">
        <v>0.56999999999999995</v>
      </c>
      <c r="Q44" s="2" t="s">
        <v>5911</v>
      </c>
      <c r="R44" s="2">
        <v>0.32400000000000001</v>
      </c>
      <c r="S44" s="2">
        <f>38073/100000</f>
        <v>0.38073000000000001</v>
      </c>
      <c r="T44" s="2">
        <v>0.65084330000000001</v>
      </c>
    </row>
    <row r="45" spans="1:20">
      <c r="A45" s="3" t="s">
        <v>439</v>
      </c>
      <c r="B45" s="1" t="s">
        <v>440</v>
      </c>
      <c r="C45" s="3" t="s">
        <v>441</v>
      </c>
      <c r="D45" s="3" t="s">
        <v>442</v>
      </c>
      <c r="E45" s="3" t="s">
        <v>443</v>
      </c>
      <c r="F45" s="3" t="s">
        <v>444</v>
      </c>
      <c r="G45" s="3" t="s">
        <v>445</v>
      </c>
      <c r="H45" s="11" t="s">
        <v>8054</v>
      </c>
      <c r="I45" s="3" t="s">
        <v>6427</v>
      </c>
      <c r="J45" s="7">
        <v>1.88</v>
      </c>
      <c r="K45" s="2" t="s">
        <v>6428</v>
      </c>
      <c r="L45" s="2">
        <v>3.2800000000000003E-2</v>
      </c>
      <c r="M45" s="2">
        <f>4427/100000</f>
        <v>4.4269999999999997E-2</v>
      </c>
      <c r="N45" s="2">
        <v>0.22573660000000001</v>
      </c>
      <c r="O45" s="3" t="s">
        <v>6429</v>
      </c>
      <c r="P45" s="7">
        <v>0.56999999999999995</v>
      </c>
      <c r="Q45" s="2" t="s">
        <v>6430</v>
      </c>
      <c r="R45" s="2">
        <v>0.32900000000000001</v>
      </c>
      <c r="S45" s="2">
        <f>38384/100000</f>
        <v>0.38384000000000001</v>
      </c>
      <c r="T45" s="2">
        <v>0.65163249999999995</v>
      </c>
    </row>
    <row r="46" spans="1:20">
      <c r="A46" s="3" t="s">
        <v>450</v>
      </c>
      <c r="B46" s="1" t="s">
        <v>440</v>
      </c>
      <c r="C46" s="3" t="s">
        <v>441</v>
      </c>
      <c r="D46" s="3" t="s">
        <v>451</v>
      </c>
      <c r="E46" s="3" t="s">
        <v>452</v>
      </c>
      <c r="F46" s="3" t="s">
        <v>453</v>
      </c>
      <c r="G46" s="3" t="s">
        <v>454</v>
      </c>
      <c r="H46" s="11" t="s">
        <v>8077</v>
      </c>
      <c r="I46" s="3" t="s">
        <v>6431</v>
      </c>
      <c r="J46" s="7">
        <v>1.29</v>
      </c>
      <c r="K46" s="2" t="s">
        <v>6432</v>
      </c>
      <c r="L46" s="2">
        <v>0.45300000000000001</v>
      </c>
      <c r="M46" s="2">
        <f>56374/100000</f>
        <v>0.56374000000000002</v>
      </c>
      <c r="N46" s="2">
        <v>0.76054100000000002</v>
      </c>
      <c r="O46" s="3" t="s">
        <v>6433</v>
      </c>
      <c r="P46" s="7">
        <v>0.81</v>
      </c>
      <c r="Q46" s="2" t="s">
        <v>6434</v>
      </c>
      <c r="R46" s="2">
        <v>0.61799999999999999</v>
      </c>
      <c r="S46" s="2">
        <f>70977/100000</f>
        <v>0.70977000000000001</v>
      </c>
      <c r="T46" s="2">
        <v>0.82137769999999999</v>
      </c>
    </row>
    <row r="47" spans="1:20">
      <c r="A47" s="3" t="s">
        <v>459</v>
      </c>
      <c r="B47" s="1" t="s">
        <v>440</v>
      </c>
      <c r="C47" s="3" t="s">
        <v>441</v>
      </c>
      <c r="D47" s="3" t="s">
        <v>460</v>
      </c>
      <c r="E47" s="3" t="s">
        <v>461</v>
      </c>
      <c r="F47" s="3" t="s">
        <v>444</v>
      </c>
      <c r="G47" s="3" t="s">
        <v>445</v>
      </c>
      <c r="H47" s="11" t="s">
        <v>8078</v>
      </c>
      <c r="I47" s="3" t="s">
        <v>6435</v>
      </c>
      <c r="J47" s="7">
        <v>1.08</v>
      </c>
      <c r="K47" s="2" t="s">
        <v>6436</v>
      </c>
      <c r="L47" s="2">
        <v>0.81200000000000006</v>
      </c>
      <c r="M47" s="2">
        <f>85787/100000</f>
        <v>0.85787000000000002</v>
      </c>
      <c r="N47" s="2">
        <v>0.82929589999999997</v>
      </c>
      <c r="O47" s="3" t="s">
        <v>6437</v>
      </c>
      <c r="P47" s="7">
        <v>0.82</v>
      </c>
      <c r="Q47" s="2" t="s">
        <v>6438</v>
      </c>
      <c r="R47" s="2">
        <v>0.65500000000000003</v>
      </c>
      <c r="S47" s="2">
        <f>69424/100000</f>
        <v>0.69423999999999997</v>
      </c>
      <c r="T47" s="2">
        <v>0.81405680000000002</v>
      </c>
    </row>
    <row r="48" spans="1:20">
      <c r="A48" s="3" t="s">
        <v>466</v>
      </c>
      <c r="B48" s="1" t="s">
        <v>440</v>
      </c>
      <c r="C48" s="3" t="s">
        <v>441</v>
      </c>
      <c r="D48" s="3" t="s">
        <v>467</v>
      </c>
      <c r="E48" s="3" t="s">
        <v>468</v>
      </c>
      <c r="F48" s="3" t="s">
        <v>453</v>
      </c>
      <c r="G48" s="3" t="s">
        <v>454</v>
      </c>
      <c r="H48" s="11" t="s">
        <v>8079</v>
      </c>
      <c r="I48" s="3" t="s">
        <v>6439</v>
      </c>
      <c r="J48" s="7">
        <v>1.36</v>
      </c>
      <c r="K48" s="2" t="s">
        <v>6440</v>
      </c>
      <c r="L48" s="2">
        <v>0.318</v>
      </c>
      <c r="M48" s="2">
        <f>36591/100000</f>
        <v>0.36591000000000001</v>
      </c>
      <c r="N48" s="2">
        <v>0.64231249999999995</v>
      </c>
      <c r="O48" s="3" t="s">
        <v>6441</v>
      </c>
      <c r="P48" s="7">
        <v>1.51</v>
      </c>
      <c r="Q48" s="2" t="s">
        <v>6442</v>
      </c>
      <c r="R48" s="2">
        <v>0.20599999999999999</v>
      </c>
      <c r="S48" s="2">
        <f>23090/100000</f>
        <v>0.23089999999999999</v>
      </c>
      <c r="T48" s="2">
        <v>0.53002009999999999</v>
      </c>
    </row>
    <row r="49" spans="1:20">
      <c r="A49" s="3" t="s">
        <v>473</v>
      </c>
      <c r="B49" s="1" t="s">
        <v>474</v>
      </c>
      <c r="C49" s="3" t="s">
        <v>475</v>
      </c>
      <c r="D49" s="3" t="s">
        <v>442</v>
      </c>
      <c r="E49" s="3" t="s">
        <v>443</v>
      </c>
      <c r="F49" s="3" t="s">
        <v>444</v>
      </c>
      <c r="G49" s="3" t="s">
        <v>445</v>
      </c>
      <c r="H49" s="11" t="s">
        <v>8054</v>
      </c>
      <c r="I49" s="3" t="s">
        <v>6427</v>
      </c>
      <c r="J49" s="7">
        <v>1.88</v>
      </c>
      <c r="K49" s="2" t="s">
        <v>6428</v>
      </c>
      <c r="L49" s="2">
        <v>3.2800000000000003E-2</v>
      </c>
      <c r="M49" s="2">
        <f>4427/100000</f>
        <v>4.4269999999999997E-2</v>
      </c>
      <c r="N49" s="2">
        <v>0.22573660000000001</v>
      </c>
      <c r="O49" s="3" t="s">
        <v>6429</v>
      </c>
      <c r="P49" s="7">
        <v>0.56999999999999995</v>
      </c>
      <c r="Q49" s="2" t="s">
        <v>6430</v>
      </c>
      <c r="R49" s="2">
        <v>0.32900000000000001</v>
      </c>
      <c r="S49" s="2">
        <f>38384/100000</f>
        <v>0.38384000000000001</v>
      </c>
      <c r="T49" s="2">
        <v>0.65163249999999995</v>
      </c>
    </row>
    <row r="50" spans="1:20">
      <c r="A50" s="3" t="s">
        <v>476</v>
      </c>
      <c r="B50" s="1" t="s">
        <v>474</v>
      </c>
      <c r="C50" s="3" t="s">
        <v>475</v>
      </c>
      <c r="D50" s="3" t="s">
        <v>460</v>
      </c>
      <c r="E50" s="3" t="s">
        <v>461</v>
      </c>
      <c r="F50" s="3" t="s">
        <v>444</v>
      </c>
      <c r="G50" s="3" t="s">
        <v>445</v>
      </c>
      <c r="H50" s="11" t="s">
        <v>8080</v>
      </c>
      <c r="I50" s="3" t="s">
        <v>6435</v>
      </c>
      <c r="J50" s="7">
        <v>1.08</v>
      </c>
      <c r="K50" s="2" t="s">
        <v>6436</v>
      </c>
      <c r="L50" s="2">
        <v>0.81200000000000006</v>
      </c>
      <c r="M50" s="2">
        <f>85787/100000</f>
        <v>0.85787000000000002</v>
      </c>
      <c r="N50" s="2">
        <v>0.82929589999999997</v>
      </c>
      <c r="O50" s="3" t="s">
        <v>6437</v>
      </c>
      <c r="P50" s="7">
        <v>0.82</v>
      </c>
      <c r="Q50" s="2" t="s">
        <v>6438</v>
      </c>
      <c r="R50" s="2">
        <v>0.65500000000000003</v>
      </c>
      <c r="S50" s="2">
        <f>69424/100000</f>
        <v>0.69423999999999997</v>
      </c>
      <c r="T50" s="2">
        <v>0.81405680000000002</v>
      </c>
    </row>
    <row r="51" spans="1:20">
      <c r="A51" s="3" t="s">
        <v>477</v>
      </c>
      <c r="B51" s="1" t="s">
        <v>474</v>
      </c>
      <c r="C51" s="3" t="s">
        <v>475</v>
      </c>
      <c r="D51" s="3" t="s">
        <v>478</v>
      </c>
      <c r="E51" s="3" t="s">
        <v>479</v>
      </c>
      <c r="F51" s="3" t="s">
        <v>480</v>
      </c>
      <c r="G51" s="3" t="s">
        <v>481</v>
      </c>
      <c r="H51" s="11" t="s">
        <v>8079</v>
      </c>
      <c r="I51" s="3" t="s">
        <v>6439</v>
      </c>
      <c r="J51" s="7">
        <v>1.36</v>
      </c>
      <c r="K51" s="2" t="s">
        <v>6440</v>
      </c>
      <c r="L51" s="2">
        <v>0.318</v>
      </c>
      <c r="M51" s="2">
        <f>36591/100000</f>
        <v>0.36591000000000001</v>
      </c>
      <c r="N51" s="2">
        <v>0.64231249999999995</v>
      </c>
      <c r="O51" s="3" t="s">
        <v>6441</v>
      </c>
      <c r="P51" s="7">
        <v>1.51</v>
      </c>
      <c r="Q51" s="2" t="s">
        <v>6442</v>
      </c>
      <c r="R51" s="2">
        <v>0.20599999999999999</v>
      </c>
      <c r="S51" s="2">
        <f>23090/100000</f>
        <v>0.23089999999999999</v>
      </c>
      <c r="T51" s="2">
        <v>0.53002009999999999</v>
      </c>
    </row>
    <row r="52" spans="1:20">
      <c r="A52" s="3" t="s">
        <v>482</v>
      </c>
      <c r="B52" s="1" t="s">
        <v>474</v>
      </c>
      <c r="C52" s="3" t="s">
        <v>475</v>
      </c>
      <c r="D52" s="3" t="s">
        <v>483</v>
      </c>
      <c r="E52" s="3" t="s">
        <v>484</v>
      </c>
      <c r="F52" s="3" t="s">
        <v>480</v>
      </c>
      <c r="G52" s="3" t="s">
        <v>481</v>
      </c>
      <c r="H52" s="11" t="s">
        <v>8081</v>
      </c>
      <c r="I52" s="3" t="s">
        <v>6431</v>
      </c>
      <c r="J52" s="7">
        <v>1.29</v>
      </c>
      <c r="K52" s="2" t="s">
        <v>6432</v>
      </c>
      <c r="L52" s="2">
        <v>0.45300000000000001</v>
      </c>
      <c r="M52" s="2">
        <f>56374/100000</f>
        <v>0.56374000000000002</v>
      </c>
      <c r="N52" s="2">
        <v>0.76054100000000002</v>
      </c>
      <c r="O52" s="3" t="s">
        <v>6433</v>
      </c>
      <c r="P52" s="7">
        <v>0.81</v>
      </c>
      <c r="Q52" s="2" t="s">
        <v>6434</v>
      </c>
      <c r="R52" s="2">
        <v>0.61799999999999999</v>
      </c>
      <c r="S52" s="2">
        <f>70977/100000</f>
        <v>0.70977000000000001</v>
      </c>
      <c r="T52" s="2">
        <v>0.82137769999999999</v>
      </c>
    </row>
    <row r="53" spans="1:20">
      <c r="A53" s="3" t="s">
        <v>485</v>
      </c>
      <c r="B53" s="1" t="s">
        <v>474</v>
      </c>
      <c r="C53" s="3" t="s">
        <v>475</v>
      </c>
      <c r="D53" s="3" t="s">
        <v>408</v>
      </c>
      <c r="E53" s="3" t="s">
        <v>409</v>
      </c>
      <c r="F53" s="3" t="s">
        <v>410</v>
      </c>
      <c r="G53" s="3" t="s">
        <v>411</v>
      </c>
      <c r="H53" s="11" t="s">
        <v>8055</v>
      </c>
      <c r="I53" s="3" t="s">
        <v>6414</v>
      </c>
      <c r="J53" s="7">
        <v>0.74</v>
      </c>
      <c r="K53" s="2" t="s">
        <v>6415</v>
      </c>
      <c r="L53" s="2">
        <v>0.61099999999999999</v>
      </c>
      <c r="M53" s="2">
        <f>79893/100000</f>
        <v>0.79893000000000003</v>
      </c>
      <c r="N53" s="2">
        <v>0.82929589999999997</v>
      </c>
      <c r="O53" s="3" t="s">
        <v>6416</v>
      </c>
      <c r="P53" s="7">
        <v>0.18</v>
      </c>
      <c r="Q53" s="2" t="s">
        <v>6417</v>
      </c>
      <c r="R53" s="2">
        <v>5.4300000000000001E-2</v>
      </c>
      <c r="S53" s="2">
        <f>7072/100000</f>
        <v>7.0720000000000005E-2</v>
      </c>
      <c r="T53" s="2">
        <v>0.29709039999999998</v>
      </c>
    </row>
    <row r="54" spans="1:20">
      <c r="A54" s="3" t="s">
        <v>486</v>
      </c>
      <c r="B54" s="1" t="s">
        <v>474</v>
      </c>
      <c r="C54" s="3" t="s">
        <v>475</v>
      </c>
      <c r="D54" s="3" t="s">
        <v>417</v>
      </c>
      <c r="E54" s="3" t="s">
        <v>418</v>
      </c>
      <c r="F54" s="3" t="s">
        <v>410</v>
      </c>
      <c r="G54" s="3" t="s">
        <v>411</v>
      </c>
      <c r="H54" s="11" t="s">
        <v>8082</v>
      </c>
      <c r="I54" s="3" t="s">
        <v>6418</v>
      </c>
      <c r="J54" s="7">
        <v>1.52</v>
      </c>
      <c r="K54" s="2" t="s">
        <v>6419</v>
      </c>
      <c r="L54" s="2">
        <v>0.28100000000000003</v>
      </c>
      <c r="M54" s="2">
        <f>33776/100000</f>
        <v>0.33776</v>
      </c>
      <c r="N54" s="2">
        <v>0.61526179999999997</v>
      </c>
      <c r="O54" s="3" t="s">
        <v>6420</v>
      </c>
      <c r="P54" s="7">
        <v>1.3</v>
      </c>
      <c r="Q54" s="2" t="s">
        <v>5597</v>
      </c>
      <c r="R54" s="2">
        <v>0.502</v>
      </c>
      <c r="S54" s="2">
        <f>50457/100000</f>
        <v>0.50456999999999996</v>
      </c>
      <c r="T54" s="2">
        <v>0.73837560000000002</v>
      </c>
    </row>
    <row r="55" spans="1:20">
      <c r="A55" s="3" t="s">
        <v>487</v>
      </c>
      <c r="B55" s="1" t="s">
        <v>474</v>
      </c>
      <c r="C55" s="3" t="s">
        <v>475</v>
      </c>
      <c r="D55" s="3" t="s">
        <v>424</v>
      </c>
      <c r="E55" s="3" t="s">
        <v>425</v>
      </c>
      <c r="F55" s="3" t="s">
        <v>426</v>
      </c>
      <c r="G55" s="3" t="s">
        <v>427</v>
      </c>
      <c r="H55" s="11" t="s">
        <v>8083</v>
      </c>
      <c r="I55" s="3" t="s">
        <v>6421</v>
      </c>
      <c r="J55" s="7">
        <v>0.56000000000000005</v>
      </c>
      <c r="K55" s="2" t="s">
        <v>5862</v>
      </c>
      <c r="L55" s="2">
        <v>0.41099999999999998</v>
      </c>
      <c r="M55" s="2">
        <f>45035/100000</f>
        <v>0.45034999999999997</v>
      </c>
      <c r="N55" s="2">
        <v>0.69853390000000004</v>
      </c>
      <c r="O55" s="3" t="s">
        <v>6422</v>
      </c>
      <c r="P55" s="7">
        <v>0.96</v>
      </c>
      <c r="Q55" s="2" t="s">
        <v>6423</v>
      </c>
      <c r="R55" s="2">
        <v>0.94199999999999995</v>
      </c>
      <c r="S55" s="2">
        <f>100000/100000</f>
        <v>1</v>
      </c>
      <c r="T55" s="2">
        <v>0.82929589999999997</v>
      </c>
    </row>
    <row r="56" spans="1:20">
      <c r="A56" s="3" t="s">
        <v>488</v>
      </c>
      <c r="B56" s="1" t="s">
        <v>474</v>
      </c>
      <c r="C56" s="3" t="s">
        <v>475</v>
      </c>
      <c r="D56" s="3" t="s">
        <v>433</v>
      </c>
      <c r="E56" s="3" t="s">
        <v>434</v>
      </c>
      <c r="F56" s="3" t="s">
        <v>426</v>
      </c>
      <c r="G56" s="3" t="s">
        <v>427</v>
      </c>
      <c r="H56" s="11" t="s">
        <v>8056</v>
      </c>
      <c r="I56" s="3" t="s">
        <v>6424</v>
      </c>
      <c r="J56" s="7">
        <v>0.35</v>
      </c>
      <c r="K56" s="2" t="s">
        <v>6425</v>
      </c>
      <c r="L56" s="2">
        <v>0.124</v>
      </c>
      <c r="M56" s="2">
        <f>13196/100000</f>
        <v>0.13195999999999999</v>
      </c>
      <c r="N56" s="2">
        <v>0.40060279999999998</v>
      </c>
      <c r="O56" s="3" t="s">
        <v>6426</v>
      </c>
      <c r="P56" s="7">
        <v>0.56999999999999995</v>
      </c>
      <c r="Q56" s="2" t="s">
        <v>5911</v>
      </c>
      <c r="R56" s="2">
        <v>0.32400000000000001</v>
      </c>
      <c r="S56" s="2">
        <f>38073/100000</f>
        <v>0.38073000000000001</v>
      </c>
      <c r="T56" s="2">
        <v>0.65084330000000001</v>
      </c>
    </row>
    <row r="57" spans="1:20">
      <c r="A57" s="3" t="s">
        <v>489</v>
      </c>
      <c r="B57" s="1" t="s">
        <v>490</v>
      </c>
      <c r="C57" s="3" t="s">
        <v>491</v>
      </c>
      <c r="D57" s="3" t="s">
        <v>492</v>
      </c>
      <c r="E57" s="3" t="s">
        <v>493</v>
      </c>
      <c r="F57" s="3" t="s">
        <v>494</v>
      </c>
      <c r="G57" s="3" t="s">
        <v>495</v>
      </c>
      <c r="H57" s="11" t="s">
        <v>8084</v>
      </c>
      <c r="I57" s="3" t="s">
        <v>6443</v>
      </c>
      <c r="J57" s="7">
        <v>0.69</v>
      </c>
      <c r="K57" s="2" t="s">
        <v>4729</v>
      </c>
      <c r="L57" s="2">
        <v>9.5899999999999999E-2</v>
      </c>
      <c r="M57" s="2">
        <f>10497/100000</f>
        <v>0.10496999999999999</v>
      </c>
      <c r="N57" s="2">
        <v>0.36332550000000002</v>
      </c>
      <c r="O57" s="3" t="s">
        <v>6444</v>
      </c>
      <c r="P57" s="7">
        <v>2.1</v>
      </c>
      <c r="Q57" s="2" t="s">
        <v>6445</v>
      </c>
      <c r="R57" s="2">
        <v>7.1999999999999996E-8</v>
      </c>
      <c r="S57" s="2" t="s">
        <v>500</v>
      </c>
      <c r="T57" s="2">
        <v>3.517123E-4</v>
      </c>
    </row>
    <row r="58" spans="1:20">
      <c r="A58" s="3" t="s">
        <v>501</v>
      </c>
      <c r="B58" s="1" t="s">
        <v>490</v>
      </c>
      <c r="C58" s="3" t="s">
        <v>491</v>
      </c>
      <c r="D58" s="3" t="s">
        <v>502</v>
      </c>
      <c r="E58" s="3" t="s">
        <v>503</v>
      </c>
      <c r="F58" s="3" t="s">
        <v>504</v>
      </c>
      <c r="G58" s="3" t="s">
        <v>505</v>
      </c>
      <c r="H58" s="11" t="s">
        <v>8085</v>
      </c>
      <c r="I58" s="3" t="s">
        <v>6446</v>
      </c>
      <c r="J58" s="7">
        <v>0.88</v>
      </c>
      <c r="K58" s="2" t="s">
        <v>6447</v>
      </c>
      <c r="L58" s="2">
        <v>0.68899999999999995</v>
      </c>
      <c r="M58" s="2">
        <f>76437/100000</f>
        <v>0.76436999999999999</v>
      </c>
      <c r="N58" s="2">
        <v>0.82929589999999997</v>
      </c>
      <c r="O58" s="3" t="s">
        <v>6448</v>
      </c>
      <c r="P58" s="7">
        <v>0.65</v>
      </c>
      <c r="Q58" s="2" t="s">
        <v>2540</v>
      </c>
      <c r="R58" s="2">
        <v>0.23400000000000001</v>
      </c>
      <c r="S58" s="2">
        <f>24482/100000</f>
        <v>0.24482000000000001</v>
      </c>
      <c r="T58" s="2">
        <v>0.54509320000000006</v>
      </c>
    </row>
    <row r="59" spans="1:20">
      <c r="A59" s="3" t="s">
        <v>510</v>
      </c>
      <c r="B59" s="1" t="s">
        <v>511</v>
      </c>
      <c r="C59" s="3" t="s">
        <v>512</v>
      </c>
      <c r="D59" s="3" t="s">
        <v>513</v>
      </c>
      <c r="E59" s="5" t="s">
        <v>514</v>
      </c>
      <c r="F59" s="3" t="s">
        <v>515</v>
      </c>
      <c r="G59" s="3" t="s">
        <v>516</v>
      </c>
      <c r="H59" s="11" t="s">
        <v>8086</v>
      </c>
      <c r="I59" s="3" t="s">
        <v>6449</v>
      </c>
      <c r="J59" s="7">
        <v>0.86</v>
      </c>
      <c r="K59" s="2" t="s">
        <v>6450</v>
      </c>
      <c r="L59" s="2">
        <v>0.183</v>
      </c>
      <c r="M59" s="2">
        <f>18621/100000</f>
        <v>0.18620999999999999</v>
      </c>
      <c r="N59" s="2">
        <v>0.47329529999999997</v>
      </c>
      <c r="O59" s="3" t="s">
        <v>6451</v>
      </c>
      <c r="P59" s="7">
        <v>1.03</v>
      </c>
      <c r="Q59" s="2" t="s">
        <v>6452</v>
      </c>
      <c r="R59" s="2">
        <v>0.74</v>
      </c>
      <c r="S59" s="2">
        <f>77167/100000</f>
        <v>0.77166999999999997</v>
      </c>
      <c r="T59" s="2">
        <v>0.82929589999999997</v>
      </c>
    </row>
    <row r="60" spans="1:20">
      <c r="A60" s="3" t="s">
        <v>521</v>
      </c>
      <c r="B60" s="1" t="s">
        <v>511</v>
      </c>
      <c r="C60" s="3" t="s">
        <v>512</v>
      </c>
      <c r="D60" s="3" t="s">
        <v>522</v>
      </c>
      <c r="E60" s="3" t="s">
        <v>523</v>
      </c>
      <c r="F60" s="3" t="s">
        <v>515</v>
      </c>
      <c r="G60" s="3" t="s">
        <v>516</v>
      </c>
      <c r="H60" s="11" t="s">
        <v>8087</v>
      </c>
      <c r="I60" s="3" t="s">
        <v>6453</v>
      </c>
      <c r="J60" s="7">
        <v>1</v>
      </c>
      <c r="K60" s="2" t="s">
        <v>6454</v>
      </c>
      <c r="L60" s="2">
        <v>0.995</v>
      </c>
      <c r="M60" s="2">
        <f>100000/100000</f>
        <v>1</v>
      </c>
      <c r="N60" s="2">
        <v>0.82929589999999997</v>
      </c>
      <c r="O60" s="3" t="s">
        <v>6455</v>
      </c>
      <c r="P60" s="7">
        <v>1.02</v>
      </c>
      <c r="Q60" s="2" t="s">
        <v>6456</v>
      </c>
      <c r="R60" s="2">
        <v>0.84299999999999997</v>
      </c>
      <c r="S60" s="2">
        <f>84647/100000</f>
        <v>0.84646999999999994</v>
      </c>
      <c r="T60" s="2">
        <v>0.82929589999999997</v>
      </c>
    </row>
    <row r="61" spans="1:20">
      <c r="A61" s="3" t="s">
        <v>528</v>
      </c>
      <c r="B61" s="1" t="s">
        <v>529</v>
      </c>
      <c r="C61" s="3" t="s">
        <v>530</v>
      </c>
      <c r="D61" s="3" t="s">
        <v>531</v>
      </c>
      <c r="E61" s="3" t="s">
        <v>532</v>
      </c>
      <c r="F61" s="3" t="s">
        <v>533</v>
      </c>
      <c r="G61" s="3" t="s">
        <v>534</v>
      </c>
      <c r="H61" s="11" t="s">
        <v>8057</v>
      </c>
      <c r="I61" s="3" t="s">
        <v>6457</v>
      </c>
      <c r="J61" s="7">
        <v>1.24</v>
      </c>
      <c r="K61" s="2" t="s">
        <v>6458</v>
      </c>
      <c r="L61" s="2">
        <v>0.11799999999999999</v>
      </c>
      <c r="M61" s="2">
        <f>12730/100000</f>
        <v>0.1273</v>
      </c>
      <c r="N61" s="2">
        <v>0.39428360000000001</v>
      </c>
      <c r="O61" s="3" t="s">
        <v>6459</v>
      </c>
      <c r="P61" s="7">
        <v>1.28</v>
      </c>
      <c r="Q61" s="2" t="s">
        <v>6460</v>
      </c>
      <c r="R61" s="2">
        <v>0.10199999999999999</v>
      </c>
      <c r="S61" s="2">
        <f>10724/100000</f>
        <v>0.10724</v>
      </c>
      <c r="T61" s="2">
        <v>0.36580889999999999</v>
      </c>
    </row>
    <row r="62" spans="1:20">
      <c r="A62" s="3" t="s">
        <v>539</v>
      </c>
      <c r="B62" s="1" t="s">
        <v>529</v>
      </c>
      <c r="C62" s="3" t="s">
        <v>530</v>
      </c>
      <c r="D62" s="3" t="s">
        <v>540</v>
      </c>
      <c r="E62" s="3" t="s">
        <v>541</v>
      </c>
      <c r="F62" s="3" t="s">
        <v>533</v>
      </c>
      <c r="G62" s="3" t="s">
        <v>534</v>
      </c>
      <c r="H62" s="11" t="s">
        <v>8057</v>
      </c>
      <c r="I62" s="3" t="s">
        <v>6461</v>
      </c>
      <c r="J62" s="7">
        <v>1.32</v>
      </c>
      <c r="K62" s="2" t="s">
        <v>6462</v>
      </c>
      <c r="L62" s="2">
        <v>5.7000000000000002E-2</v>
      </c>
      <c r="M62" s="2">
        <f>5992/100000</f>
        <v>5.9920000000000001E-2</v>
      </c>
      <c r="N62" s="2">
        <v>0.26886929999999998</v>
      </c>
      <c r="O62" s="3" t="s">
        <v>6463</v>
      </c>
      <c r="P62" s="7">
        <v>1.26</v>
      </c>
      <c r="Q62" s="2" t="s">
        <v>6464</v>
      </c>
      <c r="R62" s="2">
        <v>0.24399999999999999</v>
      </c>
      <c r="S62" s="2">
        <f>26683/100000</f>
        <v>0.26683000000000001</v>
      </c>
      <c r="T62" s="2">
        <v>0.56620890000000001</v>
      </c>
    </row>
    <row r="63" spans="1:20">
      <c r="A63" s="3" t="s">
        <v>546</v>
      </c>
      <c r="B63" s="1" t="s">
        <v>547</v>
      </c>
      <c r="C63" s="3" t="s">
        <v>548</v>
      </c>
      <c r="D63" s="3" t="s">
        <v>549</v>
      </c>
      <c r="E63" s="3" t="s">
        <v>550</v>
      </c>
      <c r="F63" s="3" t="s">
        <v>551</v>
      </c>
      <c r="G63" s="3" t="s">
        <v>552</v>
      </c>
      <c r="H63" s="11" t="s">
        <v>8059</v>
      </c>
      <c r="I63" s="3" t="s">
        <v>6465</v>
      </c>
      <c r="J63" s="7">
        <v>1.1599999999999999</v>
      </c>
      <c r="K63" s="2" t="s">
        <v>6466</v>
      </c>
      <c r="L63" s="2">
        <v>0.83799999999999997</v>
      </c>
      <c r="M63" s="2">
        <f>100000/100000</f>
        <v>1</v>
      </c>
      <c r="N63" s="2">
        <v>0.82929589999999997</v>
      </c>
      <c r="O63" s="3" t="s">
        <v>6467</v>
      </c>
      <c r="P63" s="7">
        <v>2.27</v>
      </c>
      <c r="Q63" s="2" t="s">
        <v>6468</v>
      </c>
      <c r="R63" s="2">
        <v>0.107</v>
      </c>
      <c r="S63" s="2">
        <f>11317/100000</f>
        <v>0.11317000000000001</v>
      </c>
      <c r="T63" s="2">
        <v>0.37826270000000001</v>
      </c>
    </row>
    <row r="64" spans="1:20">
      <c r="A64" s="3" t="s">
        <v>557</v>
      </c>
      <c r="B64" s="1" t="s">
        <v>558</v>
      </c>
      <c r="C64" s="3" t="s">
        <v>559</v>
      </c>
      <c r="D64" s="3" t="s">
        <v>560</v>
      </c>
      <c r="E64" s="3" t="s">
        <v>561</v>
      </c>
      <c r="F64" s="3" t="s">
        <v>562</v>
      </c>
      <c r="G64" s="3" t="s">
        <v>563</v>
      </c>
      <c r="H64" s="11" t="s">
        <v>8088</v>
      </c>
      <c r="I64" s="3" t="s">
        <v>6469</v>
      </c>
      <c r="J64" s="7">
        <v>0.78</v>
      </c>
      <c r="K64" s="2" t="s">
        <v>6470</v>
      </c>
      <c r="L64" s="2">
        <v>0.52700000000000002</v>
      </c>
      <c r="M64" s="2">
        <f>60849/100000</f>
        <v>0.60848999999999998</v>
      </c>
      <c r="N64" s="2">
        <v>0.78810860000000005</v>
      </c>
      <c r="O64" s="3" t="s">
        <v>6471</v>
      </c>
      <c r="P64" s="7">
        <v>0.89</v>
      </c>
      <c r="Q64" s="2" t="s">
        <v>6472</v>
      </c>
      <c r="R64" s="2">
        <v>0.80600000000000005</v>
      </c>
      <c r="S64" s="2">
        <f>83534/100000</f>
        <v>0.83533999999999997</v>
      </c>
      <c r="T64" s="2">
        <v>0.82929589999999997</v>
      </c>
    </row>
    <row r="65" spans="1:20">
      <c r="A65" s="3" t="s">
        <v>568</v>
      </c>
      <c r="B65" s="1" t="s">
        <v>558</v>
      </c>
      <c r="C65" s="3" t="s">
        <v>559</v>
      </c>
      <c r="D65" s="3" t="s">
        <v>569</v>
      </c>
      <c r="E65" s="3" t="s">
        <v>570</v>
      </c>
      <c r="F65" s="3" t="s">
        <v>571</v>
      </c>
      <c r="G65" s="3" t="s">
        <v>572</v>
      </c>
      <c r="H65" s="11" t="s">
        <v>8088</v>
      </c>
      <c r="I65" s="3" t="s">
        <v>6473</v>
      </c>
      <c r="J65" s="7">
        <v>0.87</v>
      </c>
      <c r="K65" s="2" t="s">
        <v>6474</v>
      </c>
      <c r="L65" s="2">
        <v>0.68899999999999995</v>
      </c>
      <c r="M65" s="2">
        <f>73941/100000</f>
        <v>0.73941000000000001</v>
      </c>
      <c r="N65" s="2">
        <v>0.82137769999999999</v>
      </c>
      <c r="O65" s="3" t="s">
        <v>6475</v>
      </c>
      <c r="P65" s="7">
        <v>1.73</v>
      </c>
      <c r="Q65" s="2" t="s">
        <v>6476</v>
      </c>
      <c r="R65" s="2">
        <v>4.8000000000000001E-2</v>
      </c>
      <c r="S65" s="2">
        <f>5143/100000</f>
        <v>5.1429999999999997E-2</v>
      </c>
      <c r="T65" s="2">
        <v>0.24621180000000001</v>
      </c>
    </row>
    <row r="66" spans="1:20">
      <c r="A66" s="3" t="s">
        <v>577</v>
      </c>
      <c r="B66" s="1" t="s">
        <v>578</v>
      </c>
      <c r="C66" s="3" t="s">
        <v>579</v>
      </c>
      <c r="D66" s="3" t="s">
        <v>580</v>
      </c>
      <c r="E66" s="3" t="s">
        <v>581</v>
      </c>
      <c r="F66" s="3" t="s">
        <v>582</v>
      </c>
      <c r="G66" s="3" t="s">
        <v>583</v>
      </c>
      <c r="H66" s="11" t="s">
        <v>8089</v>
      </c>
      <c r="I66" s="3" t="s">
        <v>6477</v>
      </c>
      <c r="J66" s="7">
        <v>1.35</v>
      </c>
      <c r="K66" s="2" t="s">
        <v>6279</v>
      </c>
      <c r="L66" s="2">
        <v>0.26300000000000001</v>
      </c>
      <c r="M66" s="2">
        <f>28325/100000</f>
        <v>0.28325</v>
      </c>
      <c r="N66" s="2">
        <v>0.57234689999999999</v>
      </c>
      <c r="O66" s="3" t="s">
        <v>6478</v>
      </c>
      <c r="P66" s="7">
        <v>1.42</v>
      </c>
      <c r="Q66" s="2" t="s">
        <v>6479</v>
      </c>
      <c r="R66" s="2">
        <v>0.17199999999999999</v>
      </c>
      <c r="S66" s="2">
        <f>16920/100000</f>
        <v>0.16919999999999999</v>
      </c>
      <c r="T66" s="2">
        <v>0.45435340000000002</v>
      </c>
    </row>
    <row r="67" spans="1:20">
      <c r="A67" s="3" t="s">
        <v>588</v>
      </c>
      <c r="B67" s="1" t="s">
        <v>578</v>
      </c>
      <c r="C67" s="3" t="s">
        <v>579</v>
      </c>
      <c r="D67" s="3" t="s">
        <v>589</v>
      </c>
      <c r="E67" s="3" t="s">
        <v>590</v>
      </c>
      <c r="F67" s="3" t="s">
        <v>591</v>
      </c>
      <c r="G67" s="3" t="s">
        <v>592</v>
      </c>
      <c r="H67" s="12" t="s">
        <v>8090</v>
      </c>
      <c r="I67" s="3" t="s">
        <v>6480</v>
      </c>
      <c r="J67" s="7">
        <v>1.2</v>
      </c>
      <c r="K67" s="2" t="s">
        <v>6481</v>
      </c>
      <c r="L67" s="2">
        <v>0.27400000000000002</v>
      </c>
      <c r="M67" s="2">
        <f>27801/100000</f>
        <v>0.27800999999999998</v>
      </c>
      <c r="N67" s="2">
        <v>0.56873700000000005</v>
      </c>
      <c r="O67" s="3" t="s">
        <v>6482</v>
      </c>
      <c r="P67" s="7">
        <v>1.3</v>
      </c>
      <c r="Q67" s="2" t="s">
        <v>6483</v>
      </c>
      <c r="R67" s="2">
        <v>0.12</v>
      </c>
      <c r="S67" s="2">
        <f>13278/100000</f>
        <v>0.13278000000000001</v>
      </c>
      <c r="T67" s="2">
        <v>0.40098479999999997</v>
      </c>
    </row>
    <row r="68" spans="1:20">
      <c r="A68" s="3" t="s">
        <v>597</v>
      </c>
      <c r="B68" s="1" t="s">
        <v>598</v>
      </c>
      <c r="C68" s="3" t="s">
        <v>599</v>
      </c>
      <c r="D68" s="3" t="s">
        <v>600</v>
      </c>
      <c r="E68" s="3" t="s">
        <v>601</v>
      </c>
      <c r="F68" s="3" t="s">
        <v>602</v>
      </c>
      <c r="G68" s="3" t="s">
        <v>603</v>
      </c>
      <c r="H68" s="11" t="s">
        <v>8091</v>
      </c>
      <c r="I68" s="3" t="s">
        <v>6484</v>
      </c>
      <c r="J68" s="7">
        <v>1.06</v>
      </c>
      <c r="K68" s="2" t="s">
        <v>6485</v>
      </c>
      <c r="L68" s="2">
        <v>0.68899999999999995</v>
      </c>
      <c r="M68" s="2">
        <f>73033/100000</f>
        <v>0.73033000000000003</v>
      </c>
      <c r="N68" s="2">
        <v>0.82137769999999999</v>
      </c>
      <c r="O68" s="3" t="s">
        <v>6486</v>
      </c>
      <c r="P68" s="7">
        <v>0.74</v>
      </c>
      <c r="Q68" s="2" t="s">
        <v>6487</v>
      </c>
      <c r="R68" s="2">
        <v>3.3000000000000002E-2</v>
      </c>
      <c r="S68" s="2">
        <f>3486/100000</f>
        <v>3.4860000000000002E-2</v>
      </c>
      <c r="T68" s="2">
        <v>0.1960739</v>
      </c>
    </row>
    <row r="69" spans="1:20">
      <c r="A69" s="3" t="s">
        <v>608</v>
      </c>
      <c r="B69" s="1" t="s">
        <v>609</v>
      </c>
      <c r="C69" s="3" t="s">
        <v>610</v>
      </c>
      <c r="D69" s="3" t="s">
        <v>611</v>
      </c>
      <c r="E69" s="3" t="s">
        <v>612</v>
      </c>
      <c r="F69" s="3" t="s">
        <v>613</v>
      </c>
      <c r="G69" s="3" t="s">
        <v>614</v>
      </c>
      <c r="H69" s="11" t="s">
        <v>8060</v>
      </c>
      <c r="I69" s="3" t="s">
        <v>6488</v>
      </c>
      <c r="J69" s="7">
        <v>1.72</v>
      </c>
      <c r="K69" s="2" t="s">
        <v>5899</v>
      </c>
      <c r="L69" s="2">
        <v>1.8499999999999999E-2</v>
      </c>
      <c r="M69" s="2">
        <f>2522/100000</f>
        <v>2.5219999999999999E-2</v>
      </c>
      <c r="N69" s="2">
        <v>0.16015099999999999</v>
      </c>
      <c r="O69" s="3" t="s">
        <v>6489</v>
      </c>
      <c r="P69" s="7">
        <v>1.69</v>
      </c>
      <c r="Q69" s="2" t="s">
        <v>6490</v>
      </c>
      <c r="R69" s="2">
        <v>3.1300000000000001E-2</v>
      </c>
      <c r="S69" s="2">
        <f>4181/100000</f>
        <v>4.181E-2</v>
      </c>
      <c r="T69" s="2">
        <v>0.21725</v>
      </c>
    </row>
    <row r="70" spans="1:20">
      <c r="A70" s="3" t="s">
        <v>619</v>
      </c>
      <c r="B70" s="1" t="s">
        <v>620</v>
      </c>
      <c r="C70" s="3" t="s">
        <v>621</v>
      </c>
      <c r="D70" s="3" t="s">
        <v>622</v>
      </c>
      <c r="E70" s="3" t="s">
        <v>623</v>
      </c>
      <c r="F70" s="3" t="s">
        <v>624</v>
      </c>
      <c r="G70" s="3" t="s">
        <v>625</v>
      </c>
      <c r="H70" s="11" t="s">
        <v>8092</v>
      </c>
      <c r="I70" s="3" t="s">
        <v>6491</v>
      </c>
      <c r="J70" s="7">
        <v>1.03</v>
      </c>
      <c r="K70" s="2" t="s">
        <v>6492</v>
      </c>
      <c r="L70" s="2">
        <v>0.94199999999999995</v>
      </c>
      <c r="M70" s="2">
        <f>100000/100000</f>
        <v>1</v>
      </c>
      <c r="N70" s="2">
        <v>0.82929589999999997</v>
      </c>
      <c r="O70" s="3" t="s">
        <v>6493</v>
      </c>
      <c r="P70" s="7">
        <v>0.65</v>
      </c>
      <c r="Q70" s="2" t="s">
        <v>5345</v>
      </c>
      <c r="R70" s="2">
        <v>0.34599999999999997</v>
      </c>
      <c r="S70" s="2">
        <f>36943/100000</f>
        <v>0.36942999999999998</v>
      </c>
      <c r="T70" s="2">
        <v>0.64405679999999998</v>
      </c>
    </row>
    <row r="71" spans="1:20">
      <c r="A71" s="3" t="s">
        <v>630</v>
      </c>
      <c r="B71" s="1" t="s">
        <v>620</v>
      </c>
      <c r="C71" s="3" t="s">
        <v>621</v>
      </c>
      <c r="D71" s="3" t="s">
        <v>631</v>
      </c>
      <c r="E71" s="3" t="s">
        <v>632</v>
      </c>
      <c r="F71" s="3" t="s">
        <v>624</v>
      </c>
      <c r="G71" s="3" t="s">
        <v>625</v>
      </c>
      <c r="H71" s="11" t="s">
        <v>8093</v>
      </c>
      <c r="I71" s="3" t="s">
        <v>6494</v>
      </c>
      <c r="J71" s="7">
        <v>1.1499999999999999</v>
      </c>
      <c r="K71" s="2" t="s">
        <v>6495</v>
      </c>
      <c r="L71" s="2">
        <v>0.69199999999999995</v>
      </c>
      <c r="M71" s="2">
        <f>69491/100000</f>
        <v>0.69491000000000003</v>
      </c>
      <c r="N71" s="2">
        <v>0.81405680000000002</v>
      </c>
      <c r="O71" s="3" t="s">
        <v>6496</v>
      </c>
      <c r="P71" s="7">
        <v>1.39</v>
      </c>
      <c r="Q71" s="2" t="s">
        <v>6497</v>
      </c>
      <c r="R71" s="2">
        <v>0.33400000000000002</v>
      </c>
      <c r="S71" s="2">
        <f>42246/100000</f>
        <v>0.42246</v>
      </c>
      <c r="T71" s="2">
        <v>0.67760160000000003</v>
      </c>
    </row>
    <row r="72" spans="1:20">
      <c r="A72" s="3" t="s">
        <v>637</v>
      </c>
      <c r="B72" s="1" t="s">
        <v>620</v>
      </c>
      <c r="C72" s="3" t="s">
        <v>621</v>
      </c>
      <c r="D72" s="3" t="s">
        <v>638</v>
      </c>
      <c r="E72" s="3" t="s">
        <v>639</v>
      </c>
      <c r="F72" s="3" t="s">
        <v>624</v>
      </c>
      <c r="G72" s="3" t="s">
        <v>625</v>
      </c>
      <c r="H72" s="11" t="s">
        <v>8061</v>
      </c>
      <c r="I72" s="3" t="s">
        <v>6498</v>
      </c>
      <c r="J72" s="7">
        <v>1.7</v>
      </c>
      <c r="K72" s="2" t="s">
        <v>6499</v>
      </c>
      <c r="L72" s="2">
        <v>8.6599999999999996E-2</v>
      </c>
      <c r="M72" s="2">
        <f>10728/100000</f>
        <v>0.10728</v>
      </c>
      <c r="N72" s="2">
        <v>0.36580889999999999</v>
      </c>
      <c r="O72" s="3" t="s">
        <v>6500</v>
      </c>
      <c r="P72" s="7">
        <v>0.97</v>
      </c>
      <c r="Q72" s="2" t="s">
        <v>6501</v>
      </c>
      <c r="R72" s="2">
        <v>0.93500000000000005</v>
      </c>
      <c r="S72" s="2">
        <f>100000/100000</f>
        <v>1</v>
      </c>
      <c r="T72" s="2">
        <v>0.82929589999999997</v>
      </c>
    </row>
    <row r="73" spans="1:20">
      <c r="A73" s="3" t="s">
        <v>644</v>
      </c>
      <c r="B73" s="1" t="s">
        <v>620</v>
      </c>
      <c r="C73" s="3" t="s">
        <v>621</v>
      </c>
      <c r="D73" s="3" t="s">
        <v>645</v>
      </c>
      <c r="E73" s="3" t="s">
        <v>646</v>
      </c>
      <c r="F73" s="3" t="s">
        <v>624</v>
      </c>
      <c r="G73" s="3" t="s">
        <v>625</v>
      </c>
      <c r="H73" s="11" t="s">
        <v>8094</v>
      </c>
      <c r="I73" s="3" t="s">
        <v>6502</v>
      </c>
      <c r="J73" s="7">
        <v>1.99</v>
      </c>
      <c r="K73" s="2" t="s">
        <v>6503</v>
      </c>
      <c r="L73" s="2">
        <v>2.5000000000000001E-2</v>
      </c>
      <c r="M73" s="2">
        <f>3214/100000</f>
        <v>3.2140000000000002E-2</v>
      </c>
      <c r="N73" s="2">
        <v>0.1864632</v>
      </c>
      <c r="O73" s="3" t="s">
        <v>6504</v>
      </c>
      <c r="P73" s="7">
        <v>0.87</v>
      </c>
      <c r="Q73" s="2" t="s">
        <v>6505</v>
      </c>
      <c r="R73" s="2">
        <v>0.76400000000000001</v>
      </c>
      <c r="S73" s="2">
        <f>83640/100000</f>
        <v>0.83640000000000003</v>
      </c>
      <c r="T73" s="2">
        <v>0.82929589999999997</v>
      </c>
    </row>
    <row r="74" spans="1:20">
      <c r="A74" s="3" t="s">
        <v>651</v>
      </c>
      <c r="B74" s="1" t="s">
        <v>652</v>
      </c>
      <c r="C74" s="3" t="s">
        <v>653</v>
      </c>
      <c r="D74" s="3" t="s">
        <v>654</v>
      </c>
      <c r="E74" s="3" t="s">
        <v>655</v>
      </c>
      <c r="F74" s="3" t="s">
        <v>656</v>
      </c>
      <c r="G74" s="3" t="s">
        <v>657</v>
      </c>
      <c r="H74" s="11" t="s">
        <v>8095</v>
      </c>
      <c r="I74" s="3" t="s">
        <v>6506</v>
      </c>
      <c r="J74" s="7">
        <v>0.6</v>
      </c>
      <c r="K74" s="2" t="s">
        <v>6507</v>
      </c>
      <c r="L74" s="2">
        <v>0.61599999999999999</v>
      </c>
      <c r="M74" s="2">
        <f>73408/100000</f>
        <v>0.73407999999999995</v>
      </c>
      <c r="N74" s="2">
        <v>0.82137769999999999</v>
      </c>
      <c r="O74" s="3" t="s">
        <v>6508</v>
      </c>
      <c r="P74" s="7">
        <v>1.1499999999999999</v>
      </c>
      <c r="Q74" s="2" t="s">
        <v>6509</v>
      </c>
      <c r="R74" s="2">
        <v>0.88900000000000001</v>
      </c>
      <c r="S74" s="2">
        <f>100000/100000</f>
        <v>1</v>
      </c>
      <c r="T74" s="2">
        <v>0.82929589999999997</v>
      </c>
    </row>
    <row r="75" spans="1:20">
      <c r="A75" s="3" t="s">
        <v>662</v>
      </c>
      <c r="B75" s="1" t="s">
        <v>652</v>
      </c>
      <c r="C75" s="3" t="s">
        <v>653</v>
      </c>
      <c r="D75" s="3" t="s">
        <v>663</v>
      </c>
      <c r="E75" s="3" t="s">
        <v>664</v>
      </c>
      <c r="F75" s="3" t="s">
        <v>656</v>
      </c>
      <c r="G75" s="3" t="s">
        <v>657</v>
      </c>
      <c r="H75" s="11" t="s">
        <v>8095</v>
      </c>
      <c r="I75" s="3" t="s">
        <v>6510</v>
      </c>
      <c r="J75" s="7">
        <v>0.57999999999999996</v>
      </c>
      <c r="K75" s="2" t="s">
        <v>4930</v>
      </c>
      <c r="L75" s="2">
        <v>0.58099999999999996</v>
      </c>
      <c r="M75" s="2">
        <f>72871/100000</f>
        <v>0.72870999999999997</v>
      </c>
      <c r="N75" s="2">
        <v>0.82137769999999999</v>
      </c>
      <c r="O75" s="3" t="s">
        <v>6511</v>
      </c>
      <c r="P75" s="7">
        <v>0.93</v>
      </c>
      <c r="Q75" s="2" t="s">
        <v>6512</v>
      </c>
      <c r="R75" s="2">
        <v>0.94399999999999995</v>
      </c>
      <c r="S75" s="2">
        <f>100000/100000</f>
        <v>1</v>
      </c>
      <c r="T75" s="2">
        <v>0.82929589999999997</v>
      </c>
    </row>
    <row r="76" spans="1:20">
      <c r="A76" s="3" t="s">
        <v>669</v>
      </c>
      <c r="B76" s="1" t="s">
        <v>670</v>
      </c>
      <c r="C76" s="3" t="s">
        <v>671</v>
      </c>
      <c r="D76" s="3" t="s">
        <v>672</v>
      </c>
      <c r="E76" s="3" t="s">
        <v>673</v>
      </c>
      <c r="F76" s="3" t="s">
        <v>674</v>
      </c>
      <c r="G76" s="3" t="s">
        <v>675</v>
      </c>
      <c r="H76" s="11" t="s">
        <v>8062</v>
      </c>
      <c r="I76" s="3" t="s">
        <v>6513</v>
      </c>
      <c r="J76" s="7">
        <v>1.1200000000000001</v>
      </c>
      <c r="K76" s="2" t="s">
        <v>6514</v>
      </c>
      <c r="L76" s="2">
        <v>0.70799999999999996</v>
      </c>
      <c r="M76" s="2">
        <f>75411/100000</f>
        <v>0.75410999999999995</v>
      </c>
      <c r="N76" s="2">
        <v>0.82929589999999997</v>
      </c>
      <c r="O76" s="3" t="s">
        <v>6515</v>
      </c>
      <c r="P76" s="7">
        <v>1.71</v>
      </c>
      <c r="Q76" s="2" t="s">
        <v>6516</v>
      </c>
      <c r="R76" s="2">
        <v>8.4200000000000004E-3</v>
      </c>
      <c r="S76" s="2">
        <f>1051/100000</f>
        <v>1.051E-2</v>
      </c>
      <c r="T76" s="2">
        <v>8.9820129999999998E-2</v>
      </c>
    </row>
    <row r="77" spans="1:20">
      <c r="A77" s="3" t="s">
        <v>680</v>
      </c>
      <c r="B77" s="1" t="s">
        <v>670</v>
      </c>
      <c r="C77" s="3" t="s">
        <v>671</v>
      </c>
      <c r="D77" s="3" t="s">
        <v>681</v>
      </c>
      <c r="E77" s="3" t="s">
        <v>682</v>
      </c>
      <c r="F77" s="3" t="s">
        <v>674</v>
      </c>
      <c r="G77" s="3" t="s">
        <v>675</v>
      </c>
      <c r="H77" s="11" t="s">
        <v>8096</v>
      </c>
      <c r="I77" s="3" t="s">
        <v>6517</v>
      </c>
      <c r="J77" s="7">
        <v>1.63</v>
      </c>
      <c r="K77" s="2" t="s">
        <v>6518</v>
      </c>
      <c r="L77" s="2">
        <v>0.114</v>
      </c>
      <c r="M77" s="2">
        <f>11805/100000</f>
        <v>0.11805</v>
      </c>
      <c r="N77" s="2">
        <v>0.38060929999999998</v>
      </c>
      <c r="O77" s="3" t="s">
        <v>6519</v>
      </c>
      <c r="P77" s="7">
        <v>1.58</v>
      </c>
      <c r="Q77" s="2" t="s">
        <v>6520</v>
      </c>
      <c r="R77" s="2">
        <v>0.107</v>
      </c>
      <c r="S77" s="2">
        <f>10905/100000</f>
        <v>0.10904999999999999</v>
      </c>
      <c r="T77" s="2">
        <v>0.37067220000000001</v>
      </c>
    </row>
    <row r="78" spans="1:20">
      <c r="A78" s="3" t="s">
        <v>687</v>
      </c>
      <c r="B78" s="1" t="s">
        <v>670</v>
      </c>
      <c r="C78" s="3" t="s">
        <v>671</v>
      </c>
      <c r="D78" s="3" t="s">
        <v>688</v>
      </c>
      <c r="E78" s="3" t="s">
        <v>689</v>
      </c>
      <c r="F78" s="3" t="s">
        <v>674</v>
      </c>
      <c r="G78" s="3" t="s">
        <v>675</v>
      </c>
      <c r="H78" s="11" t="s">
        <v>8097</v>
      </c>
      <c r="I78" s="3" t="s">
        <v>6521</v>
      </c>
      <c r="J78" s="7">
        <v>1.04</v>
      </c>
      <c r="K78" s="2" t="s">
        <v>6522</v>
      </c>
      <c r="L78" s="2">
        <v>0.91900000000000004</v>
      </c>
      <c r="M78" s="2">
        <f>100000/100000</f>
        <v>1</v>
      </c>
      <c r="N78" s="2">
        <v>0.82929589999999997</v>
      </c>
      <c r="O78" s="3" t="s">
        <v>6523</v>
      </c>
      <c r="P78" s="7">
        <v>1.49</v>
      </c>
      <c r="Q78" s="2" t="s">
        <v>1563</v>
      </c>
      <c r="R78" s="2">
        <v>6.6600000000000006E-2</v>
      </c>
      <c r="S78" s="2">
        <f>6995/100000</f>
        <v>6.9949999999999998E-2</v>
      </c>
      <c r="T78" s="2">
        <v>0.29644490000000001</v>
      </c>
    </row>
    <row r="79" spans="1:20">
      <c r="A79" s="3" t="s">
        <v>694</v>
      </c>
      <c r="B79" s="1" t="s">
        <v>695</v>
      </c>
      <c r="C79" s="3" t="s">
        <v>696</v>
      </c>
      <c r="D79" s="3" t="s">
        <v>697</v>
      </c>
      <c r="E79" s="3" t="s">
        <v>698</v>
      </c>
      <c r="F79" s="3" t="s">
        <v>699</v>
      </c>
      <c r="G79" s="3" t="s">
        <v>700</v>
      </c>
      <c r="H79" s="11" t="s">
        <v>8098</v>
      </c>
      <c r="I79" s="3" t="s">
        <v>6524</v>
      </c>
      <c r="J79" s="7">
        <v>1.1000000000000001</v>
      </c>
      <c r="K79" s="2" t="s">
        <v>6289</v>
      </c>
      <c r="L79" s="2">
        <v>0.78900000000000003</v>
      </c>
      <c r="M79" s="2">
        <f>85688/100000</f>
        <v>0.85687999999999998</v>
      </c>
      <c r="N79" s="2">
        <v>0.82929589999999997</v>
      </c>
      <c r="O79" s="3" t="s">
        <v>6525</v>
      </c>
      <c r="P79" s="7">
        <v>0.55000000000000004</v>
      </c>
      <c r="Q79" s="2" t="s">
        <v>6526</v>
      </c>
      <c r="R79" s="2">
        <v>0.23499999999999999</v>
      </c>
      <c r="S79" s="2">
        <f>25975/100000</f>
        <v>0.25974999999999998</v>
      </c>
      <c r="T79" s="2">
        <v>0.56285830000000003</v>
      </c>
    </row>
    <row r="80" spans="1:20">
      <c r="A80" s="3" t="s">
        <v>705</v>
      </c>
      <c r="B80" s="1" t="s">
        <v>695</v>
      </c>
      <c r="C80" s="3" t="s">
        <v>696</v>
      </c>
      <c r="D80" s="3" t="s">
        <v>706</v>
      </c>
      <c r="E80" s="3" t="s">
        <v>707</v>
      </c>
      <c r="F80" s="3" t="s">
        <v>708</v>
      </c>
      <c r="G80" s="3" t="s">
        <v>709</v>
      </c>
      <c r="H80" s="11" t="s">
        <v>8063</v>
      </c>
      <c r="I80" s="3" t="s">
        <v>6527</v>
      </c>
      <c r="J80" s="7">
        <v>1.66</v>
      </c>
      <c r="K80" s="2" t="s">
        <v>6528</v>
      </c>
      <c r="L80" s="2">
        <v>6.54E-2</v>
      </c>
      <c r="M80" s="2">
        <f>7906/100000</f>
        <v>7.9060000000000005E-2</v>
      </c>
      <c r="N80" s="2">
        <v>0.31723240000000003</v>
      </c>
      <c r="O80" s="3" t="s">
        <v>6529</v>
      </c>
      <c r="P80" s="7">
        <v>1.17</v>
      </c>
      <c r="Q80" s="2" t="s">
        <v>6530</v>
      </c>
      <c r="R80" s="2">
        <v>0.68799999999999994</v>
      </c>
      <c r="S80" s="2">
        <f>83504/100000</f>
        <v>0.83504</v>
      </c>
      <c r="T80" s="2">
        <v>0.82929589999999997</v>
      </c>
    </row>
    <row r="81" spans="1:20">
      <c r="A81" s="3" t="s">
        <v>714</v>
      </c>
      <c r="B81" s="1" t="s">
        <v>715</v>
      </c>
      <c r="C81" s="3" t="s">
        <v>716</v>
      </c>
      <c r="D81" s="3" t="s">
        <v>717</v>
      </c>
      <c r="E81" s="3" t="s">
        <v>718</v>
      </c>
      <c r="F81" s="3" t="s">
        <v>719</v>
      </c>
      <c r="G81" s="3" t="s">
        <v>720</v>
      </c>
      <c r="H81" s="11" t="s">
        <v>8099</v>
      </c>
      <c r="I81" s="3" t="s">
        <v>6531</v>
      </c>
      <c r="J81" s="7">
        <v>0.72</v>
      </c>
      <c r="K81" s="2" t="s">
        <v>6248</v>
      </c>
      <c r="L81" s="2">
        <v>0.14899999999999999</v>
      </c>
      <c r="M81" s="2">
        <f>15972/100000</f>
        <v>0.15972</v>
      </c>
      <c r="N81" s="2">
        <v>0.44219589999999998</v>
      </c>
      <c r="O81" s="3" t="s">
        <v>6532</v>
      </c>
      <c r="P81" s="7">
        <v>0.67</v>
      </c>
      <c r="Q81" s="2" t="s">
        <v>6533</v>
      </c>
      <c r="R81" s="2">
        <v>5.5100000000000003E-2</v>
      </c>
      <c r="S81" s="2">
        <f>6306/100000</f>
        <v>6.3060000000000005E-2</v>
      </c>
      <c r="T81" s="2">
        <v>0.27836640000000001</v>
      </c>
    </row>
    <row r="82" spans="1:20">
      <c r="A82" s="3" t="s">
        <v>725</v>
      </c>
      <c r="B82" s="1" t="s">
        <v>715</v>
      </c>
      <c r="C82" s="3" t="s">
        <v>716</v>
      </c>
      <c r="D82" s="3" t="s">
        <v>726</v>
      </c>
      <c r="E82" s="3" t="s">
        <v>727</v>
      </c>
      <c r="F82" s="3" t="s">
        <v>719</v>
      </c>
      <c r="G82" s="3" t="s">
        <v>720</v>
      </c>
      <c r="H82" s="11" t="s">
        <v>8099</v>
      </c>
      <c r="I82" s="3" t="s">
        <v>6534</v>
      </c>
      <c r="J82" s="7">
        <v>0.65</v>
      </c>
      <c r="K82" s="2" t="s">
        <v>6535</v>
      </c>
      <c r="L82" s="2">
        <v>2.41E-2</v>
      </c>
      <c r="M82" s="2">
        <f>2404/100000</f>
        <v>2.4039999999999999E-2</v>
      </c>
      <c r="N82" s="2">
        <v>0.15482409999999999</v>
      </c>
      <c r="O82" s="3" t="s">
        <v>6536</v>
      </c>
      <c r="P82" s="7">
        <v>1.0900000000000001</v>
      </c>
      <c r="Q82" s="2" t="s">
        <v>6537</v>
      </c>
      <c r="R82" s="2">
        <v>0.59599999999999997</v>
      </c>
      <c r="S82" s="2">
        <f>62813/100000</f>
        <v>0.62812999999999997</v>
      </c>
      <c r="T82" s="2">
        <v>0.79869500000000004</v>
      </c>
    </row>
    <row r="83" spans="1:20">
      <c r="A83" s="3" t="s">
        <v>732</v>
      </c>
      <c r="B83" s="1" t="s">
        <v>733</v>
      </c>
      <c r="C83" s="3" t="s">
        <v>734</v>
      </c>
      <c r="D83" s="3" t="s">
        <v>735</v>
      </c>
      <c r="E83" s="3" t="s">
        <v>736</v>
      </c>
      <c r="F83" s="3" t="s">
        <v>737</v>
      </c>
      <c r="G83" s="3" t="s">
        <v>738</v>
      </c>
      <c r="H83" s="11" t="s">
        <v>8064</v>
      </c>
      <c r="I83" s="3" t="s">
        <v>6538</v>
      </c>
      <c r="J83" s="7">
        <v>0.66</v>
      </c>
      <c r="K83" s="2" t="s">
        <v>6539</v>
      </c>
      <c r="L83" s="2">
        <v>9.5500000000000002E-2</v>
      </c>
      <c r="M83" s="2">
        <f>9889/100000</f>
        <v>9.8890000000000006E-2</v>
      </c>
      <c r="N83" s="2">
        <v>0.3565972</v>
      </c>
      <c r="O83" s="3" t="s">
        <v>6540</v>
      </c>
      <c r="P83" s="7">
        <v>1.55</v>
      </c>
      <c r="Q83" s="2" t="s">
        <v>6541</v>
      </c>
      <c r="R83" s="2">
        <v>0.114</v>
      </c>
      <c r="S83" s="2">
        <f>12830/100000</f>
        <v>0.1283</v>
      </c>
      <c r="T83" s="2">
        <v>0.39500000000000002</v>
      </c>
    </row>
    <row r="84" spans="1:20">
      <c r="A84" s="3" t="s">
        <v>743</v>
      </c>
      <c r="B84" s="1" t="s">
        <v>733</v>
      </c>
      <c r="C84" s="3" t="s">
        <v>734</v>
      </c>
      <c r="D84" s="3" t="s">
        <v>744</v>
      </c>
      <c r="E84" s="3" t="s">
        <v>745</v>
      </c>
      <c r="F84" s="3" t="s">
        <v>737</v>
      </c>
      <c r="G84" s="3" t="s">
        <v>738</v>
      </c>
      <c r="H84" s="11" t="s">
        <v>8098</v>
      </c>
      <c r="I84" s="3" t="s">
        <v>6542</v>
      </c>
      <c r="J84" s="7">
        <v>1.24</v>
      </c>
      <c r="K84" s="2" t="s">
        <v>6543</v>
      </c>
      <c r="L84" s="2">
        <v>0.25600000000000001</v>
      </c>
      <c r="M84" s="2">
        <f>29186/100000</f>
        <v>0.29186000000000001</v>
      </c>
      <c r="N84" s="2">
        <v>0.57823020000000003</v>
      </c>
      <c r="O84" s="3" t="s">
        <v>6544</v>
      </c>
      <c r="P84" s="7">
        <v>0.88</v>
      </c>
      <c r="Q84" s="2" t="s">
        <v>6545</v>
      </c>
      <c r="R84" s="2">
        <v>0.61899999999999999</v>
      </c>
      <c r="S84" s="2">
        <f>70887/100000</f>
        <v>0.70887</v>
      </c>
      <c r="T84" s="2">
        <v>0.82137769999999999</v>
      </c>
    </row>
    <row r="85" spans="1:20">
      <c r="A85" s="3" t="s">
        <v>750</v>
      </c>
      <c r="B85" s="1" t="s">
        <v>733</v>
      </c>
      <c r="C85" s="3" t="s">
        <v>734</v>
      </c>
      <c r="D85" s="3" t="s">
        <v>751</v>
      </c>
      <c r="E85" s="3" t="s">
        <v>752</v>
      </c>
      <c r="F85" s="3" t="s">
        <v>737</v>
      </c>
      <c r="G85" s="3" t="s">
        <v>738</v>
      </c>
      <c r="H85" s="11" t="s">
        <v>8100</v>
      </c>
      <c r="I85" s="3" t="s">
        <v>6546</v>
      </c>
      <c r="J85" s="7">
        <v>0.99</v>
      </c>
      <c r="K85" s="2" t="s">
        <v>6547</v>
      </c>
      <c r="L85" s="2">
        <v>0.97099999999999997</v>
      </c>
      <c r="M85" s="2">
        <f>100000/100000</f>
        <v>1</v>
      </c>
      <c r="N85" s="2">
        <v>0.82929589999999997</v>
      </c>
      <c r="O85" s="3" t="s">
        <v>6548</v>
      </c>
      <c r="P85" s="7">
        <v>1.07</v>
      </c>
      <c r="Q85" s="2" t="s">
        <v>5073</v>
      </c>
      <c r="R85" s="2">
        <v>0.77900000000000003</v>
      </c>
      <c r="S85" s="2">
        <f>80673/100000</f>
        <v>0.80672999999999995</v>
      </c>
      <c r="T85" s="2">
        <v>0.82929589999999997</v>
      </c>
    </row>
    <row r="86" spans="1:20">
      <c r="A86" s="3" t="s">
        <v>757</v>
      </c>
      <c r="B86" s="1" t="s">
        <v>758</v>
      </c>
      <c r="C86" s="3" t="s">
        <v>759</v>
      </c>
      <c r="D86" s="3" t="s">
        <v>760</v>
      </c>
      <c r="E86" s="3" t="s">
        <v>761</v>
      </c>
      <c r="F86" s="3" t="s">
        <v>762</v>
      </c>
      <c r="G86" s="3" t="s">
        <v>763</v>
      </c>
      <c r="H86" s="11" t="s">
        <v>8065</v>
      </c>
      <c r="I86" s="3" t="s">
        <v>6549</v>
      </c>
      <c r="J86" s="7">
        <v>0.25</v>
      </c>
      <c r="K86" s="2" t="s">
        <v>6550</v>
      </c>
      <c r="L86" s="2">
        <v>0.13500000000000001</v>
      </c>
      <c r="M86" s="2">
        <f>18943/100000</f>
        <v>0.18942999999999999</v>
      </c>
      <c r="N86" s="2">
        <v>0.47761559999999997</v>
      </c>
      <c r="O86" s="3" t="s">
        <v>6551</v>
      </c>
      <c r="P86" s="7">
        <v>1.2</v>
      </c>
      <c r="Q86" s="2" t="s">
        <v>6552</v>
      </c>
      <c r="R86" s="2">
        <v>0.63700000000000001</v>
      </c>
      <c r="S86" s="2">
        <f>66851/100000</f>
        <v>0.66851000000000005</v>
      </c>
      <c r="T86" s="2">
        <v>0.80511429999999995</v>
      </c>
    </row>
    <row r="87" spans="1:20">
      <c r="A87" s="3" t="s">
        <v>768</v>
      </c>
      <c r="B87" s="1" t="s">
        <v>758</v>
      </c>
      <c r="C87" s="3" t="s">
        <v>759</v>
      </c>
      <c r="D87" s="3" t="s">
        <v>769</v>
      </c>
      <c r="E87" s="3" t="s">
        <v>770</v>
      </c>
      <c r="F87" s="3" t="s">
        <v>762</v>
      </c>
      <c r="G87" s="3" t="s">
        <v>763</v>
      </c>
      <c r="H87" s="11" t="s">
        <v>8101</v>
      </c>
      <c r="I87" s="3" t="s">
        <v>6553</v>
      </c>
      <c r="J87" s="7">
        <v>1.04</v>
      </c>
      <c r="K87" s="2" t="s">
        <v>6554</v>
      </c>
      <c r="L87" s="2">
        <v>0.95299999999999996</v>
      </c>
      <c r="M87" s="2">
        <f>100000/100000</f>
        <v>1</v>
      </c>
      <c r="N87" s="2">
        <v>0.82929589999999997</v>
      </c>
      <c r="O87" s="3" t="s">
        <v>6555</v>
      </c>
      <c r="P87" s="7">
        <v>0</v>
      </c>
      <c r="Q87" s="2" t="s">
        <v>774</v>
      </c>
      <c r="R87" s="2">
        <v>0.215</v>
      </c>
      <c r="S87" s="2">
        <f>40563/100000</f>
        <v>0.40562999999999999</v>
      </c>
      <c r="T87" s="2">
        <v>0.66820829999999998</v>
      </c>
    </row>
    <row r="88" spans="1:20">
      <c r="A88" s="3" t="s">
        <v>775</v>
      </c>
      <c r="B88" s="1" t="s">
        <v>758</v>
      </c>
      <c r="C88" s="3" t="s">
        <v>759</v>
      </c>
      <c r="D88" s="3" t="s">
        <v>776</v>
      </c>
      <c r="E88" s="3" t="s">
        <v>777</v>
      </c>
      <c r="F88" s="3" t="s">
        <v>762</v>
      </c>
      <c r="G88" s="3" t="s">
        <v>763</v>
      </c>
      <c r="H88" s="11" t="s">
        <v>8102</v>
      </c>
      <c r="I88" s="3" t="s">
        <v>6556</v>
      </c>
      <c r="J88" s="7">
        <v>0.66</v>
      </c>
      <c r="K88" s="2" t="s">
        <v>1344</v>
      </c>
      <c r="L88" s="2">
        <v>0.27400000000000002</v>
      </c>
      <c r="M88" s="2">
        <f>34093/100000</f>
        <v>0.34093000000000001</v>
      </c>
      <c r="N88" s="2">
        <v>0.61526179999999997</v>
      </c>
      <c r="O88" s="3" t="s">
        <v>6557</v>
      </c>
      <c r="P88" s="7">
        <v>0.86</v>
      </c>
      <c r="Q88" s="2" t="s">
        <v>6558</v>
      </c>
      <c r="R88" s="2">
        <v>0.68700000000000006</v>
      </c>
      <c r="S88" s="2">
        <f>72758/100000</f>
        <v>0.72758</v>
      </c>
      <c r="T88" s="2">
        <v>0.82137769999999999</v>
      </c>
    </row>
    <row r="89" spans="1:20">
      <c r="A89" s="3" t="s">
        <v>782</v>
      </c>
      <c r="B89" s="1" t="s">
        <v>758</v>
      </c>
      <c r="C89" s="3" t="s">
        <v>759</v>
      </c>
      <c r="D89" s="3" t="s">
        <v>783</v>
      </c>
      <c r="E89" s="3" t="s">
        <v>784</v>
      </c>
      <c r="F89" s="3" t="s">
        <v>762</v>
      </c>
      <c r="G89" s="3" t="s">
        <v>763</v>
      </c>
      <c r="H89" s="11" t="s">
        <v>8065</v>
      </c>
      <c r="I89" s="3" t="s">
        <v>6559</v>
      </c>
      <c r="J89" s="7">
        <v>0.57999999999999996</v>
      </c>
      <c r="K89" s="2" t="s">
        <v>6560</v>
      </c>
      <c r="L89" s="2">
        <v>8.48E-2</v>
      </c>
      <c r="M89" s="2">
        <f>9993/100000</f>
        <v>9.9930000000000005E-2</v>
      </c>
      <c r="N89" s="2">
        <v>0.3565972</v>
      </c>
      <c r="O89" s="3" t="s">
        <v>6561</v>
      </c>
      <c r="P89" s="7">
        <v>1.67</v>
      </c>
      <c r="Q89" s="2" t="s">
        <v>6562</v>
      </c>
      <c r="R89" s="2">
        <v>7.4499999999999997E-2</v>
      </c>
      <c r="S89" s="2">
        <f>10033/100000</f>
        <v>0.10033</v>
      </c>
      <c r="T89" s="2">
        <v>0.3565972</v>
      </c>
    </row>
    <row r="90" spans="1:20">
      <c r="A90" s="3" t="s">
        <v>789</v>
      </c>
      <c r="B90" s="1" t="s">
        <v>758</v>
      </c>
      <c r="C90" s="3" t="s">
        <v>759</v>
      </c>
      <c r="D90" s="3" t="s">
        <v>790</v>
      </c>
      <c r="E90" s="3" t="s">
        <v>791</v>
      </c>
      <c r="F90" s="3" t="s">
        <v>762</v>
      </c>
      <c r="G90" s="3" t="s">
        <v>763</v>
      </c>
      <c r="H90" s="11" t="s">
        <v>8065</v>
      </c>
      <c r="I90" s="3" t="s">
        <v>6563</v>
      </c>
      <c r="J90" s="7">
        <v>0.48</v>
      </c>
      <c r="K90" s="2" t="s">
        <v>6564</v>
      </c>
      <c r="L90" s="2">
        <v>1.5599999999999999E-2</v>
      </c>
      <c r="M90" s="2">
        <f>1940/100000</f>
        <v>1.9400000000000001E-2</v>
      </c>
      <c r="N90" s="2">
        <v>0.1360915</v>
      </c>
      <c r="O90" s="3" t="s">
        <v>6565</v>
      </c>
      <c r="P90" s="7">
        <v>1.66</v>
      </c>
      <c r="Q90" s="2" t="s">
        <v>6566</v>
      </c>
      <c r="R90" s="2">
        <v>1.95E-2</v>
      </c>
      <c r="S90" s="2">
        <f>2147/100000</f>
        <v>2.147E-2</v>
      </c>
      <c r="T90" s="2">
        <v>0.14488519999999999</v>
      </c>
    </row>
    <row r="91" spans="1:20">
      <c r="A91" s="3" t="s">
        <v>796</v>
      </c>
      <c r="B91" s="1" t="s">
        <v>797</v>
      </c>
      <c r="C91" s="3" t="s">
        <v>798</v>
      </c>
      <c r="D91" s="3" t="s">
        <v>799</v>
      </c>
      <c r="E91" s="3" t="s">
        <v>800</v>
      </c>
      <c r="F91" s="3" t="s">
        <v>801</v>
      </c>
      <c r="G91" s="3" t="s">
        <v>802</v>
      </c>
      <c r="H91" s="11" t="s">
        <v>8103</v>
      </c>
      <c r="I91" s="3" t="s">
        <v>6567</v>
      </c>
      <c r="J91" s="7">
        <v>0.79</v>
      </c>
      <c r="K91" s="2" t="s">
        <v>6568</v>
      </c>
      <c r="L91" s="2">
        <v>0.48399999999999999</v>
      </c>
      <c r="M91" s="2">
        <f>54578/100000</f>
        <v>0.54578000000000004</v>
      </c>
      <c r="N91" s="2">
        <v>0.74606439999999996</v>
      </c>
      <c r="O91" s="3" t="s">
        <v>6569</v>
      </c>
      <c r="P91" s="7">
        <v>1.21</v>
      </c>
      <c r="Q91" s="2" t="s">
        <v>6570</v>
      </c>
      <c r="R91" s="2">
        <v>0.35699999999999998</v>
      </c>
      <c r="S91" s="2">
        <f>36211/100000</f>
        <v>0.36210999999999999</v>
      </c>
      <c r="T91" s="2">
        <v>0.6409897</v>
      </c>
    </row>
    <row r="92" spans="1:20">
      <c r="A92" s="3" t="s">
        <v>807</v>
      </c>
      <c r="B92" s="1" t="s">
        <v>808</v>
      </c>
      <c r="C92" s="3" t="s">
        <v>809</v>
      </c>
      <c r="D92" s="3" t="s">
        <v>810</v>
      </c>
      <c r="E92" s="3" t="s">
        <v>811</v>
      </c>
      <c r="F92" s="3" t="s">
        <v>812</v>
      </c>
      <c r="G92" s="3" t="s">
        <v>813</v>
      </c>
      <c r="H92" s="11" t="s">
        <v>8066</v>
      </c>
      <c r="I92" s="3" t="s">
        <v>6571</v>
      </c>
      <c r="J92" s="7">
        <v>1.76</v>
      </c>
      <c r="K92" s="2" t="s">
        <v>6572</v>
      </c>
      <c r="L92" s="2">
        <v>1.06E-3</v>
      </c>
      <c r="M92" s="2">
        <f>192/100000</f>
        <v>1.92E-3</v>
      </c>
      <c r="N92" s="2">
        <v>2.6503229999999999E-2</v>
      </c>
      <c r="O92" s="3" t="s">
        <v>6573</v>
      </c>
      <c r="P92" s="7">
        <v>0.96</v>
      </c>
      <c r="Q92" s="2" t="s">
        <v>6574</v>
      </c>
      <c r="R92" s="2">
        <v>0.88900000000000001</v>
      </c>
      <c r="S92" s="2">
        <f>90217/100000</f>
        <v>0.90217000000000003</v>
      </c>
      <c r="T92" s="2">
        <v>0.82929589999999997</v>
      </c>
    </row>
    <row r="93" spans="1:20">
      <c r="A93" s="3" t="s">
        <v>818</v>
      </c>
      <c r="B93" s="1" t="s">
        <v>808</v>
      </c>
      <c r="C93" s="3" t="s">
        <v>809</v>
      </c>
      <c r="D93" s="3" t="s">
        <v>819</v>
      </c>
      <c r="E93" s="3" t="s">
        <v>820</v>
      </c>
      <c r="F93" s="3" t="s">
        <v>821</v>
      </c>
      <c r="G93" s="3" t="s">
        <v>822</v>
      </c>
      <c r="H93" s="11" t="s">
        <v>8066</v>
      </c>
      <c r="I93" s="3" t="s">
        <v>6575</v>
      </c>
      <c r="J93" s="7">
        <v>1.06</v>
      </c>
      <c r="K93" s="2" t="s">
        <v>6576</v>
      </c>
      <c r="L93" s="2">
        <v>0.76100000000000001</v>
      </c>
      <c r="M93" s="2">
        <f>83898/100000</f>
        <v>0.83897999999999995</v>
      </c>
      <c r="N93" s="2">
        <v>0.82929589999999997</v>
      </c>
      <c r="O93" s="3" t="s">
        <v>6577</v>
      </c>
      <c r="P93" s="7">
        <v>0.73</v>
      </c>
      <c r="Q93" s="2" t="s">
        <v>6578</v>
      </c>
      <c r="R93" s="2">
        <v>0.24</v>
      </c>
      <c r="S93" s="2">
        <f>25243/100000</f>
        <v>0.25242999999999999</v>
      </c>
      <c r="T93" s="2">
        <v>0.55394690000000002</v>
      </c>
    </row>
    <row r="94" spans="1:20">
      <c r="A94" s="3" t="s">
        <v>827</v>
      </c>
      <c r="B94" s="1" t="s">
        <v>828</v>
      </c>
      <c r="C94" s="3" t="s">
        <v>829</v>
      </c>
      <c r="D94" s="3" t="s">
        <v>830</v>
      </c>
      <c r="E94" s="3" t="s">
        <v>831</v>
      </c>
      <c r="F94" s="3" t="s">
        <v>832</v>
      </c>
      <c r="G94" s="3" t="s">
        <v>833</v>
      </c>
      <c r="H94" s="11" t="s">
        <v>8104</v>
      </c>
      <c r="I94" s="3" t="s">
        <v>6579</v>
      </c>
      <c r="J94" s="7">
        <v>0.73</v>
      </c>
      <c r="K94" s="2" t="s">
        <v>6580</v>
      </c>
      <c r="L94" s="2">
        <v>0.495</v>
      </c>
      <c r="M94" s="2">
        <f>56500/100000</f>
        <v>0.56499999999999995</v>
      </c>
      <c r="N94" s="2">
        <v>0.76069089999999995</v>
      </c>
      <c r="O94" s="3" t="s">
        <v>6581</v>
      </c>
      <c r="P94" s="7">
        <v>1.36</v>
      </c>
      <c r="Q94" s="2" t="s">
        <v>6582</v>
      </c>
      <c r="R94" s="2">
        <v>0.36599999999999999</v>
      </c>
      <c r="S94" s="2">
        <f>42489/100000</f>
        <v>0.42488999999999999</v>
      </c>
      <c r="T94" s="2">
        <v>0.68104299999999995</v>
      </c>
    </row>
    <row r="95" spans="1:20">
      <c r="A95" s="3" t="s">
        <v>838</v>
      </c>
      <c r="B95" s="1" t="s">
        <v>828</v>
      </c>
      <c r="C95" s="3" t="s">
        <v>829</v>
      </c>
      <c r="D95" s="3" t="s">
        <v>839</v>
      </c>
      <c r="E95" s="3" t="s">
        <v>840</v>
      </c>
      <c r="F95" s="3" t="s">
        <v>841</v>
      </c>
      <c r="G95" s="3" t="s">
        <v>842</v>
      </c>
      <c r="H95" s="11" t="s">
        <v>8105</v>
      </c>
      <c r="I95" s="3" t="s">
        <v>6583</v>
      </c>
      <c r="J95" s="7">
        <v>0.22</v>
      </c>
      <c r="K95" s="2" t="s">
        <v>6584</v>
      </c>
      <c r="L95" s="2">
        <v>0.10199999999999999</v>
      </c>
      <c r="M95" s="2">
        <f>13495/100000</f>
        <v>0.13494999999999999</v>
      </c>
      <c r="N95" s="2">
        <v>0.40163670000000001</v>
      </c>
      <c r="O95" s="3" t="s">
        <v>6585</v>
      </c>
      <c r="P95" s="7">
        <v>0.94</v>
      </c>
      <c r="Q95" s="2" t="s">
        <v>6586</v>
      </c>
      <c r="R95" s="2">
        <v>0.89800000000000002</v>
      </c>
      <c r="S95" s="2">
        <f>100000/100000</f>
        <v>1</v>
      </c>
      <c r="T95" s="2">
        <v>0.82929589999999997</v>
      </c>
    </row>
    <row r="96" spans="1:20">
      <c r="A96" s="3" t="s">
        <v>847</v>
      </c>
      <c r="B96" s="1" t="s">
        <v>848</v>
      </c>
      <c r="C96" s="3" t="s">
        <v>849</v>
      </c>
      <c r="D96" s="3" t="s">
        <v>850</v>
      </c>
      <c r="E96" s="3" t="s">
        <v>851</v>
      </c>
      <c r="F96" s="3" t="s">
        <v>852</v>
      </c>
      <c r="G96" s="3" t="s">
        <v>853</v>
      </c>
      <c r="H96" s="11" t="s">
        <v>8106</v>
      </c>
      <c r="I96" s="3" t="s">
        <v>6587</v>
      </c>
      <c r="J96" s="7">
        <v>0.54</v>
      </c>
      <c r="K96" s="2" t="s">
        <v>6588</v>
      </c>
      <c r="L96" s="2">
        <v>0.16900000000000001</v>
      </c>
      <c r="M96" s="2">
        <f>17831/100000</f>
        <v>0.17831</v>
      </c>
      <c r="N96" s="2">
        <v>0.46586650000000002</v>
      </c>
      <c r="O96" s="3" t="s">
        <v>6589</v>
      </c>
      <c r="P96" s="7">
        <v>1.37</v>
      </c>
      <c r="Q96" s="2" t="s">
        <v>6590</v>
      </c>
      <c r="R96" s="2">
        <v>0.41699999999999998</v>
      </c>
      <c r="S96" s="2">
        <f>49546/100000</f>
        <v>0.49546000000000001</v>
      </c>
      <c r="T96" s="2">
        <v>0.73484130000000003</v>
      </c>
    </row>
    <row r="97" spans="1:20">
      <c r="A97" s="3" t="s">
        <v>858</v>
      </c>
      <c r="B97" s="1" t="s">
        <v>848</v>
      </c>
      <c r="C97" s="3" t="s">
        <v>849</v>
      </c>
      <c r="D97" s="3" t="s">
        <v>859</v>
      </c>
      <c r="E97" s="3" t="s">
        <v>860</v>
      </c>
      <c r="F97" s="3" t="s">
        <v>861</v>
      </c>
      <c r="G97" s="3" t="s">
        <v>862</v>
      </c>
      <c r="H97" s="11" t="s">
        <v>8094</v>
      </c>
      <c r="I97" s="3" t="s">
        <v>6591</v>
      </c>
      <c r="J97" s="7">
        <v>1.68</v>
      </c>
      <c r="K97" s="2" t="s">
        <v>6592</v>
      </c>
      <c r="L97" s="2">
        <v>0.218</v>
      </c>
      <c r="M97" s="2">
        <f>27495/100000</f>
        <v>0.27495000000000003</v>
      </c>
      <c r="N97" s="2">
        <v>0.56620890000000001</v>
      </c>
      <c r="O97" s="3" t="s">
        <v>6593</v>
      </c>
      <c r="P97" s="7">
        <v>0.89</v>
      </c>
      <c r="Q97" s="2" t="s">
        <v>6594</v>
      </c>
      <c r="R97" s="2">
        <v>0.83599999999999997</v>
      </c>
      <c r="S97" s="2">
        <f>100000/100000</f>
        <v>1</v>
      </c>
      <c r="T97" s="2">
        <v>0.82929589999999997</v>
      </c>
    </row>
    <row r="98" spans="1:20">
      <c r="A98" s="3" t="s">
        <v>866</v>
      </c>
      <c r="B98" s="1" t="s">
        <v>867</v>
      </c>
      <c r="C98" s="3" t="s">
        <v>868</v>
      </c>
      <c r="D98" s="3" t="s">
        <v>850</v>
      </c>
      <c r="E98" s="3" t="s">
        <v>851</v>
      </c>
      <c r="F98" s="3" t="s">
        <v>852</v>
      </c>
      <c r="G98" s="3" t="s">
        <v>853</v>
      </c>
      <c r="H98" s="11" t="s">
        <v>8107</v>
      </c>
      <c r="I98" s="3" t="s">
        <v>6587</v>
      </c>
      <c r="J98" s="7">
        <v>0.54</v>
      </c>
      <c r="K98" s="2" t="s">
        <v>6588</v>
      </c>
      <c r="L98" s="2">
        <v>0.16900000000000001</v>
      </c>
      <c r="M98" s="2">
        <f>17831/100000</f>
        <v>0.17831</v>
      </c>
      <c r="N98" s="2">
        <v>0.46586650000000002</v>
      </c>
      <c r="O98" s="3" t="s">
        <v>6589</v>
      </c>
      <c r="P98" s="7">
        <v>1.37</v>
      </c>
      <c r="Q98" s="2" t="s">
        <v>6590</v>
      </c>
      <c r="R98" s="2">
        <v>0.41699999999999998</v>
      </c>
      <c r="S98" s="2">
        <f>49546/100000</f>
        <v>0.49546000000000001</v>
      </c>
      <c r="T98" s="2">
        <v>0.73484130000000003</v>
      </c>
    </row>
    <row r="99" spans="1:20">
      <c r="A99" s="3" t="s">
        <v>869</v>
      </c>
      <c r="B99" s="1" t="s">
        <v>867</v>
      </c>
      <c r="C99" s="3" t="s">
        <v>868</v>
      </c>
      <c r="D99" s="3" t="s">
        <v>859</v>
      </c>
      <c r="E99" s="3" t="s">
        <v>860</v>
      </c>
      <c r="F99" s="3" t="s">
        <v>861</v>
      </c>
      <c r="G99" s="3" t="s">
        <v>862</v>
      </c>
      <c r="H99" s="11" t="s">
        <v>8108</v>
      </c>
      <c r="I99" s="3" t="s">
        <v>6591</v>
      </c>
      <c r="J99" s="7">
        <v>1.68</v>
      </c>
      <c r="K99" s="2" t="s">
        <v>6592</v>
      </c>
      <c r="L99" s="2">
        <v>0.218</v>
      </c>
      <c r="M99" s="2">
        <f>27495/100000</f>
        <v>0.27495000000000003</v>
      </c>
      <c r="N99" s="2">
        <v>0.56620890000000001</v>
      </c>
      <c r="O99" s="3" t="s">
        <v>6593</v>
      </c>
      <c r="P99" s="7">
        <v>0.89</v>
      </c>
      <c r="Q99" s="2" t="s">
        <v>6594</v>
      </c>
      <c r="R99" s="2">
        <v>0.83599999999999997</v>
      </c>
      <c r="S99" s="2">
        <f>100000/100000</f>
        <v>1</v>
      </c>
      <c r="T99" s="2">
        <v>0.82929589999999997</v>
      </c>
    </row>
    <row r="100" spans="1:20">
      <c r="A100" s="3" t="s">
        <v>870</v>
      </c>
      <c r="B100" s="1" t="s">
        <v>871</v>
      </c>
      <c r="C100" s="3" t="s">
        <v>872</v>
      </c>
      <c r="D100" s="3" t="s">
        <v>873</v>
      </c>
      <c r="E100" s="3" t="s">
        <v>874</v>
      </c>
      <c r="F100" s="3" t="s">
        <v>875</v>
      </c>
      <c r="G100" s="3" t="s">
        <v>876</v>
      </c>
      <c r="H100" s="11" t="s">
        <v>8078</v>
      </c>
      <c r="I100" s="3" t="s">
        <v>6595</v>
      </c>
      <c r="J100" s="7">
        <v>1.1499999999999999</v>
      </c>
      <c r="K100" s="2" t="s">
        <v>6596</v>
      </c>
      <c r="L100" s="2">
        <v>0.69299999999999995</v>
      </c>
      <c r="M100" s="2">
        <f>69536/100000</f>
        <v>0.69535999999999998</v>
      </c>
      <c r="N100" s="2">
        <v>0.81405680000000002</v>
      </c>
      <c r="O100" s="3" t="s">
        <v>6597</v>
      </c>
      <c r="P100" s="7">
        <v>0.77</v>
      </c>
      <c r="Q100" s="2" t="s">
        <v>6598</v>
      </c>
      <c r="R100" s="2">
        <v>0.59799999999999998</v>
      </c>
      <c r="S100" s="2">
        <f>66877/100000</f>
        <v>0.66876999999999998</v>
      </c>
      <c r="T100" s="2">
        <v>0.80511429999999995</v>
      </c>
    </row>
    <row r="101" spans="1:20">
      <c r="A101" s="3" t="s">
        <v>881</v>
      </c>
      <c r="B101" s="1" t="s">
        <v>871</v>
      </c>
      <c r="C101" s="3" t="s">
        <v>872</v>
      </c>
      <c r="D101" s="3" t="s">
        <v>882</v>
      </c>
      <c r="E101" s="3" t="s">
        <v>883</v>
      </c>
      <c r="F101" s="3" t="s">
        <v>884</v>
      </c>
      <c r="G101" s="3" t="s">
        <v>885</v>
      </c>
      <c r="H101" s="11" t="s">
        <v>8078</v>
      </c>
      <c r="I101" s="3" t="s">
        <v>6599</v>
      </c>
      <c r="J101" s="7">
        <v>1.45</v>
      </c>
      <c r="K101" s="2" t="s">
        <v>6600</v>
      </c>
      <c r="L101" s="2">
        <v>0.27500000000000002</v>
      </c>
      <c r="M101" s="2">
        <f>30288/100000</f>
        <v>0.30287999999999998</v>
      </c>
      <c r="N101" s="2">
        <v>0.59025229999999995</v>
      </c>
      <c r="O101" s="3" t="s">
        <v>6601</v>
      </c>
      <c r="P101" s="7">
        <v>1.53</v>
      </c>
      <c r="Q101" s="2" t="s">
        <v>6602</v>
      </c>
      <c r="R101" s="2">
        <v>0.21199999999999999</v>
      </c>
      <c r="S101" s="2">
        <f>29415/100000</f>
        <v>0.29415000000000002</v>
      </c>
      <c r="T101" s="2">
        <v>0.57886890000000002</v>
      </c>
    </row>
    <row r="102" spans="1:20">
      <c r="A102" s="3" t="s">
        <v>890</v>
      </c>
      <c r="B102" s="1" t="s">
        <v>891</v>
      </c>
      <c r="C102" s="3" t="s">
        <v>892</v>
      </c>
      <c r="D102" s="3" t="s">
        <v>893</v>
      </c>
      <c r="E102" s="3" t="s">
        <v>894</v>
      </c>
      <c r="F102" s="3" t="s">
        <v>895</v>
      </c>
      <c r="G102" s="3" t="s">
        <v>896</v>
      </c>
      <c r="H102" s="11" t="s">
        <v>8068</v>
      </c>
      <c r="I102" s="3" t="s">
        <v>6603</v>
      </c>
      <c r="J102" s="7">
        <v>1.28</v>
      </c>
      <c r="K102" s="2" t="s">
        <v>6604</v>
      </c>
      <c r="L102" s="2">
        <v>2.8500000000000001E-2</v>
      </c>
      <c r="M102" s="2">
        <f>3167/100000</f>
        <v>3.1669999999999997E-2</v>
      </c>
      <c r="N102" s="2">
        <v>0.18497669999999999</v>
      </c>
      <c r="O102" s="3" t="s">
        <v>6605</v>
      </c>
      <c r="P102" s="7">
        <v>1.32</v>
      </c>
      <c r="Q102" s="2" t="s">
        <v>6606</v>
      </c>
      <c r="R102" s="2">
        <v>2.23E-2</v>
      </c>
      <c r="S102" s="2">
        <f>2265/100000</f>
        <v>2.265E-2</v>
      </c>
      <c r="T102" s="2">
        <v>0.14944170000000001</v>
      </c>
    </row>
    <row r="103" spans="1:20">
      <c r="A103" s="3" t="s">
        <v>901</v>
      </c>
      <c r="B103" s="1" t="s">
        <v>902</v>
      </c>
      <c r="C103" s="3" t="s">
        <v>903</v>
      </c>
      <c r="D103" s="3" t="s">
        <v>904</v>
      </c>
      <c r="E103" s="3" t="s">
        <v>905</v>
      </c>
      <c r="F103" s="3" t="s">
        <v>906</v>
      </c>
      <c r="G103" s="3" t="s">
        <v>907</v>
      </c>
      <c r="H103" s="11" t="s">
        <v>8069</v>
      </c>
      <c r="I103" s="3" t="s">
        <v>6607</v>
      </c>
      <c r="J103" s="7">
        <v>1.21</v>
      </c>
      <c r="K103" s="2" t="s">
        <v>6608</v>
      </c>
      <c r="L103" s="2">
        <v>0.376</v>
      </c>
      <c r="M103" s="2">
        <f>41731/100000</f>
        <v>0.41731000000000001</v>
      </c>
      <c r="N103" s="2">
        <v>0.67506149999999998</v>
      </c>
      <c r="O103" s="3" t="s">
        <v>6609</v>
      </c>
      <c r="P103" s="7">
        <v>0.47</v>
      </c>
      <c r="Q103" s="2" t="s">
        <v>6610</v>
      </c>
      <c r="R103" s="2">
        <v>2.92E-2</v>
      </c>
      <c r="S103" s="2">
        <f>3025/100000</f>
        <v>3.0249999999999999E-2</v>
      </c>
      <c r="T103" s="2">
        <v>0.1821903</v>
      </c>
    </row>
    <row r="104" spans="1:20">
      <c r="A104" s="3" t="s">
        <v>912</v>
      </c>
      <c r="B104" s="1" t="s">
        <v>902</v>
      </c>
      <c r="C104" s="3" t="s">
        <v>903</v>
      </c>
      <c r="D104" s="3" t="s">
        <v>913</v>
      </c>
      <c r="E104" s="3" t="s">
        <v>914</v>
      </c>
      <c r="F104" s="3" t="s">
        <v>915</v>
      </c>
      <c r="G104" s="3" t="s">
        <v>916</v>
      </c>
      <c r="H104" s="11" t="s">
        <v>8069</v>
      </c>
      <c r="I104" s="3" t="s">
        <v>6611</v>
      </c>
      <c r="J104" s="7">
        <v>2.9</v>
      </c>
      <c r="K104" s="2" t="s">
        <v>6612</v>
      </c>
      <c r="L104" s="2">
        <v>3.05E-6</v>
      </c>
      <c r="M104" s="2">
        <f>10/100000</f>
        <v>1E-4</v>
      </c>
      <c r="N104" s="2">
        <v>2.542079E-3</v>
      </c>
      <c r="O104" s="3" t="s">
        <v>6613</v>
      </c>
      <c r="P104" s="7">
        <v>0.31</v>
      </c>
      <c r="Q104" s="2" t="s">
        <v>6614</v>
      </c>
      <c r="R104" s="2">
        <v>0.21199999999999999</v>
      </c>
      <c r="S104" s="2">
        <f>26615/100000</f>
        <v>0.26615</v>
      </c>
      <c r="T104" s="2">
        <v>0.56620890000000001</v>
      </c>
    </row>
    <row r="105" spans="1:20">
      <c r="A105" s="3" t="s">
        <v>921</v>
      </c>
      <c r="B105" s="1" t="s">
        <v>922</v>
      </c>
      <c r="C105" s="3" t="s">
        <v>923</v>
      </c>
      <c r="D105" s="3" t="s">
        <v>924</v>
      </c>
      <c r="E105" s="3" t="s">
        <v>925</v>
      </c>
      <c r="F105" s="3" t="s">
        <v>926</v>
      </c>
      <c r="G105" s="3" t="s">
        <v>927</v>
      </c>
      <c r="H105" s="11" t="s">
        <v>8109</v>
      </c>
      <c r="I105" s="3" t="s">
        <v>6615</v>
      </c>
      <c r="J105" s="7">
        <v>2.42</v>
      </c>
      <c r="K105" s="2" t="s">
        <v>6616</v>
      </c>
      <c r="L105" s="2">
        <v>8.5900000000000004E-2</v>
      </c>
      <c r="M105" s="2">
        <f>10063/100000</f>
        <v>0.10063</v>
      </c>
      <c r="N105" s="2">
        <v>0.35767929999999998</v>
      </c>
      <c r="O105" s="3" t="s">
        <v>6617</v>
      </c>
      <c r="P105" s="7">
        <v>0.6</v>
      </c>
      <c r="Q105" s="2" t="s">
        <v>6618</v>
      </c>
      <c r="R105" s="2">
        <v>0.60899999999999999</v>
      </c>
      <c r="S105" s="2">
        <f>73183/100000</f>
        <v>0.73182999999999998</v>
      </c>
      <c r="T105" s="2">
        <v>0.82137769999999999</v>
      </c>
    </row>
    <row r="106" spans="1:20">
      <c r="A106" s="3" t="s">
        <v>932</v>
      </c>
      <c r="B106" s="1" t="s">
        <v>922</v>
      </c>
      <c r="C106" s="3" t="s">
        <v>923</v>
      </c>
      <c r="D106" s="3" t="s">
        <v>933</v>
      </c>
      <c r="E106" s="3" t="s">
        <v>934</v>
      </c>
      <c r="F106" s="3" t="s">
        <v>935</v>
      </c>
      <c r="G106" s="3" t="s">
        <v>936</v>
      </c>
      <c r="H106" s="11" t="s">
        <v>8110</v>
      </c>
      <c r="I106" s="3" t="s">
        <v>6619</v>
      </c>
      <c r="J106" s="7">
        <v>0.94</v>
      </c>
      <c r="K106" s="2" t="s">
        <v>6620</v>
      </c>
      <c r="L106" s="2">
        <v>0.88400000000000001</v>
      </c>
      <c r="M106" s="2">
        <f>100000/100000</f>
        <v>1</v>
      </c>
      <c r="N106" s="2">
        <v>0.82929589999999997</v>
      </c>
      <c r="O106" s="3" t="s">
        <v>6621</v>
      </c>
      <c r="P106" s="7">
        <v>0</v>
      </c>
      <c r="Q106" s="2" t="s">
        <v>774</v>
      </c>
      <c r="R106" s="2">
        <v>0.28000000000000003</v>
      </c>
      <c r="S106" s="2">
        <f>42018/100000</f>
        <v>0.42018</v>
      </c>
      <c r="T106" s="2">
        <v>0.67565790000000003</v>
      </c>
    </row>
    <row r="107" spans="1:20">
      <c r="A107" s="3" t="s">
        <v>940</v>
      </c>
      <c r="B107" s="1" t="s">
        <v>941</v>
      </c>
      <c r="C107" s="3" t="s">
        <v>942</v>
      </c>
      <c r="D107" s="3" t="s">
        <v>943</v>
      </c>
      <c r="E107" s="3" t="s">
        <v>944</v>
      </c>
      <c r="F107" s="3" t="s">
        <v>945</v>
      </c>
      <c r="G107" s="3" t="s">
        <v>946</v>
      </c>
      <c r="H107" s="11" t="s">
        <v>8111</v>
      </c>
      <c r="I107" s="3" t="s">
        <v>6622</v>
      </c>
      <c r="J107" s="7">
        <v>1.31</v>
      </c>
      <c r="K107" s="2" t="s">
        <v>6623</v>
      </c>
      <c r="L107" s="2">
        <v>4.9200000000000001E-2</v>
      </c>
      <c r="M107" s="2">
        <f>4982/100000</f>
        <v>4.9820000000000003E-2</v>
      </c>
      <c r="N107" s="2">
        <v>0.24124809999999999</v>
      </c>
      <c r="O107" s="3" t="s">
        <v>6624</v>
      </c>
      <c r="P107" s="7">
        <v>0.85</v>
      </c>
      <c r="Q107" s="2" t="s">
        <v>6625</v>
      </c>
      <c r="R107" s="2">
        <v>0.20899999999999999</v>
      </c>
      <c r="S107" s="2">
        <f>22401/100000</f>
        <v>0.22400999999999999</v>
      </c>
      <c r="T107" s="2">
        <v>0.51906140000000001</v>
      </c>
    </row>
    <row r="108" spans="1:20">
      <c r="A108" s="3" t="s">
        <v>951</v>
      </c>
      <c r="B108" s="1" t="s">
        <v>941</v>
      </c>
      <c r="C108" s="3" t="s">
        <v>942</v>
      </c>
      <c r="D108" s="3" t="s">
        <v>952</v>
      </c>
      <c r="E108" s="3" t="s">
        <v>953</v>
      </c>
      <c r="F108" s="3" t="s">
        <v>954</v>
      </c>
      <c r="G108" s="3" t="s">
        <v>955</v>
      </c>
      <c r="H108" s="11" t="s">
        <v>8111</v>
      </c>
      <c r="I108" s="3" t="s">
        <v>6626</v>
      </c>
      <c r="J108" s="7">
        <v>1.1299999999999999</v>
      </c>
      <c r="K108" s="2" t="s">
        <v>6627</v>
      </c>
      <c r="L108" s="2">
        <v>0.38100000000000001</v>
      </c>
      <c r="M108" s="2">
        <f>40711/100000</f>
        <v>0.40711000000000003</v>
      </c>
      <c r="N108" s="2">
        <v>0.66942500000000005</v>
      </c>
      <c r="O108" s="3" t="s">
        <v>6628</v>
      </c>
      <c r="P108" s="7">
        <v>0.8</v>
      </c>
      <c r="Q108" s="2" t="s">
        <v>6629</v>
      </c>
      <c r="R108" s="2">
        <v>9.0700000000000003E-2</v>
      </c>
      <c r="S108" s="2">
        <f>9105/100000</f>
        <v>9.1050000000000006E-2</v>
      </c>
      <c r="T108" s="2">
        <v>0.3460048</v>
      </c>
    </row>
    <row r="109" spans="1:20">
      <c r="A109" s="3" t="s">
        <v>960</v>
      </c>
      <c r="B109" s="1" t="s">
        <v>961</v>
      </c>
      <c r="C109" s="3" t="s">
        <v>962</v>
      </c>
      <c r="D109" s="3" t="s">
        <v>963</v>
      </c>
      <c r="E109" s="3" t="s">
        <v>964</v>
      </c>
      <c r="F109" s="3" t="s">
        <v>965</v>
      </c>
      <c r="G109" s="3" t="s">
        <v>966</v>
      </c>
      <c r="H109" s="11" t="s">
        <v>8112</v>
      </c>
      <c r="I109" s="3" t="s">
        <v>6630</v>
      </c>
      <c r="J109" s="7">
        <v>1.43</v>
      </c>
      <c r="K109" s="2" t="s">
        <v>5509</v>
      </c>
      <c r="L109" s="2">
        <v>9.3799999999999994E-2</v>
      </c>
      <c r="M109" s="2">
        <f>10671/100000</f>
        <v>0.10671</v>
      </c>
      <c r="N109" s="2">
        <v>0.36580889999999999</v>
      </c>
      <c r="O109" s="3" t="s">
        <v>6631</v>
      </c>
      <c r="P109" s="7">
        <v>1.34</v>
      </c>
      <c r="Q109" s="2" t="s">
        <v>6632</v>
      </c>
      <c r="R109" s="2">
        <v>0.16300000000000001</v>
      </c>
      <c r="S109" s="2">
        <f>18276/100000</f>
        <v>0.18276000000000001</v>
      </c>
      <c r="T109" s="2">
        <v>0.47079409999999999</v>
      </c>
    </row>
    <row r="110" spans="1:20">
      <c r="A110" s="3" t="s">
        <v>971</v>
      </c>
      <c r="B110" s="1" t="s">
        <v>972</v>
      </c>
      <c r="C110" s="3" t="s">
        <v>973</v>
      </c>
      <c r="D110" s="3" t="s">
        <v>974</v>
      </c>
      <c r="E110" s="3" t="s">
        <v>975</v>
      </c>
      <c r="F110" s="3" t="s">
        <v>976</v>
      </c>
      <c r="G110" s="3" t="s">
        <v>977</v>
      </c>
      <c r="H110" s="11" t="s">
        <v>8113</v>
      </c>
      <c r="I110" s="3" t="s">
        <v>6633</v>
      </c>
      <c r="J110" s="7">
        <v>1.02</v>
      </c>
      <c r="K110" s="2" t="s">
        <v>6634</v>
      </c>
      <c r="L110" s="2">
        <v>0.97199999999999998</v>
      </c>
      <c r="M110" s="2">
        <f>100000/100000</f>
        <v>1</v>
      </c>
      <c r="N110" s="2">
        <v>0.82929589999999997</v>
      </c>
      <c r="O110" s="3" t="s">
        <v>6635</v>
      </c>
      <c r="P110" s="7">
        <v>2.4500000000000002</v>
      </c>
      <c r="Q110" s="2" t="s">
        <v>6636</v>
      </c>
      <c r="R110" s="2">
        <v>4.9500000000000002E-2</v>
      </c>
      <c r="S110" s="2">
        <f>6546/100000</f>
        <v>6.5460000000000004E-2</v>
      </c>
      <c r="T110" s="2">
        <v>0.28455370000000002</v>
      </c>
    </row>
    <row r="111" spans="1:20">
      <c r="A111" s="3" t="s">
        <v>982</v>
      </c>
      <c r="B111" s="1" t="s">
        <v>972</v>
      </c>
      <c r="C111" s="3" t="s">
        <v>973</v>
      </c>
      <c r="D111" s="3" t="s">
        <v>983</v>
      </c>
      <c r="E111" s="3" t="s">
        <v>984</v>
      </c>
      <c r="F111" s="3" t="s">
        <v>976</v>
      </c>
      <c r="G111" s="3" t="s">
        <v>977</v>
      </c>
      <c r="H111" s="11" t="s">
        <v>8067</v>
      </c>
      <c r="I111" s="3" t="s">
        <v>6637</v>
      </c>
      <c r="J111" s="7">
        <v>2.63</v>
      </c>
      <c r="K111" s="2" t="s">
        <v>6638</v>
      </c>
      <c r="L111" s="2">
        <v>9.7699999999999995E-2</v>
      </c>
      <c r="M111" s="2">
        <f>11975/100000</f>
        <v>0.11975</v>
      </c>
      <c r="N111" s="2">
        <v>0.38416460000000002</v>
      </c>
      <c r="O111" s="3" t="s">
        <v>6639</v>
      </c>
      <c r="P111" s="7">
        <v>2.2599999999999998</v>
      </c>
      <c r="Q111" s="2" t="s">
        <v>6640</v>
      </c>
      <c r="R111" s="2">
        <v>0.16600000000000001</v>
      </c>
      <c r="S111" s="2">
        <f>16299/100000</f>
        <v>0.16299</v>
      </c>
      <c r="T111" s="2">
        <v>0.4485557</v>
      </c>
    </row>
    <row r="112" spans="1:20">
      <c r="A112" s="3" t="s">
        <v>989</v>
      </c>
      <c r="B112" s="1" t="s">
        <v>990</v>
      </c>
      <c r="C112" s="3" t="s">
        <v>991</v>
      </c>
      <c r="D112" s="3" t="s">
        <v>992</v>
      </c>
      <c r="E112" s="3" t="s">
        <v>993</v>
      </c>
      <c r="F112" s="3" t="s">
        <v>994</v>
      </c>
      <c r="G112" s="3" t="s">
        <v>995</v>
      </c>
      <c r="H112" s="11" t="s">
        <v>8055</v>
      </c>
      <c r="I112" s="3" t="s">
        <v>6641</v>
      </c>
      <c r="J112" s="7">
        <v>1.03</v>
      </c>
      <c r="K112" s="1" t="s">
        <v>6642</v>
      </c>
      <c r="L112" s="2">
        <v>0.95499999999999996</v>
      </c>
      <c r="M112" s="2">
        <f>100000/100000</f>
        <v>1</v>
      </c>
      <c r="N112" s="2">
        <v>0.82929589999999997</v>
      </c>
      <c r="O112" s="3" t="s">
        <v>6643</v>
      </c>
      <c r="P112" s="7">
        <v>0.94</v>
      </c>
      <c r="Q112" s="1" t="s">
        <v>6644</v>
      </c>
      <c r="R112" s="2">
        <v>0.88800000000000001</v>
      </c>
      <c r="S112" s="2">
        <f>100000/100000</f>
        <v>1</v>
      </c>
      <c r="T112" s="2">
        <v>0.82929589999999997</v>
      </c>
    </row>
    <row r="113" spans="1:20">
      <c r="A113" s="3" t="s">
        <v>1000</v>
      </c>
      <c r="B113" s="1" t="s">
        <v>990</v>
      </c>
      <c r="C113" s="3" t="s">
        <v>991</v>
      </c>
      <c r="D113" s="3" t="s">
        <v>1001</v>
      </c>
      <c r="E113" s="3" t="s">
        <v>1002</v>
      </c>
      <c r="F113" s="3" t="s">
        <v>1003</v>
      </c>
      <c r="G113" s="3" t="s">
        <v>1004</v>
      </c>
      <c r="H113" s="11" t="s">
        <v>8056</v>
      </c>
      <c r="I113" s="3" t="s">
        <v>6645</v>
      </c>
      <c r="J113" s="7">
        <v>1.07</v>
      </c>
      <c r="K113" s="2" t="s">
        <v>6646</v>
      </c>
      <c r="L113" s="2">
        <v>0.77300000000000002</v>
      </c>
      <c r="M113" s="2">
        <f>79816/100000</f>
        <v>0.79815999999999998</v>
      </c>
      <c r="N113" s="2">
        <v>0.82929589999999997</v>
      </c>
      <c r="O113" s="3" t="s">
        <v>6647</v>
      </c>
      <c r="P113" s="7">
        <v>1.1000000000000001</v>
      </c>
      <c r="Q113" s="2" t="s">
        <v>6648</v>
      </c>
      <c r="R113" s="2">
        <v>0.69499999999999995</v>
      </c>
      <c r="S113" s="2">
        <f>79174/100000</f>
        <v>0.79174</v>
      </c>
      <c r="T113" s="2">
        <v>0.82929589999999997</v>
      </c>
    </row>
    <row r="114" spans="1:20">
      <c r="A114" s="3" t="s">
        <v>1009</v>
      </c>
      <c r="B114" s="1" t="s">
        <v>1010</v>
      </c>
      <c r="C114" s="3" t="s">
        <v>1011</v>
      </c>
      <c r="D114" s="3" t="s">
        <v>1012</v>
      </c>
      <c r="E114" s="3" t="s">
        <v>1013</v>
      </c>
      <c r="F114" s="3" t="s">
        <v>1014</v>
      </c>
      <c r="G114" s="3" t="s">
        <v>1015</v>
      </c>
      <c r="H114" s="11" t="s">
        <v>8114</v>
      </c>
      <c r="I114" s="3" t="s">
        <v>6649</v>
      </c>
      <c r="J114" s="7">
        <v>1.31</v>
      </c>
      <c r="K114" s="2" t="s">
        <v>6650</v>
      </c>
      <c r="L114" s="2">
        <v>0.36399999999999999</v>
      </c>
      <c r="M114" s="2">
        <f>39533/100000</f>
        <v>0.39533000000000001</v>
      </c>
      <c r="N114" s="2">
        <v>0.65983250000000004</v>
      </c>
      <c r="O114" s="3" t="s">
        <v>6651</v>
      </c>
      <c r="P114" s="7">
        <v>1.36</v>
      </c>
      <c r="Q114" s="2" t="s">
        <v>6652</v>
      </c>
      <c r="R114" s="2">
        <v>0.27900000000000003</v>
      </c>
      <c r="S114" s="2">
        <f>31909/100000</f>
        <v>0.31908999999999998</v>
      </c>
      <c r="T114" s="2">
        <v>0.60445199999999999</v>
      </c>
    </row>
    <row r="115" spans="1:20">
      <c r="A115" s="3" t="s">
        <v>1020</v>
      </c>
      <c r="B115" s="1" t="s">
        <v>1021</v>
      </c>
      <c r="C115" s="3" t="s">
        <v>1022</v>
      </c>
      <c r="D115" s="3" t="s">
        <v>1023</v>
      </c>
      <c r="E115" s="3" t="s">
        <v>1024</v>
      </c>
      <c r="F115" s="3" t="s">
        <v>1025</v>
      </c>
      <c r="G115" s="3" t="s">
        <v>1026</v>
      </c>
      <c r="H115" s="11" t="s">
        <v>8051</v>
      </c>
      <c r="I115" s="3" t="s">
        <v>6653</v>
      </c>
      <c r="J115" s="7">
        <v>0.84</v>
      </c>
      <c r="K115" s="2" t="s">
        <v>6654</v>
      </c>
      <c r="L115" s="2">
        <v>0.65600000000000003</v>
      </c>
      <c r="M115" s="2">
        <f>72491/100000</f>
        <v>0.72491000000000005</v>
      </c>
      <c r="N115" s="2">
        <v>0.82137769999999999</v>
      </c>
      <c r="O115" s="3" t="s">
        <v>6655</v>
      </c>
      <c r="P115" s="7">
        <v>1.72</v>
      </c>
      <c r="Q115" s="2" t="s">
        <v>6656</v>
      </c>
      <c r="R115" s="2">
        <v>0.13500000000000001</v>
      </c>
      <c r="S115" s="2">
        <f>15223/100000</f>
        <v>0.15223</v>
      </c>
      <c r="T115" s="2">
        <v>0.42885709999999999</v>
      </c>
    </row>
    <row r="116" spans="1:20">
      <c r="A116" s="3" t="s">
        <v>1031</v>
      </c>
      <c r="B116" s="1" t="s">
        <v>1032</v>
      </c>
      <c r="C116" s="3" t="s">
        <v>1033</v>
      </c>
      <c r="D116" s="3" t="s">
        <v>1034</v>
      </c>
      <c r="E116" s="3" t="s">
        <v>1035</v>
      </c>
      <c r="F116" s="3" t="s">
        <v>1036</v>
      </c>
      <c r="G116" s="3" t="s">
        <v>1037</v>
      </c>
      <c r="H116" s="12" t="s">
        <v>8115</v>
      </c>
      <c r="I116" s="3" t="s">
        <v>6657</v>
      </c>
      <c r="J116" s="7">
        <v>1.57</v>
      </c>
      <c r="K116" s="2" t="s">
        <v>6658</v>
      </c>
      <c r="L116" s="2">
        <v>3.3399999999999999E-2</v>
      </c>
      <c r="M116" s="2">
        <f>3794/100000</f>
        <v>3.7940000000000002E-2</v>
      </c>
      <c r="N116" s="2">
        <v>0.2061615</v>
      </c>
      <c r="O116" s="3" t="s">
        <v>6659</v>
      </c>
      <c r="P116" s="7">
        <v>1.65</v>
      </c>
      <c r="Q116" s="2" t="s">
        <v>6660</v>
      </c>
      <c r="R116" s="2">
        <v>1.2E-2</v>
      </c>
      <c r="S116" s="2">
        <f>1328/100000</f>
        <v>1.328E-2</v>
      </c>
      <c r="T116" s="2">
        <v>0.10410899999999999</v>
      </c>
    </row>
    <row r="117" spans="1:20">
      <c r="A117" s="3" t="s">
        <v>1042</v>
      </c>
      <c r="B117" s="1" t="s">
        <v>1043</v>
      </c>
      <c r="C117" s="3" t="s">
        <v>1044</v>
      </c>
      <c r="D117" s="3" t="s">
        <v>1045</v>
      </c>
      <c r="E117" s="3" t="s">
        <v>1046</v>
      </c>
      <c r="F117" s="3" t="s">
        <v>1047</v>
      </c>
      <c r="G117" s="3" t="s">
        <v>1048</v>
      </c>
      <c r="H117" s="11" t="s">
        <v>8116</v>
      </c>
      <c r="I117" s="3" t="s">
        <v>6661</v>
      </c>
      <c r="J117" s="7">
        <v>1.78</v>
      </c>
      <c r="K117" s="2" t="s">
        <v>6662</v>
      </c>
      <c r="L117" s="2">
        <v>7.46E-2</v>
      </c>
      <c r="M117" s="2">
        <f>8503/100000</f>
        <v>8.5029999999999994E-2</v>
      </c>
      <c r="N117" s="2">
        <v>0.33166790000000002</v>
      </c>
      <c r="O117" s="3" t="s">
        <v>6663</v>
      </c>
      <c r="P117" s="7">
        <v>0.94</v>
      </c>
      <c r="Q117" s="2" t="s">
        <v>6664</v>
      </c>
      <c r="R117" s="2">
        <v>0.875</v>
      </c>
      <c r="S117" s="2">
        <f>100000/100000</f>
        <v>1</v>
      </c>
      <c r="T117" s="2">
        <v>0.82929589999999997</v>
      </c>
    </row>
    <row r="118" spans="1:20">
      <c r="A118" s="3" t="s">
        <v>1053</v>
      </c>
      <c r="B118" s="1" t="s">
        <v>1054</v>
      </c>
      <c r="C118" s="3" t="s">
        <v>1055</v>
      </c>
      <c r="D118" s="3" t="s">
        <v>1056</v>
      </c>
      <c r="E118" s="3" t="s">
        <v>1057</v>
      </c>
      <c r="F118" s="3" t="s">
        <v>1058</v>
      </c>
      <c r="G118" s="3" t="s">
        <v>1059</v>
      </c>
      <c r="H118" s="11" t="s">
        <v>8117</v>
      </c>
      <c r="I118" s="3" t="s">
        <v>6665</v>
      </c>
      <c r="J118" s="7">
        <v>0.74</v>
      </c>
      <c r="K118" s="2" t="s">
        <v>6666</v>
      </c>
      <c r="L118" s="2">
        <v>0.23</v>
      </c>
      <c r="M118" s="2">
        <f>26443/100000</f>
        <v>0.26443</v>
      </c>
      <c r="N118" s="2">
        <v>0.56484999999999996</v>
      </c>
      <c r="O118" s="3" t="s">
        <v>6667</v>
      </c>
      <c r="P118" s="7">
        <v>1.03</v>
      </c>
      <c r="Q118" s="2" t="s">
        <v>6668</v>
      </c>
      <c r="R118" s="2">
        <v>0.90300000000000002</v>
      </c>
      <c r="S118" s="2">
        <f>90915/100000</f>
        <v>0.90915000000000001</v>
      </c>
      <c r="T118" s="2">
        <v>0.82929589999999997</v>
      </c>
    </row>
    <row r="119" spans="1:20">
      <c r="A119" s="3" t="s">
        <v>1064</v>
      </c>
      <c r="B119" s="1" t="s">
        <v>1065</v>
      </c>
      <c r="C119" s="3" t="s">
        <v>1066</v>
      </c>
      <c r="D119" s="3" t="s">
        <v>1067</v>
      </c>
      <c r="E119" s="3" t="s">
        <v>1068</v>
      </c>
      <c r="F119" s="3" t="s">
        <v>1069</v>
      </c>
      <c r="G119" s="3" t="s">
        <v>1070</v>
      </c>
      <c r="H119" s="11" t="s">
        <v>8060</v>
      </c>
      <c r="I119" s="3" t="s">
        <v>6669</v>
      </c>
      <c r="J119" s="7">
        <v>0.23</v>
      </c>
      <c r="K119" s="2" t="s">
        <v>6670</v>
      </c>
      <c r="L119" s="2">
        <v>0.114</v>
      </c>
      <c r="M119" s="2">
        <f>13361/100000</f>
        <v>0.13361000000000001</v>
      </c>
      <c r="N119" s="2">
        <v>0.40098479999999997</v>
      </c>
      <c r="O119" s="3" t="s">
        <v>6671</v>
      </c>
      <c r="P119" s="7">
        <v>1.52</v>
      </c>
      <c r="Q119" s="2" t="s">
        <v>6672</v>
      </c>
      <c r="R119" s="2">
        <v>0.249</v>
      </c>
      <c r="S119" s="2">
        <f>26158/100000</f>
        <v>0.26157999999999998</v>
      </c>
      <c r="T119" s="2">
        <v>0.56338779999999999</v>
      </c>
    </row>
    <row r="120" spans="1:20">
      <c r="A120" s="3" t="s">
        <v>1075</v>
      </c>
      <c r="B120" s="1" t="s">
        <v>1076</v>
      </c>
      <c r="C120" s="3" t="s">
        <v>1077</v>
      </c>
      <c r="D120" s="3" t="s">
        <v>1078</v>
      </c>
      <c r="E120" s="3" t="s">
        <v>1079</v>
      </c>
      <c r="F120" s="3" t="s">
        <v>1080</v>
      </c>
      <c r="G120" s="3" t="s">
        <v>1081</v>
      </c>
      <c r="H120" s="11" t="s">
        <v>8070</v>
      </c>
      <c r="I120" s="3" t="s">
        <v>6673</v>
      </c>
      <c r="J120" s="7">
        <v>1.36</v>
      </c>
      <c r="K120" s="2" t="s">
        <v>6674</v>
      </c>
      <c r="L120" s="2">
        <v>0.502</v>
      </c>
      <c r="M120" s="2">
        <f>58769/100000</f>
        <v>0.58769000000000005</v>
      </c>
      <c r="N120" s="2">
        <v>0.77707570000000004</v>
      </c>
      <c r="O120" s="3" t="s">
        <v>6675</v>
      </c>
      <c r="P120" s="7">
        <v>0.48</v>
      </c>
      <c r="Q120" s="2" t="s">
        <v>6676</v>
      </c>
      <c r="R120" s="2">
        <v>0.20399999999999999</v>
      </c>
      <c r="S120" s="2">
        <f>22305/100000</f>
        <v>0.22305</v>
      </c>
      <c r="T120" s="2">
        <v>0.51721090000000003</v>
      </c>
    </row>
    <row r="121" spans="1:20">
      <c r="A121" s="3" t="s">
        <v>1086</v>
      </c>
      <c r="B121" s="1" t="s">
        <v>1076</v>
      </c>
      <c r="C121" s="3" t="s">
        <v>1077</v>
      </c>
      <c r="D121" s="3" t="s">
        <v>1087</v>
      </c>
      <c r="E121" s="3" t="s">
        <v>1088</v>
      </c>
      <c r="F121" s="3" t="s">
        <v>1080</v>
      </c>
      <c r="G121" s="3" t="s">
        <v>1081</v>
      </c>
      <c r="H121" s="11" t="s">
        <v>8071</v>
      </c>
      <c r="I121" s="3" t="s">
        <v>6677</v>
      </c>
      <c r="J121" s="7">
        <v>0</v>
      </c>
      <c r="K121" s="2" t="s">
        <v>774</v>
      </c>
      <c r="L121" s="2">
        <v>9.2799999999999994E-2</v>
      </c>
      <c r="M121" s="2">
        <f>11492/100000</f>
        <v>0.11491999999999999</v>
      </c>
      <c r="N121" s="2">
        <v>0.38000319999999999</v>
      </c>
      <c r="O121" s="3" t="s">
        <v>6678</v>
      </c>
      <c r="P121" s="7">
        <v>0.28000000000000003</v>
      </c>
      <c r="Q121" s="2" t="s">
        <v>6679</v>
      </c>
      <c r="R121" s="2">
        <v>0.17599999999999999</v>
      </c>
      <c r="S121" s="2">
        <f>26438/100000</f>
        <v>0.26438</v>
      </c>
      <c r="T121" s="2">
        <v>0.56484999999999996</v>
      </c>
    </row>
    <row r="122" spans="1:20">
      <c r="A122" s="3" t="s">
        <v>1093</v>
      </c>
      <c r="B122" s="1" t="s">
        <v>1076</v>
      </c>
      <c r="C122" s="3" t="s">
        <v>1077</v>
      </c>
      <c r="D122" s="3" t="s">
        <v>1094</v>
      </c>
      <c r="E122" s="3" t="s">
        <v>1095</v>
      </c>
      <c r="F122" s="3" t="s">
        <v>1080</v>
      </c>
      <c r="G122" s="3" t="s">
        <v>1081</v>
      </c>
      <c r="H122" s="11" t="s">
        <v>8072</v>
      </c>
      <c r="I122" s="3" t="s">
        <v>6680</v>
      </c>
      <c r="J122" s="7">
        <v>1.33</v>
      </c>
      <c r="K122" s="2" t="s">
        <v>6681</v>
      </c>
      <c r="L122" s="2">
        <v>0.57799999999999996</v>
      </c>
      <c r="M122" s="2">
        <f>77005/100000</f>
        <v>0.77005000000000001</v>
      </c>
      <c r="N122" s="2">
        <v>0.82929589999999997</v>
      </c>
      <c r="O122" s="3" t="s">
        <v>6682</v>
      </c>
      <c r="P122" s="7">
        <v>0.23</v>
      </c>
      <c r="Q122" s="2" t="s">
        <v>6683</v>
      </c>
      <c r="R122" s="2">
        <v>0.11</v>
      </c>
      <c r="S122" s="2">
        <f>13346/100000</f>
        <v>0.13346</v>
      </c>
      <c r="T122" s="2">
        <v>0.40098479999999997</v>
      </c>
    </row>
    <row r="123" spans="1:20">
      <c r="A123" s="3" t="s">
        <v>1100</v>
      </c>
      <c r="B123" s="1" t="s">
        <v>1076</v>
      </c>
      <c r="C123" s="3" t="s">
        <v>1077</v>
      </c>
      <c r="D123" s="3" t="s">
        <v>1101</v>
      </c>
      <c r="E123" s="3" t="s">
        <v>1102</v>
      </c>
      <c r="F123" s="3" t="s">
        <v>1103</v>
      </c>
      <c r="G123" s="3" t="s">
        <v>1104</v>
      </c>
      <c r="H123" s="11" t="s">
        <v>8070</v>
      </c>
      <c r="I123" s="3" t="s">
        <v>6684</v>
      </c>
      <c r="J123" s="7">
        <v>0.86</v>
      </c>
      <c r="K123" s="2" t="s">
        <v>413</v>
      </c>
      <c r="L123" s="2">
        <v>0.72199999999999998</v>
      </c>
      <c r="M123" s="2">
        <f>84487/100000</f>
        <v>0.84487000000000001</v>
      </c>
      <c r="N123" s="2">
        <v>0.82929589999999997</v>
      </c>
      <c r="O123" s="3" t="s">
        <v>6685</v>
      </c>
      <c r="P123" s="7">
        <v>0.75</v>
      </c>
      <c r="Q123" s="2" t="s">
        <v>6686</v>
      </c>
      <c r="R123" s="2">
        <v>0.48299999999999998</v>
      </c>
      <c r="S123" s="2">
        <f>58399/100000</f>
        <v>0.58399000000000001</v>
      </c>
      <c r="T123" s="2">
        <v>0.77369449999999995</v>
      </c>
    </row>
    <row r="124" spans="1:20">
      <c r="A124" s="3" t="s">
        <v>1109</v>
      </c>
      <c r="B124" s="1" t="s">
        <v>1076</v>
      </c>
      <c r="C124" s="3" t="s">
        <v>1077</v>
      </c>
      <c r="D124" s="3" t="s">
        <v>1110</v>
      </c>
      <c r="E124" s="3" t="s">
        <v>1111</v>
      </c>
      <c r="F124" s="3" t="s">
        <v>1103</v>
      </c>
      <c r="G124" s="3" t="s">
        <v>1104</v>
      </c>
      <c r="H124" s="11" t="s">
        <v>8071</v>
      </c>
      <c r="I124" s="3" t="s">
        <v>6687</v>
      </c>
      <c r="J124" s="7">
        <v>0.95</v>
      </c>
      <c r="K124" s="2" t="s">
        <v>6688</v>
      </c>
      <c r="L124" s="2">
        <v>0.88300000000000001</v>
      </c>
      <c r="M124" s="2">
        <f>100000/100000</f>
        <v>1</v>
      </c>
      <c r="N124" s="2">
        <v>0.82929589999999997</v>
      </c>
      <c r="O124" s="3" t="s">
        <v>6689</v>
      </c>
      <c r="P124" s="7">
        <v>0.69</v>
      </c>
      <c r="Q124" s="2" t="s">
        <v>5063</v>
      </c>
      <c r="R124" s="2">
        <v>0.40699999999999997</v>
      </c>
      <c r="S124" s="2">
        <f>45194/100000</f>
        <v>0.45194000000000001</v>
      </c>
      <c r="T124" s="2">
        <v>0.69868149999999996</v>
      </c>
    </row>
    <row r="125" spans="1:20">
      <c r="A125" s="3" t="s">
        <v>1116</v>
      </c>
      <c r="B125" s="1" t="s">
        <v>1076</v>
      </c>
      <c r="C125" s="3" t="s">
        <v>1077</v>
      </c>
      <c r="D125" s="3" t="s">
        <v>1117</v>
      </c>
      <c r="E125" s="3" t="s">
        <v>1118</v>
      </c>
      <c r="F125" s="3" t="s">
        <v>1119</v>
      </c>
      <c r="G125" s="3" t="s">
        <v>1120</v>
      </c>
      <c r="H125" s="11" t="s">
        <v>8072</v>
      </c>
      <c r="I125" s="3" t="s">
        <v>6690</v>
      </c>
      <c r="J125" s="7">
        <v>0.98</v>
      </c>
      <c r="K125" s="2" t="s">
        <v>6691</v>
      </c>
      <c r="L125" s="2">
        <v>0.96399999999999997</v>
      </c>
      <c r="M125" s="2">
        <f>100000/100000</f>
        <v>1</v>
      </c>
      <c r="N125" s="2">
        <v>0.82929589999999997</v>
      </c>
      <c r="O125" s="3" t="s">
        <v>6692</v>
      </c>
      <c r="P125" s="7">
        <v>1.35</v>
      </c>
      <c r="Q125" s="2" t="s">
        <v>6693</v>
      </c>
      <c r="R125" s="2">
        <v>0.51700000000000002</v>
      </c>
      <c r="S125" s="2">
        <f>58883/100000</f>
        <v>0.58882999999999996</v>
      </c>
      <c r="T125" s="2">
        <v>0.77707570000000004</v>
      </c>
    </row>
    <row r="126" spans="1:20">
      <c r="A126" s="3" t="s">
        <v>1125</v>
      </c>
      <c r="B126" s="1" t="s">
        <v>1076</v>
      </c>
      <c r="C126" s="3" t="s">
        <v>1077</v>
      </c>
      <c r="D126" s="3" t="s">
        <v>1080</v>
      </c>
      <c r="E126" s="3" t="s">
        <v>1081</v>
      </c>
      <c r="F126" s="3" t="s">
        <v>1119</v>
      </c>
      <c r="G126" s="3" t="s">
        <v>1120</v>
      </c>
      <c r="H126" s="11" t="s">
        <v>8073</v>
      </c>
      <c r="I126" s="3" t="s">
        <v>6694</v>
      </c>
      <c r="J126" s="7">
        <v>0.57999999999999996</v>
      </c>
      <c r="K126" s="2" t="s">
        <v>6695</v>
      </c>
      <c r="L126" s="2">
        <v>0.35399999999999998</v>
      </c>
      <c r="M126" s="2">
        <f>38579/100000</f>
        <v>0.38579000000000002</v>
      </c>
      <c r="N126" s="2">
        <v>0.65243910000000005</v>
      </c>
      <c r="O126" s="3" t="s">
        <v>6696</v>
      </c>
      <c r="P126" s="7">
        <v>0.43</v>
      </c>
      <c r="Q126" s="2" t="s">
        <v>6697</v>
      </c>
      <c r="R126" s="2">
        <v>0.38300000000000001</v>
      </c>
      <c r="S126" s="2">
        <f>52119/100000</f>
        <v>0.52119000000000004</v>
      </c>
      <c r="T126" s="2">
        <v>0.74478149999999999</v>
      </c>
    </row>
    <row r="127" spans="1:20">
      <c r="A127" s="3" t="s">
        <v>1130</v>
      </c>
      <c r="B127" s="1" t="s">
        <v>1076</v>
      </c>
      <c r="C127" s="3" t="s">
        <v>1077</v>
      </c>
      <c r="D127" s="3" t="s">
        <v>1103</v>
      </c>
      <c r="E127" s="3" t="s">
        <v>1104</v>
      </c>
      <c r="F127" s="3" t="s">
        <v>1131</v>
      </c>
      <c r="G127" s="3" t="s">
        <v>1132</v>
      </c>
      <c r="H127" s="11" t="s">
        <v>8073</v>
      </c>
      <c r="I127" s="3" t="s">
        <v>6698</v>
      </c>
      <c r="J127" s="7">
        <v>1.78</v>
      </c>
      <c r="K127" s="2" t="s">
        <v>6699</v>
      </c>
      <c r="L127" s="2">
        <v>0.16900000000000001</v>
      </c>
      <c r="M127" s="2">
        <f>16410/100000</f>
        <v>0.1641</v>
      </c>
      <c r="N127" s="2">
        <v>0.44938099999999997</v>
      </c>
      <c r="O127" s="3" t="s">
        <v>6700</v>
      </c>
      <c r="P127" s="7">
        <v>0.86</v>
      </c>
      <c r="Q127" s="2" t="s">
        <v>6701</v>
      </c>
      <c r="R127" s="2">
        <v>0.80200000000000005</v>
      </c>
      <c r="S127" s="2">
        <f>100000/100000</f>
        <v>1</v>
      </c>
      <c r="T127" s="2">
        <v>0.82929589999999997</v>
      </c>
    </row>
    <row r="128" spans="1:20">
      <c r="A128" s="3" t="s">
        <v>1137</v>
      </c>
      <c r="B128" s="1" t="s">
        <v>1138</v>
      </c>
      <c r="C128" s="3" t="s">
        <v>1139</v>
      </c>
      <c r="D128" s="3" t="s">
        <v>1140</v>
      </c>
      <c r="E128" s="3" t="s">
        <v>1141</v>
      </c>
      <c r="F128" s="3" t="s">
        <v>1142</v>
      </c>
      <c r="G128" s="3" t="s">
        <v>1143</v>
      </c>
      <c r="H128" s="11" t="s">
        <v>8118</v>
      </c>
      <c r="I128" s="3" t="s">
        <v>6702</v>
      </c>
      <c r="J128" s="7">
        <v>1.01</v>
      </c>
      <c r="K128" s="2" t="s">
        <v>6703</v>
      </c>
      <c r="L128" s="2">
        <v>0.98099999999999998</v>
      </c>
      <c r="M128" s="2">
        <f>100000/100000</f>
        <v>1</v>
      </c>
      <c r="N128" s="2">
        <v>0.82929589999999997</v>
      </c>
      <c r="O128" s="3" t="s">
        <v>6704</v>
      </c>
      <c r="P128" s="7">
        <v>0.83</v>
      </c>
      <c r="Q128" s="2" t="s">
        <v>6705</v>
      </c>
      <c r="R128" s="2">
        <v>0.52</v>
      </c>
      <c r="S128" s="2">
        <f>60037/100000</f>
        <v>0.60036999999999996</v>
      </c>
      <c r="T128" s="2">
        <v>0.78197970000000006</v>
      </c>
    </row>
    <row r="129" spans="1:20">
      <c r="A129" s="3" t="s">
        <v>1148</v>
      </c>
      <c r="B129" s="1" t="s">
        <v>1149</v>
      </c>
      <c r="C129" s="3" t="s">
        <v>1150</v>
      </c>
      <c r="D129" s="3" t="s">
        <v>1151</v>
      </c>
      <c r="E129" s="3" t="s">
        <v>1152</v>
      </c>
      <c r="F129" s="3" t="s">
        <v>1153</v>
      </c>
      <c r="G129" s="3" t="s">
        <v>1154</v>
      </c>
      <c r="H129" s="11" t="s">
        <v>8119</v>
      </c>
      <c r="I129" s="3" t="s">
        <v>6706</v>
      </c>
      <c r="J129" s="7">
        <v>2.5299999999999998</v>
      </c>
      <c r="K129" s="2" t="s">
        <v>6707</v>
      </c>
      <c r="L129" s="2">
        <v>1.13E-17</v>
      </c>
      <c r="M129" s="2" t="s">
        <v>500</v>
      </c>
      <c r="N129" s="2">
        <v>3.517123E-4</v>
      </c>
      <c r="O129" s="3" t="s">
        <v>6708</v>
      </c>
      <c r="P129" s="7">
        <v>0.63</v>
      </c>
      <c r="Q129" s="2" t="s">
        <v>6709</v>
      </c>
      <c r="R129" s="2">
        <v>5.4699999999999999E-2</v>
      </c>
      <c r="S129" s="2">
        <f>5882/100000</f>
        <v>5.8819999999999997E-2</v>
      </c>
      <c r="T129" s="2">
        <v>0.26579049999999999</v>
      </c>
    </row>
    <row r="130" spans="1:20">
      <c r="A130" s="3" t="s">
        <v>1159</v>
      </c>
      <c r="B130" s="1" t="s">
        <v>1160</v>
      </c>
      <c r="C130" s="3" t="s">
        <v>1161</v>
      </c>
      <c r="D130" s="3" t="s">
        <v>1162</v>
      </c>
      <c r="E130" s="3" t="s">
        <v>1163</v>
      </c>
      <c r="F130" s="3" t="s">
        <v>1164</v>
      </c>
      <c r="G130" s="3" t="s">
        <v>1165</v>
      </c>
      <c r="H130" s="11" t="s">
        <v>8120</v>
      </c>
      <c r="I130" s="3" t="s">
        <v>6710</v>
      </c>
      <c r="J130" s="7">
        <v>1.29</v>
      </c>
      <c r="K130" s="2" t="s">
        <v>6711</v>
      </c>
      <c r="L130" s="2">
        <v>0.438</v>
      </c>
      <c r="M130" s="2">
        <f>45906/100000</f>
        <v>0.45906000000000002</v>
      </c>
      <c r="N130" s="2">
        <v>0.70273260000000004</v>
      </c>
      <c r="O130" s="3" t="s">
        <v>6712</v>
      </c>
      <c r="P130" s="7">
        <v>0.63</v>
      </c>
      <c r="Q130" s="2" t="s">
        <v>6713</v>
      </c>
      <c r="R130" s="2">
        <v>0.309</v>
      </c>
      <c r="S130" s="2">
        <f>36544/100000</f>
        <v>0.36543999999999999</v>
      </c>
      <c r="T130" s="2">
        <v>0.64231249999999995</v>
      </c>
    </row>
    <row r="131" spans="1:20">
      <c r="A131" s="3" t="s">
        <v>1169</v>
      </c>
      <c r="B131" s="1" t="s">
        <v>1170</v>
      </c>
      <c r="C131" s="3" t="s">
        <v>1171</v>
      </c>
      <c r="D131" s="3" t="s">
        <v>1172</v>
      </c>
      <c r="E131" s="3" t="s">
        <v>1173</v>
      </c>
      <c r="F131" s="3" t="s">
        <v>1174</v>
      </c>
      <c r="G131" s="3" t="s">
        <v>1175</v>
      </c>
      <c r="H131" s="11" t="s">
        <v>8121</v>
      </c>
      <c r="I131" s="3" t="s">
        <v>6714</v>
      </c>
      <c r="J131" s="7">
        <v>0.81</v>
      </c>
      <c r="K131" s="2" t="s">
        <v>4525</v>
      </c>
      <c r="L131" s="2">
        <v>0.72099999999999997</v>
      </c>
      <c r="M131" s="2">
        <f>80336/100000</f>
        <v>0.80335999999999996</v>
      </c>
      <c r="N131" s="2">
        <v>0.82929589999999997</v>
      </c>
      <c r="O131" s="3" t="s">
        <v>6715</v>
      </c>
      <c r="P131" s="7">
        <v>0</v>
      </c>
      <c r="Q131" s="2" t="s">
        <v>774</v>
      </c>
      <c r="R131" s="2">
        <v>9.5399999999999999E-2</v>
      </c>
      <c r="S131" s="2">
        <f>11525/100000</f>
        <v>0.11525000000000001</v>
      </c>
      <c r="T131" s="2">
        <v>0.38000319999999999</v>
      </c>
    </row>
    <row r="132" spans="1:20">
      <c r="A132" s="3" t="s">
        <v>1180</v>
      </c>
      <c r="B132" s="1" t="s">
        <v>1181</v>
      </c>
      <c r="C132" s="3" t="s">
        <v>1182</v>
      </c>
      <c r="D132" s="3" t="s">
        <v>1183</v>
      </c>
      <c r="E132" s="3" t="s">
        <v>1184</v>
      </c>
      <c r="F132" s="3" t="s">
        <v>1185</v>
      </c>
      <c r="G132" s="3" t="s">
        <v>1186</v>
      </c>
      <c r="H132" s="11" t="s">
        <v>8122</v>
      </c>
      <c r="I132" s="3" t="s">
        <v>6716</v>
      </c>
      <c r="J132" s="7">
        <v>0.57999999999999996</v>
      </c>
      <c r="K132" s="2" t="s">
        <v>6717</v>
      </c>
      <c r="L132" s="2">
        <v>9.0699999999999999E-3</v>
      </c>
      <c r="M132" s="2">
        <f>1143/100000</f>
        <v>1.1429999999999999E-2</v>
      </c>
      <c r="N132" s="2">
        <v>9.2919050000000003E-2</v>
      </c>
      <c r="O132" s="3" t="s">
        <v>6718</v>
      </c>
      <c r="P132" s="7">
        <v>0.9</v>
      </c>
      <c r="Q132" s="2" t="s">
        <v>6719</v>
      </c>
      <c r="R132" s="2">
        <v>0.52500000000000002</v>
      </c>
      <c r="S132" s="2">
        <f>57656/100000</f>
        <v>0.57655999999999996</v>
      </c>
      <c r="T132" s="2">
        <v>0.76719190000000004</v>
      </c>
    </row>
    <row r="133" spans="1:20">
      <c r="A133" s="3" t="s">
        <v>1191</v>
      </c>
      <c r="B133" s="1" t="s">
        <v>1192</v>
      </c>
      <c r="C133" s="3" t="s">
        <v>1193</v>
      </c>
      <c r="D133" s="3" t="s">
        <v>1194</v>
      </c>
      <c r="E133" s="3" t="s">
        <v>1195</v>
      </c>
      <c r="F133" s="3" t="s">
        <v>1196</v>
      </c>
      <c r="G133" s="3" t="s">
        <v>1197</v>
      </c>
      <c r="H133" s="11" t="s">
        <v>8123</v>
      </c>
      <c r="I133" s="3" t="s">
        <v>6720</v>
      </c>
      <c r="J133" s="7">
        <v>0.77</v>
      </c>
      <c r="K133" s="2" t="s">
        <v>3487</v>
      </c>
      <c r="L133" s="2">
        <v>0.441</v>
      </c>
      <c r="M133" s="2">
        <f>45843/100000</f>
        <v>0.45843</v>
      </c>
      <c r="N133" s="2">
        <v>0.70161989999999996</v>
      </c>
      <c r="O133" s="3" t="s">
        <v>6721</v>
      </c>
      <c r="P133" s="7">
        <v>1.67</v>
      </c>
      <c r="Q133" s="2" t="s">
        <v>6722</v>
      </c>
      <c r="R133" s="2">
        <v>2.4599999999999999E-3</v>
      </c>
      <c r="S133" s="2">
        <f>366/100000</f>
        <v>3.6600000000000001E-3</v>
      </c>
      <c r="T133" s="2">
        <v>4.29089E-2</v>
      </c>
    </row>
    <row r="134" spans="1:20">
      <c r="A134" s="3" t="s">
        <v>1202</v>
      </c>
      <c r="B134" s="1" t="s">
        <v>1203</v>
      </c>
      <c r="C134" s="3" t="s">
        <v>1204</v>
      </c>
      <c r="D134" s="3" t="s">
        <v>1205</v>
      </c>
      <c r="E134" s="3" t="s">
        <v>1206</v>
      </c>
      <c r="F134" s="3" t="s">
        <v>1207</v>
      </c>
      <c r="G134" s="3" t="s">
        <v>1208</v>
      </c>
      <c r="H134" s="11" t="s">
        <v>8078</v>
      </c>
      <c r="I134" s="3" t="s">
        <v>6723</v>
      </c>
      <c r="J134" s="7">
        <v>1.34</v>
      </c>
      <c r="K134" s="2" t="s">
        <v>6724</v>
      </c>
      <c r="L134" s="2">
        <v>6.0100000000000001E-2</v>
      </c>
      <c r="M134" s="2">
        <f>6285/100000</f>
        <v>6.2850000000000003E-2</v>
      </c>
      <c r="N134" s="2">
        <v>0.27796169999999998</v>
      </c>
      <c r="O134" s="3" t="s">
        <v>6725</v>
      </c>
      <c r="P134" s="7">
        <v>1.26</v>
      </c>
      <c r="Q134" s="2" t="s">
        <v>6726</v>
      </c>
      <c r="R134" s="2">
        <v>0.17899999999999999</v>
      </c>
      <c r="S134" s="2">
        <f>19045/100000</f>
        <v>0.19045000000000001</v>
      </c>
      <c r="T134" s="2">
        <v>0.4791994</v>
      </c>
    </row>
    <row r="135" spans="1:20">
      <c r="A135" s="3" t="s">
        <v>1213</v>
      </c>
      <c r="B135" s="1" t="s">
        <v>1203</v>
      </c>
      <c r="C135" s="3" t="s">
        <v>1204</v>
      </c>
      <c r="D135" s="3" t="s">
        <v>1214</v>
      </c>
      <c r="E135" s="3" t="s">
        <v>1215</v>
      </c>
      <c r="F135" s="3" t="s">
        <v>1207</v>
      </c>
      <c r="G135" s="3" t="s">
        <v>1208</v>
      </c>
      <c r="H135" s="11" t="s">
        <v>8074</v>
      </c>
      <c r="I135" s="3" t="s">
        <v>6727</v>
      </c>
      <c r="J135" s="7">
        <v>1.51</v>
      </c>
      <c r="K135" s="2" t="s">
        <v>6728</v>
      </c>
      <c r="L135" s="2">
        <v>1.8600000000000001E-3</v>
      </c>
      <c r="M135" s="2">
        <f>216/100000</f>
        <v>2.16E-3</v>
      </c>
      <c r="N135" s="2">
        <v>2.8527779999999999E-2</v>
      </c>
      <c r="O135" s="3" t="s">
        <v>6729</v>
      </c>
      <c r="P135" s="7">
        <v>1.03</v>
      </c>
      <c r="Q135" s="2" t="s">
        <v>6730</v>
      </c>
      <c r="R135" s="2">
        <v>0.872</v>
      </c>
      <c r="S135" s="2">
        <f>92969/100000</f>
        <v>0.92969000000000002</v>
      </c>
      <c r="T135" s="2">
        <v>0.82929589999999997</v>
      </c>
    </row>
    <row r="136" spans="1:20">
      <c r="A136" s="3" t="s">
        <v>1220</v>
      </c>
      <c r="B136" s="1" t="s">
        <v>1203</v>
      </c>
      <c r="C136" s="3" t="s">
        <v>1204</v>
      </c>
      <c r="D136" s="3" t="s">
        <v>1221</v>
      </c>
      <c r="E136" s="3" t="s">
        <v>1222</v>
      </c>
      <c r="F136" s="3" t="s">
        <v>1223</v>
      </c>
      <c r="G136" s="3" t="s">
        <v>1224</v>
      </c>
      <c r="H136" s="11" t="s">
        <v>8078</v>
      </c>
      <c r="I136" s="3" t="s">
        <v>6731</v>
      </c>
      <c r="J136" s="7">
        <v>1.48</v>
      </c>
      <c r="K136" s="2" t="s">
        <v>6732</v>
      </c>
      <c r="L136" s="2">
        <v>2.2200000000000001E-2</v>
      </c>
      <c r="M136" s="2">
        <f>2721/100000</f>
        <v>2.7210000000000002E-2</v>
      </c>
      <c r="N136" s="2">
        <v>0.16930619999999999</v>
      </c>
      <c r="O136" s="3" t="s">
        <v>6733</v>
      </c>
      <c r="P136" s="7">
        <v>1</v>
      </c>
      <c r="Q136" s="2" t="s">
        <v>6734</v>
      </c>
      <c r="R136" s="2">
        <v>0.99199999999999999</v>
      </c>
      <c r="S136" s="2">
        <f>100000/100000</f>
        <v>1</v>
      </c>
      <c r="T136" s="2">
        <v>0.82929589999999997</v>
      </c>
    </row>
    <row r="137" spans="1:20">
      <c r="A137" s="3" t="s">
        <v>1229</v>
      </c>
      <c r="B137" s="1" t="s">
        <v>1203</v>
      </c>
      <c r="C137" s="3" t="s">
        <v>1204</v>
      </c>
      <c r="D137" s="3" t="s">
        <v>1230</v>
      </c>
      <c r="E137" s="3" t="s">
        <v>1231</v>
      </c>
      <c r="F137" s="3" t="s">
        <v>1223</v>
      </c>
      <c r="G137" s="3" t="s">
        <v>1224</v>
      </c>
      <c r="H137" s="11" t="s">
        <v>8074</v>
      </c>
      <c r="I137" s="3" t="s">
        <v>6735</v>
      </c>
      <c r="J137" s="7">
        <v>1.36</v>
      </c>
      <c r="K137" s="2" t="s">
        <v>6736</v>
      </c>
      <c r="L137" s="2">
        <v>4.0899999999999999E-2</v>
      </c>
      <c r="M137" s="2">
        <f>4690/100000</f>
        <v>4.6899999999999997E-2</v>
      </c>
      <c r="N137" s="2">
        <v>0.233817</v>
      </c>
      <c r="O137" s="3" t="s">
        <v>6737</v>
      </c>
      <c r="P137" s="7">
        <v>0.84</v>
      </c>
      <c r="Q137" s="2" t="s">
        <v>6738</v>
      </c>
      <c r="R137" s="2">
        <v>0.33900000000000002</v>
      </c>
      <c r="S137" s="2">
        <f>35034/100000</f>
        <v>0.35033999999999998</v>
      </c>
      <c r="T137" s="2">
        <v>0.6266562</v>
      </c>
    </row>
    <row r="138" spans="1:20">
      <c r="A138" s="3" t="s">
        <v>1236</v>
      </c>
      <c r="B138" s="1" t="s">
        <v>1237</v>
      </c>
      <c r="C138" s="3" t="s">
        <v>1238</v>
      </c>
      <c r="D138" s="3" t="s">
        <v>1214</v>
      </c>
      <c r="E138" s="3" t="s">
        <v>1215</v>
      </c>
      <c r="F138" s="3" t="s">
        <v>1207</v>
      </c>
      <c r="G138" s="3" t="s">
        <v>1208</v>
      </c>
      <c r="H138" s="11" t="s">
        <v>8074</v>
      </c>
      <c r="I138" s="3" t="s">
        <v>6727</v>
      </c>
      <c r="J138" s="7">
        <v>1.51</v>
      </c>
      <c r="K138" s="2" t="s">
        <v>6728</v>
      </c>
      <c r="L138" s="2">
        <v>1.8600000000000001E-3</v>
      </c>
      <c r="M138" s="2">
        <f>216/100000</f>
        <v>2.16E-3</v>
      </c>
      <c r="N138" s="2">
        <v>2.8527779999999999E-2</v>
      </c>
      <c r="O138" s="3" t="s">
        <v>6729</v>
      </c>
      <c r="P138" s="7">
        <v>1.03</v>
      </c>
      <c r="Q138" s="2" t="s">
        <v>6730</v>
      </c>
      <c r="R138" s="2">
        <v>0.872</v>
      </c>
      <c r="S138" s="2">
        <f>92969/100000</f>
        <v>0.92969000000000002</v>
      </c>
      <c r="T138" s="2">
        <v>0.82929589999999997</v>
      </c>
    </row>
    <row r="139" spans="1:20">
      <c r="A139" s="3" t="s">
        <v>1239</v>
      </c>
      <c r="B139" s="1" t="s">
        <v>1240</v>
      </c>
      <c r="C139" s="3" t="s">
        <v>1241</v>
      </c>
      <c r="D139" s="3" t="s">
        <v>1242</v>
      </c>
      <c r="E139" s="3" t="s">
        <v>1243</v>
      </c>
      <c r="F139" s="3" t="s">
        <v>1244</v>
      </c>
      <c r="G139" s="3" t="s">
        <v>1245</v>
      </c>
      <c r="H139" s="11" t="s">
        <v>8118</v>
      </c>
      <c r="I139" s="3" t="s">
        <v>6739</v>
      </c>
      <c r="J139" s="7">
        <v>1.61</v>
      </c>
      <c r="K139" s="2" t="s">
        <v>6740</v>
      </c>
      <c r="L139" s="2">
        <v>2.52E-2</v>
      </c>
      <c r="M139" s="2">
        <f>2804/100000</f>
        <v>2.8039999999999999E-2</v>
      </c>
      <c r="N139" s="2">
        <v>0.17281250000000001</v>
      </c>
      <c r="O139" s="3" t="s">
        <v>6741</v>
      </c>
      <c r="P139" s="7">
        <v>0.98</v>
      </c>
      <c r="Q139" s="2" t="s">
        <v>6742</v>
      </c>
      <c r="R139" s="2">
        <v>0.92900000000000005</v>
      </c>
      <c r="S139" s="2">
        <f>100000/100000</f>
        <v>1</v>
      </c>
      <c r="T139" s="2">
        <v>0.82929589999999997</v>
      </c>
    </row>
    <row r="140" spans="1:20">
      <c r="A140" s="3" t="s">
        <v>1250</v>
      </c>
      <c r="B140" s="1" t="s">
        <v>1251</v>
      </c>
      <c r="C140" s="3" t="s">
        <v>1252</v>
      </c>
      <c r="D140" s="3" t="s">
        <v>1253</v>
      </c>
      <c r="E140" s="3" t="s">
        <v>1254</v>
      </c>
      <c r="F140" s="3" t="s">
        <v>1255</v>
      </c>
      <c r="G140" s="3" t="s">
        <v>1256</v>
      </c>
      <c r="H140" s="11" t="s">
        <v>8124</v>
      </c>
      <c r="I140" s="3" t="s">
        <v>6743</v>
      </c>
      <c r="J140" s="7">
        <v>0.86</v>
      </c>
      <c r="K140" s="2" t="s">
        <v>6744</v>
      </c>
      <c r="L140" s="2">
        <v>0.88600000000000001</v>
      </c>
      <c r="M140" s="2">
        <f>100000/100000</f>
        <v>1</v>
      </c>
      <c r="N140" s="2">
        <v>0.82929589999999997</v>
      </c>
      <c r="O140" s="3" t="s">
        <v>6745</v>
      </c>
      <c r="P140" s="7">
        <v>0.53</v>
      </c>
      <c r="Q140" s="2" t="s">
        <v>6746</v>
      </c>
      <c r="R140" s="2">
        <v>0.26600000000000001</v>
      </c>
      <c r="S140" s="2">
        <f>29248/100000</f>
        <v>0.29248000000000002</v>
      </c>
      <c r="T140" s="2">
        <v>0.57823020000000003</v>
      </c>
    </row>
    <row r="141" spans="1:20">
      <c r="A141" s="3" t="s">
        <v>1261</v>
      </c>
      <c r="B141" s="1" t="s">
        <v>1262</v>
      </c>
      <c r="C141" s="3" t="s">
        <v>1263</v>
      </c>
      <c r="D141" s="3" t="s">
        <v>1264</v>
      </c>
      <c r="E141" s="3" t="s">
        <v>1265</v>
      </c>
      <c r="F141" s="3" t="s">
        <v>1266</v>
      </c>
      <c r="G141" s="3" t="s">
        <v>1267</v>
      </c>
      <c r="H141" s="11" t="s">
        <v>8125</v>
      </c>
      <c r="I141" s="3" t="s">
        <v>6747</v>
      </c>
      <c r="J141" s="7">
        <v>0.88</v>
      </c>
      <c r="K141" s="2" t="s">
        <v>6748</v>
      </c>
      <c r="L141" s="2">
        <v>0.82299999999999995</v>
      </c>
      <c r="M141" s="2">
        <f>100000/100000</f>
        <v>1</v>
      </c>
      <c r="N141" s="2">
        <v>0.82929589999999997</v>
      </c>
      <c r="O141" s="3" t="s">
        <v>6749</v>
      </c>
      <c r="P141" s="7">
        <v>1.56</v>
      </c>
      <c r="Q141" s="2" t="s">
        <v>6750</v>
      </c>
      <c r="R141" s="2">
        <v>0.33200000000000002</v>
      </c>
      <c r="S141" s="2">
        <f>38601/100000</f>
        <v>0.38601000000000002</v>
      </c>
      <c r="T141" s="2">
        <v>0.65243910000000005</v>
      </c>
    </row>
    <row r="142" spans="1:20">
      <c r="A142" s="3" t="s">
        <v>1272</v>
      </c>
      <c r="B142" s="1" t="s">
        <v>1262</v>
      </c>
      <c r="C142" s="3" t="s">
        <v>1263</v>
      </c>
      <c r="D142" s="3" t="s">
        <v>1273</v>
      </c>
      <c r="E142" s="3" t="s">
        <v>1274</v>
      </c>
      <c r="F142" s="3" t="s">
        <v>1266</v>
      </c>
      <c r="G142" s="3" t="s">
        <v>1267</v>
      </c>
      <c r="H142" s="11" t="s">
        <v>8126</v>
      </c>
      <c r="I142" s="3" t="s">
        <v>6751</v>
      </c>
      <c r="J142" s="7">
        <v>1.52</v>
      </c>
      <c r="K142" s="2" t="s">
        <v>6752</v>
      </c>
      <c r="L142" s="2">
        <v>0.41599999999999998</v>
      </c>
      <c r="M142" s="2">
        <f>52398/100000</f>
        <v>0.52398</v>
      </c>
      <c r="N142" s="2">
        <v>0.74478149999999999</v>
      </c>
      <c r="O142" s="3" t="s">
        <v>6753</v>
      </c>
      <c r="P142" s="7">
        <v>1.05</v>
      </c>
      <c r="Q142" s="2" t="s">
        <v>6754</v>
      </c>
      <c r="R142" s="2">
        <v>0.92900000000000005</v>
      </c>
      <c r="S142" s="2">
        <f>100000/100000</f>
        <v>1</v>
      </c>
      <c r="T142" s="2">
        <v>0.82929589999999997</v>
      </c>
    </row>
    <row r="143" spans="1:20">
      <c r="A143" s="3" t="s">
        <v>1279</v>
      </c>
      <c r="B143" s="1" t="s">
        <v>1280</v>
      </c>
      <c r="C143" s="3" t="s">
        <v>1281</v>
      </c>
      <c r="D143" s="3" t="s">
        <v>1282</v>
      </c>
      <c r="E143" s="3" t="s">
        <v>1283</v>
      </c>
      <c r="F143" s="3" t="s">
        <v>1284</v>
      </c>
      <c r="G143" s="3" t="s">
        <v>1285</v>
      </c>
      <c r="H143" s="11" t="s">
        <v>8127</v>
      </c>
      <c r="I143" s="3" t="s">
        <v>6755</v>
      </c>
      <c r="J143" s="7">
        <v>1.2</v>
      </c>
      <c r="K143" s="2" t="s">
        <v>6756</v>
      </c>
      <c r="L143" s="2">
        <v>0.65800000000000003</v>
      </c>
      <c r="M143" s="2">
        <f>82212/100000</f>
        <v>0.82211999999999996</v>
      </c>
      <c r="N143" s="2">
        <v>0.82929589999999997</v>
      </c>
      <c r="O143" s="3" t="s">
        <v>6757</v>
      </c>
      <c r="P143" s="7">
        <v>1.4</v>
      </c>
      <c r="Q143" s="2" t="s">
        <v>6758</v>
      </c>
      <c r="R143" s="2">
        <v>0.38700000000000001</v>
      </c>
      <c r="S143" s="2">
        <f>49933/100000</f>
        <v>0.49933</v>
      </c>
      <c r="T143" s="2">
        <v>0.73504449999999999</v>
      </c>
    </row>
    <row r="144" spans="1:20">
      <c r="A144" s="3" t="s">
        <v>1290</v>
      </c>
      <c r="B144" s="1" t="s">
        <v>1291</v>
      </c>
      <c r="C144" s="3" t="s">
        <v>1292</v>
      </c>
      <c r="D144" s="3" t="s">
        <v>1293</v>
      </c>
      <c r="E144" s="3" t="s">
        <v>1294</v>
      </c>
      <c r="F144" s="3" t="s">
        <v>1295</v>
      </c>
      <c r="G144" s="3" t="s">
        <v>1296</v>
      </c>
      <c r="H144" s="11" t="s">
        <v>8128</v>
      </c>
      <c r="I144" s="3" t="s">
        <v>6759</v>
      </c>
      <c r="J144" s="7">
        <v>0.14000000000000001</v>
      </c>
      <c r="K144" s="2" t="s">
        <v>4804</v>
      </c>
      <c r="L144" s="2">
        <v>2.07E-2</v>
      </c>
      <c r="M144" s="2">
        <f>2915/100000</f>
        <v>2.9149999999999999E-2</v>
      </c>
      <c r="N144" s="2">
        <v>0.17723639999999999</v>
      </c>
      <c r="O144" s="3" t="s">
        <v>6760</v>
      </c>
      <c r="P144" s="7">
        <v>0.7</v>
      </c>
      <c r="Q144" s="2" t="s">
        <v>6761</v>
      </c>
      <c r="R144" s="2">
        <v>0.47599999999999998</v>
      </c>
      <c r="S144" s="2">
        <f>53405/100000</f>
        <v>0.53405000000000002</v>
      </c>
      <c r="T144" s="2">
        <v>0.74478149999999999</v>
      </c>
    </row>
    <row r="145" spans="1:20">
      <c r="A145" s="3" t="s">
        <v>1301</v>
      </c>
      <c r="B145" s="1" t="s">
        <v>1291</v>
      </c>
      <c r="C145" s="3" t="s">
        <v>1292</v>
      </c>
      <c r="D145" s="3" t="s">
        <v>1302</v>
      </c>
      <c r="E145" s="3" t="s">
        <v>1303</v>
      </c>
      <c r="F145" s="3" t="s">
        <v>1304</v>
      </c>
      <c r="G145" s="3" t="s">
        <v>1305</v>
      </c>
      <c r="H145" s="11" t="s">
        <v>8128</v>
      </c>
      <c r="I145" s="3" t="s">
        <v>6762</v>
      </c>
      <c r="J145" s="7">
        <v>1.72</v>
      </c>
      <c r="K145" s="2" t="s">
        <v>6763</v>
      </c>
      <c r="L145" s="2">
        <v>5.0099999999999999E-2</v>
      </c>
      <c r="M145" s="2">
        <f>5410/100000</f>
        <v>5.4100000000000002E-2</v>
      </c>
      <c r="N145" s="2">
        <v>0.25254860000000001</v>
      </c>
      <c r="O145" s="3" t="s">
        <v>6764</v>
      </c>
      <c r="P145" s="7">
        <v>0.87</v>
      </c>
      <c r="Q145" s="2" t="s">
        <v>3105</v>
      </c>
      <c r="R145" s="2">
        <v>0.67100000000000004</v>
      </c>
      <c r="S145" s="2">
        <f>76393/100000</f>
        <v>0.76393</v>
      </c>
      <c r="T145" s="2">
        <v>0.82929589999999997</v>
      </c>
    </row>
    <row r="146" spans="1:20">
      <c r="A146" s="3" t="s">
        <v>1310</v>
      </c>
      <c r="B146" s="1" t="s">
        <v>1311</v>
      </c>
      <c r="C146" s="3" t="s">
        <v>1312</v>
      </c>
      <c r="D146" s="3" t="s">
        <v>1313</v>
      </c>
      <c r="E146" s="3" t="s">
        <v>1314</v>
      </c>
      <c r="F146" s="3" t="s">
        <v>1315</v>
      </c>
      <c r="G146" s="3" t="s">
        <v>1316</v>
      </c>
      <c r="H146" s="11" t="s">
        <v>8129</v>
      </c>
      <c r="I146" s="3" t="s">
        <v>6765</v>
      </c>
      <c r="J146" s="7">
        <v>0</v>
      </c>
      <c r="K146" s="2" t="s">
        <v>774</v>
      </c>
      <c r="L146" s="2">
        <v>0.20399999999999999</v>
      </c>
      <c r="M146" s="2">
        <f>27531/100000</f>
        <v>0.27531</v>
      </c>
      <c r="N146" s="2">
        <v>0.56620890000000001</v>
      </c>
      <c r="O146" s="3" t="s">
        <v>6766</v>
      </c>
      <c r="P146" s="7">
        <v>1.89</v>
      </c>
      <c r="Q146" s="2" t="s">
        <v>6767</v>
      </c>
      <c r="R146" s="2">
        <v>0.378</v>
      </c>
      <c r="S146" s="2">
        <f>62732/100000</f>
        <v>0.62731999999999999</v>
      </c>
      <c r="T146" s="2">
        <v>0.79869500000000004</v>
      </c>
    </row>
    <row r="147" spans="1:20">
      <c r="A147" s="3" t="s">
        <v>1321</v>
      </c>
      <c r="B147" s="1" t="s">
        <v>1311</v>
      </c>
      <c r="C147" s="3" t="s">
        <v>1312</v>
      </c>
      <c r="D147" s="3" t="s">
        <v>1322</v>
      </c>
      <c r="E147" s="3" t="s">
        <v>1323</v>
      </c>
      <c r="F147" s="3" t="s">
        <v>1324</v>
      </c>
      <c r="G147" s="3" t="s">
        <v>1325</v>
      </c>
      <c r="H147" s="11" t="s">
        <v>8129</v>
      </c>
      <c r="I147" s="3" t="s">
        <v>6768</v>
      </c>
      <c r="J147" s="7">
        <v>2.56</v>
      </c>
      <c r="K147" s="2" t="s">
        <v>6769</v>
      </c>
      <c r="L147" s="2">
        <v>0.19</v>
      </c>
      <c r="M147" s="2">
        <f>19920/100000</f>
        <v>0.19919999999999999</v>
      </c>
      <c r="N147" s="2">
        <v>0.48870029999999998</v>
      </c>
      <c r="O147" s="3" t="s">
        <v>6770</v>
      </c>
      <c r="P147" s="7">
        <v>0</v>
      </c>
      <c r="Q147" s="2" t="s">
        <v>774</v>
      </c>
      <c r="R147" s="2">
        <v>0.35299999999999998</v>
      </c>
      <c r="S147" s="2">
        <f>63034/100000</f>
        <v>0.63034000000000001</v>
      </c>
      <c r="T147" s="2">
        <v>0.79869500000000004</v>
      </c>
    </row>
    <row r="148" spans="1:20">
      <c r="A148" s="3" t="s">
        <v>1329</v>
      </c>
      <c r="B148" s="1" t="s">
        <v>1330</v>
      </c>
      <c r="C148" s="3" t="s">
        <v>1331</v>
      </c>
      <c r="D148" s="3" t="s">
        <v>1332</v>
      </c>
      <c r="E148" s="3" t="s">
        <v>1333</v>
      </c>
      <c r="F148" s="3" t="s">
        <v>1334</v>
      </c>
      <c r="G148" s="3" t="s">
        <v>1335</v>
      </c>
      <c r="H148" s="11" t="s">
        <v>8130</v>
      </c>
      <c r="I148" s="3" t="s">
        <v>6771</v>
      </c>
      <c r="J148" s="7">
        <v>0.4</v>
      </c>
      <c r="K148" s="2" t="s">
        <v>6772</v>
      </c>
      <c r="L148" s="2">
        <v>0.107</v>
      </c>
      <c r="M148" s="2">
        <f>12621/100000</f>
        <v>0.12620999999999999</v>
      </c>
      <c r="N148" s="2">
        <v>0.39428360000000001</v>
      </c>
      <c r="O148" s="3" t="s">
        <v>6773</v>
      </c>
      <c r="P148" s="7">
        <v>1.07</v>
      </c>
      <c r="Q148" s="2" t="s">
        <v>6774</v>
      </c>
      <c r="R148" s="2">
        <v>0.82299999999999995</v>
      </c>
      <c r="S148" s="2">
        <f>87774/100000</f>
        <v>0.87773999999999996</v>
      </c>
      <c r="T148" s="2">
        <v>0.82929589999999997</v>
      </c>
    </row>
    <row r="149" spans="1:20">
      <c r="A149" s="3" t="s">
        <v>1340</v>
      </c>
      <c r="B149" s="1" t="s">
        <v>1330</v>
      </c>
      <c r="C149" s="3" t="s">
        <v>1331</v>
      </c>
      <c r="D149" s="3" t="s">
        <v>1341</v>
      </c>
      <c r="E149" s="3" t="s">
        <v>1342</v>
      </c>
      <c r="F149" s="3" t="s">
        <v>1334</v>
      </c>
      <c r="G149" s="3" t="s">
        <v>1335</v>
      </c>
      <c r="H149" s="11" t="s">
        <v>8131</v>
      </c>
      <c r="I149" s="3" t="s">
        <v>6775</v>
      </c>
      <c r="J149" s="7">
        <v>0.49</v>
      </c>
      <c r="K149" s="2" t="s">
        <v>6299</v>
      </c>
      <c r="L149" s="2">
        <v>0.21099999999999999</v>
      </c>
      <c r="M149" s="2">
        <f>29279/100000</f>
        <v>0.29278999999999999</v>
      </c>
      <c r="N149" s="2">
        <v>0.57823020000000003</v>
      </c>
      <c r="O149" s="3" t="s">
        <v>6776</v>
      </c>
      <c r="P149" s="7">
        <v>0.7</v>
      </c>
      <c r="Q149" s="2" t="s">
        <v>6777</v>
      </c>
      <c r="R149" s="2">
        <v>0.42199999999999999</v>
      </c>
      <c r="S149" s="2">
        <f>45722/100000</f>
        <v>0.45722000000000002</v>
      </c>
      <c r="T149" s="2">
        <v>0.70161989999999996</v>
      </c>
    </row>
    <row r="150" spans="1:20">
      <c r="A150" s="3" t="s">
        <v>1347</v>
      </c>
      <c r="B150" s="1" t="s">
        <v>1348</v>
      </c>
      <c r="C150" s="3" t="s">
        <v>1349</v>
      </c>
      <c r="D150" s="3" t="s">
        <v>1350</v>
      </c>
      <c r="E150" s="3" t="s">
        <v>1351</v>
      </c>
      <c r="F150" s="3" t="s">
        <v>1352</v>
      </c>
      <c r="G150" s="3" t="s">
        <v>1353</v>
      </c>
      <c r="H150" s="11" t="s">
        <v>8132</v>
      </c>
      <c r="I150" s="3" t="s">
        <v>6778</v>
      </c>
      <c r="J150" s="7">
        <v>0.89</v>
      </c>
      <c r="K150" s="2" t="s">
        <v>6779</v>
      </c>
      <c r="L150" s="2">
        <v>0.68300000000000005</v>
      </c>
      <c r="M150" s="2">
        <f>69252/100000</f>
        <v>0.69252000000000002</v>
      </c>
      <c r="N150" s="2">
        <v>0.81405680000000002</v>
      </c>
      <c r="O150" s="3" t="s">
        <v>6780</v>
      </c>
      <c r="P150" s="7">
        <v>0.91</v>
      </c>
      <c r="Q150" s="2" t="s">
        <v>6781</v>
      </c>
      <c r="R150" s="2">
        <v>0.74199999999999999</v>
      </c>
      <c r="S150" s="2">
        <f>78050/100000</f>
        <v>0.78049999999999997</v>
      </c>
      <c r="T150" s="2">
        <v>0.82929589999999997</v>
      </c>
    </row>
    <row r="151" spans="1:20">
      <c r="A151" s="3" t="s">
        <v>1358</v>
      </c>
      <c r="B151" s="1" t="s">
        <v>1359</v>
      </c>
      <c r="C151" s="3" t="s">
        <v>1360</v>
      </c>
      <c r="D151" s="3" t="s">
        <v>1361</v>
      </c>
      <c r="E151" s="3" t="s">
        <v>1362</v>
      </c>
      <c r="F151" s="3" t="s">
        <v>1363</v>
      </c>
      <c r="G151" s="3" t="s">
        <v>1364</v>
      </c>
      <c r="H151" s="11" t="s">
        <v>8133</v>
      </c>
      <c r="I151" s="3" t="s">
        <v>6782</v>
      </c>
      <c r="J151" s="7">
        <v>2.63</v>
      </c>
      <c r="K151" s="2" t="s">
        <v>6783</v>
      </c>
      <c r="L151" s="2">
        <v>3.2600000000000001E-4</v>
      </c>
      <c r="M151" s="2">
        <f>146/100000</f>
        <v>1.4599999999999999E-3</v>
      </c>
      <c r="N151" s="2">
        <v>2.1543389999999999E-2</v>
      </c>
      <c r="O151" s="3" t="s">
        <v>6784</v>
      </c>
      <c r="P151" s="7">
        <v>0.9</v>
      </c>
      <c r="Q151" s="2" t="s">
        <v>6785</v>
      </c>
      <c r="R151" s="2">
        <v>0.80400000000000005</v>
      </c>
      <c r="S151" s="2">
        <f>85013/100000</f>
        <v>0.85013000000000005</v>
      </c>
      <c r="T151" s="2">
        <v>0.82929589999999997</v>
      </c>
    </row>
    <row r="152" spans="1:20">
      <c r="A152" s="3" t="s">
        <v>1369</v>
      </c>
      <c r="B152" s="1" t="s">
        <v>1359</v>
      </c>
      <c r="C152" s="3" t="s">
        <v>1360</v>
      </c>
      <c r="D152" s="3" t="s">
        <v>1370</v>
      </c>
      <c r="E152" s="3" t="s">
        <v>1371</v>
      </c>
      <c r="F152" s="3" t="s">
        <v>1372</v>
      </c>
      <c r="G152" s="3" t="s">
        <v>1373</v>
      </c>
      <c r="H152" s="11" t="s">
        <v>8133</v>
      </c>
      <c r="I152" s="3" t="s">
        <v>6786</v>
      </c>
      <c r="J152" s="7">
        <v>1.0900000000000001</v>
      </c>
      <c r="K152" s="2" t="s">
        <v>6787</v>
      </c>
      <c r="L152" s="2">
        <v>0.81599999999999995</v>
      </c>
      <c r="M152" s="2">
        <f>83805/100000</f>
        <v>0.83804999999999996</v>
      </c>
      <c r="N152" s="2">
        <v>0.82929589999999997</v>
      </c>
      <c r="O152" s="3" t="s">
        <v>6788</v>
      </c>
      <c r="P152" s="7">
        <v>0.64</v>
      </c>
      <c r="Q152" s="2" t="s">
        <v>6789</v>
      </c>
      <c r="R152" s="2">
        <v>0.38100000000000001</v>
      </c>
      <c r="S152" s="2">
        <f>42555/100000</f>
        <v>0.42554999999999998</v>
      </c>
      <c r="T152" s="2">
        <v>0.68104299999999995</v>
      </c>
    </row>
    <row r="153" spans="1:20">
      <c r="A153" s="3" t="s">
        <v>1378</v>
      </c>
      <c r="B153" s="1" t="s">
        <v>1379</v>
      </c>
      <c r="C153" s="3" t="s">
        <v>1380</v>
      </c>
      <c r="D153" s="3" t="s">
        <v>1381</v>
      </c>
      <c r="E153" s="3" t="s">
        <v>1382</v>
      </c>
      <c r="F153" s="3" t="s">
        <v>1383</v>
      </c>
      <c r="G153" s="3" t="s">
        <v>1384</v>
      </c>
      <c r="H153" s="11" t="s">
        <v>8134</v>
      </c>
      <c r="I153" s="3" t="s">
        <v>6790</v>
      </c>
      <c r="J153" s="7">
        <v>1.69</v>
      </c>
      <c r="K153" s="2" t="s">
        <v>6791</v>
      </c>
      <c r="L153" s="2">
        <v>6.05E-5</v>
      </c>
      <c r="M153" s="2">
        <f>8/100000</f>
        <v>8.0000000000000007E-5</v>
      </c>
      <c r="N153" s="2">
        <v>2.1175259999999998E-3</v>
      </c>
      <c r="O153" s="3" t="s">
        <v>6792</v>
      </c>
      <c r="P153" s="7">
        <v>0.99</v>
      </c>
      <c r="Q153" s="2" t="s">
        <v>6793</v>
      </c>
      <c r="R153" s="2">
        <v>0.96</v>
      </c>
      <c r="S153" s="2">
        <f>100000/100000</f>
        <v>1</v>
      </c>
      <c r="T153" s="2">
        <v>0.82929589999999997</v>
      </c>
    </row>
    <row r="154" spans="1:20">
      <c r="A154" s="3" t="s">
        <v>1389</v>
      </c>
      <c r="B154" s="1" t="s">
        <v>1390</v>
      </c>
      <c r="C154" s="3" t="s">
        <v>1391</v>
      </c>
      <c r="D154" s="3" t="s">
        <v>1392</v>
      </c>
      <c r="E154" s="3" t="s">
        <v>1393</v>
      </c>
      <c r="F154" s="3" t="s">
        <v>1394</v>
      </c>
      <c r="G154" s="3" t="s">
        <v>1395</v>
      </c>
      <c r="H154" s="11" t="s">
        <v>8075</v>
      </c>
      <c r="I154" s="3" t="s">
        <v>6794</v>
      </c>
      <c r="J154" s="7">
        <v>0.89</v>
      </c>
      <c r="K154" s="2" t="s">
        <v>6795</v>
      </c>
      <c r="L154" s="2">
        <v>0.72899999999999998</v>
      </c>
      <c r="M154" s="2">
        <f>76142/100000</f>
        <v>0.76141999999999999</v>
      </c>
      <c r="N154" s="2">
        <v>0.82929589999999997</v>
      </c>
      <c r="O154" s="3" t="s">
        <v>6796</v>
      </c>
      <c r="P154" s="7">
        <v>1.34</v>
      </c>
      <c r="Q154" s="2" t="s">
        <v>6797</v>
      </c>
      <c r="R154" s="2">
        <v>0.184</v>
      </c>
      <c r="S154" s="2">
        <f>20270/100000</f>
        <v>0.20269999999999999</v>
      </c>
      <c r="T154" s="2">
        <v>0.49123699999999998</v>
      </c>
    </row>
    <row r="155" spans="1:20">
      <c r="A155" s="3" t="s">
        <v>1399</v>
      </c>
      <c r="B155" s="1" t="s">
        <v>1390</v>
      </c>
      <c r="C155" s="3" t="s">
        <v>1391</v>
      </c>
      <c r="D155" s="3" t="s">
        <v>1400</v>
      </c>
      <c r="E155" s="3" t="s">
        <v>1401</v>
      </c>
      <c r="F155" s="3" t="s">
        <v>1402</v>
      </c>
      <c r="G155" s="3" t="s">
        <v>1403</v>
      </c>
      <c r="H155" s="11" t="s">
        <v>8135</v>
      </c>
      <c r="I155" s="3" t="s">
        <v>6798</v>
      </c>
      <c r="J155" s="7">
        <v>0.9</v>
      </c>
      <c r="K155" s="2" t="s">
        <v>6799</v>
      </c>
      <c r="L155" s="2">
        <v>0.77500000000000002</v>
      </c>
      <c r="M155" s="2">
        <f>86486/100000</f>
        <v>0.86485999999999996</v>
      </c>
      <c r="N155" s="2">
        <v>0.82929589999999997</v>
      </c>
      <c r="O155" s="3" t="s">
        <v>6800</v>
      </c>
      <c r="P155" s="7">
        <v>0.99</v>
      </c>
      <c r="Q155" s="2" t="s">
        <v>6801</v>
      </c>
      <c r="R155" s="2">
        <v>0.97499999999999998</v>
      </c>
      <c r="S155" s="2">
        <f>100000/100000</f>
        <v>1</v>
      </c>
      <c r="T155" s="2">
        <v>0.82929589999999997</v>
      </c>
    </row>
    <row r="156" spans="1:20">
      <c r="A156" s="3" t="s">
        <v>1408</v>
      </c>
      <c r="B156" s="1" t="s">
        <v>1409</v>
      </c>
      <c r="C156" s="3" t="s">
        <v>1410</v>
      </c>
      <c r="D156" s="3" t="s">
        <v>1411</v>
      </c>
      <c r="E156" s="3" t="s">
        <v>1412</v>
      </c>
      <c r="F156" s="3" t="s">
        <v>1413</v>
      </c>
      <c r="G156" s="3" t="s">
        <v>1414</v>
      </c>
      <c r="H156" s="11" t="s">
        <v>8136</v>
      </c>
      <c r="I156" s="3" t="s">
        <v>6802</v>
      </c>
      <c r="J156" s="7">
        <v>0.82</v>
      </c>
      <c r="K156" s="2" t="s">
        <v>6803</v>
      </c>
      <c r="L156" s="2">
        <v>0.61099999999999999</v>
      </c>
      <c r="M156" s="2">
        <f>72689/100000</f>
        <v>0.72689000000000004</v>
      </c>
      <c r="N156" s="2">
        <v>0.82137769999999999</v>
      </c>
      <c r="O156" s="3" t="s">
        <v>6804</v>
      </c>
      <c r="P156" s="7">
        <v>0.38</v>
      </c>
      <c r="Q156" s="2" t="s">
        <v>6805</v>
      </c>
      <c r="R156" s="2">
        <v>8.6999999999999994E-2</v>
      </c>
      <c r="S156" s="2">
        <f>9452/100000</f>
        <v>9.4520000000000007E-2</v>
      </c>
      <c r="T156" s="2">
        <v>0.34860449999999998</v>
      </c>
    </row>
    <row r="157" spans="1:20">
      <c r="A157" s="3" t="s">
        <v>1419</v>
      </c>
      <c r="B157" s="1" t="s">
        <v>1409</v>
      </c>
      <c r="C157" s="3" t="s">
        <v>1410</v>
      </c>
      <c r="D157" s="3" t="s">
        <v>1420</v>
      </c>
      <c r="E157" s="3" t="s">
        <v>1421</v>
      </c>
      <c r="F157" s="3" t="s">
        <v>1422</v>
      </c>
      <c r="G157" s="3" t="s">
        <v>1423</v>
      </c>
      <c r="H157" s="11" t="s">
        <v>8136</v>
      </c>
      <c r="I157" s="3" t="s">
        <v>6806</v>
      </c>
      <c r="J157" s="7">
        <v>0.86</v>
      </c>
      <c r="K157" s="2" t="s">
        <v>6807</v>
      </c>
      <c r="L157" s="2">
        <v>0.68400000000000005</v>
      </c>
      <c r="M157" s="2">
        <f>72854/100000</f>
        <v>0.72853999999999997</v>
      </c>
      <c r="N157" s="2">
        <v>0.82137769999999999</v>
      </c>
      <c r="O157" s="3" t="s">
        <v>6808</v>
      </c>
      <c r="P157" s="7">
        <v>0.93</v>
      </c>
      <c r="Q157" s="2" t="s">
        <v>6809</v>
      </c>
      <c r="R157" s="2">
        <v>0.84099999999999997</v>
      </c>
      <c r="S157" s="2">
        <f>85862/100000</f>
        <v>0.85862000000000005</v>
      </c>
      <c r="T157" s="2">
        <v>0.82929589999999997</v>
      </c>
    </row>
    <row r="158" spans="1:20">
      <c r="A158" s="3" t="s">
        <v>1428</v>
      </c>
      <c r="B158" s="1" t="s">
        <v>1429</v>
      </c>
      <c r="C158" s="3" t="s">
        <v>1430</v>
      </c>
      <c r="D158" s="3" t="s">
        <v>1431</v>
      </c>
      <c r="E158" s="3" t="s">
        <v>1432</v>
      </c>
      <c r="F158" s="3" t="s">
        <v>1433</v>
      </c>
      <c r="G158" s="3" t="s">
        <v>1434</v>
      </c>
      <c r="H158" s="11" t="s">
        <v>8076</v>
      </c>
      <c r="I158" s="3" t="s">
        <v>6810</v>
      </c>
      <c r="J158" s="7">
        <v>1.57</v>
      </c>
      <c r="K158" s="2" t="s">
        <v>6811</v>
      </c>
      <c r="L158" s="2">
        <v>0.1</v>
      </c>
      <c r="M158" s="2">
        <f>12286/100000</f>
        <v>0.12286</v>
      </c>
      <c r="N158" s="2">
        <v>0.38891930000000002</v>
      </c>
      <c r="O158" s="3" t="s">
        <v>6812</v>
      </c>
      <c r="P158" s="7">
        <v>1.38</v>
      </c>
      <c r="Q158" s="2" t="s">
        <v>6813</v>
      </c>
      <c r="R158" s="2">
        <v>0.32500000000000001</v>
      </c>
      <c r="S158" s="2">
        <f>33754/100000</f>
        <v>0.33754000000000001</v>
      </c>
      <c r="T158" s="2">
        <v>0.61526179999999997</v>
      </c>
    </row>
    <row r="159" spans="1:20">
      <c r="A159" s="3" t="s">
        <v>1439</v>
      </c>
      <c r="B159" s="1" t="s">
        <v>1429</v>
      </c>
      <c r="C159" s="3" t="s">
        <v>1430</v>
      </c>
      <c r="D159" s="3" t="s">
        <v>1440</v>
      </c>
      <c r="E159" s="3" t="s">
        <v>1441</v>
      </c>
      <c r="F159" s="3" t="s">
        <v>1442</v>
      </c>
      <c r="G159" s="3" t="s">
        <v>1443</v>
      </c>
      <c r="H159" s="11" t="s">
        <v>8076</v>
      </c>
      <c r="I159" s="3" t="s">
        <v>6814</v>
      </c>
      <c r="J159" s="7">
        <v>1.0900000000000001</v>
      </c>
      <c r="K159" s="2" t="s">
        <v>6787</v>
      </c>
      <c r="L159" s="2">
        <v>0.82499999999999996</v>
      </c>
      <c r="M159" s="2">
        <f>83688/100000</f>
        <v>0.83687999999999996</v>
      </c>
      <c r="N159" s="2">
        <v>0.82929589999999997</v>
      </c>
      <c r="O159" s="3" t="s">
        <v>6815</v>
      </c>
      <c r="P159" s="7">
        <v>2.62</v>
      </c>
      <c r="Q159" s="2" t="s">
        <v>6816</v>
      </c>
      <c r="R159" s="2">
        <v>2.5999999999999998E-4</v>
      </c>
      <c r="S159" s="2">
        <f>146/100000</f>
        <v>1.4599999999999999E-3</v>
      </c>
      <c r="T159" s="2">
        <v>2.1543389999999999E-2</v>
      </c>
    </row>
    <row r="160" spans="1:20">
      <c r="A160" s="3" t="s">
        <v>1448</v>
      </c>
      <c r="B160" s="1" t="s">
        <v>1429</v>
      </c>
      <c r="C160" s="3" t="s">
        <v>1430</v>
      </c>
      <c r="D160" s="3" t="s">
        <v>1431</v>
      </c>
      <c r="E160" s="3" t="s">
        <v>1432</v>
      </c>
      <c r="F160" s="3" t="s">
        <v>1433</v>
      </c>
      <c r="G160" s="3" t="s">
        <v>1434</v>
      </c>
      <c r="H160" s="11" t="s">
        <v>8076</v>
      </c>
      <c r="I160" s="3" t="s">
        <v>6810</v>
      </c>
      <c r="J160" s="7">
        <v>1.57</v>
      </c>
      <c r="K160" s="2" t="s">
        <v>6811</v>
      </c>
      <c r="L160" s="2">
        <v>0.1</v>
      </c>
      <c r="M160" s="2">
        <f>12286/100000</f>
        <v>0.12286</v>
      </c>
      <c r="N160" s="2">
        <v>0.38891930000000002</v>
      </c>
      <c r="O160" s="3" t="s">
        <v>6812</v>
      </c>
      <c r="P160" s="7">
        <v>1.38</v>
      </c>
      <c r="Q160" s="2" t="s">
        <v>6813</v>
      </c>
      <c r="R160" s="2">
        <v>0.32500000000000001</v>
      </c>
      <c r="S160" s="2">
        <f>33754/100000</f>
        <v>0.33754000000000001</v>
      </c>
      <c r="T160" s="2">
        <v>0.61526179999999997</v>
      </c>
    </row>
    <row r="161" spans="1:20">
      <c r="A161" s="3" t="s">
        <v>1449</v>
      </c>
      <c r="B161" s="1" t="s">
        <v>1429</v>
      </c>
      <c r="C161" s="3" t="s">
        <v>1430</v>
      </c>
      <c r="D161" s="3" t="s">
        <v>1450</v>
      </c>
      <c r="E161" s="3" t="s">
        <v>1451</v>
      </c>
      <c r="F161" s="3" t="s">
        <v>1433</v>
      </c>
      <c r="G161" s="3" t="s">
        <v>1434</v>
      </c>
      <c r="H161" s="11" t="s">
        <v>8076</v>
      </c>
      <c r="I161" s="3" t="s">
        <v>6817</v>
      </c>
      <c r="J161" s="7">
        <v>1.72</v>
      </c>
      <c r="K161" s="2" t="s">
        <v>6818</v>
      </c>
      <c r="L161" s="2">
        <v>6.6900000000000001E-2</v>
      </c>
      <c r="M161" s="2">
        <f>8084/100000</f>
        <v>8.0839999999999995E-2</v>
      </c>
      <c r="N161" s="2">
        <v>0.32063989999999998</v>
      </c>
      <c r="O161" s="3" t="s">
        <v>6819</v>
      </c>
      <c r="P161" s="7">
        <v>1.03</v>
      </c>
      <c r="Q161" s="2" t="s">
        <v>6820</v>
      </c>
      <c r="R161" s="2">
        <v>0.94499999999999995</v>
      </c>
      <c r="S161" s="2">
        <f>100000/100000</f>
        <v>1</v>
      </c>
      <c r="T161" s="2">
        <v>0.82929589999999997</v>
      </c>
    </row>
    <row r="162" spans="1:20">
      <c r="A162" s="3" t="s">
        <v>1456</v>
      </c>
      <c r="B162" s="1" t="s">
        <v>1429</v>
      </c>
      <c r="C162" s="3" t="s">
        <v>1430</v>
      </c>
      <c r="D162" s="3" t="s">
        <v>1457</v>
      </c>
      <c r="E162" s="3" t="s">
        <v>1458</v>
      </c>
      <c r="F162" s="3" t="s">
        <v>1459</v>
      </c>
      <c r="G162" s="3" t="s">
        <v>1460</v>
      </c>
      <c r="H162" s="11" t="s">
        <v>8076</v>
      </c>
      <c r="I162" s="3" t="s">
        <v>6821</v>
      </c>
      <c r="J162" s="7">
        <v>1.62</v>
      </c>
      <c r="K162" s="2" t="s">
        <v>6822</v>
      </c>
      <c r="L162" s="2">
        <v>6.2399999999999997E-2</v>
      </c>
      <c r="M162" s="2">
        <f>7463/100000</f>
        <v>7.4630000000000002E-2</v>
      </c>
      <c r="N162" s="2">
        <v>0.3054017</v>
      </c>
      <c r="O162" s="3" t="s">
        <v>6823</v>
      </c>
      <c r="P162" s="7">
        <v>2.37</v>
      </c>
      <c r="Q162" s="2" t="s">
        <v>6824</v>
      </c>
      <c r="R162" s="2">
        <v>1.7000000000000001E-4</v>
      </c>
      <c r="S162" s="2">
        <f>76/100000</f>
        <v>7.6000000000000004E-4</v>
      </c>
      <c r="T162" s="2">
        <v>1.3550690000000001E-2</v>
      </c>
    </row>
    <row r="163" spans="1:20">
      <c r="A163" s="3" t="s">
        <v>1465</v>
      </c>
      <c r="B163" s="1" t="s">
        <v>1429</v>
      </c>
      <c r="C163" s="3" t="s">
        <v>1430</v>
      </c>
      <c r="D163" s="3" t="s">
        <v>1466</v>
      </c>
      <c r="E163" s="3" t="s">
        <v>1467</v>
      </c>
      <c r="F163" s="3" t="s">
        <v>1459</v>
      </c>
      <c r="G163" s="3" t="s">
        <v>1460</v>
      </c>
      <c r="H163" s="11" t="s">
        <v>8137</v>
      </c>
      <c r="I163" s="3" t="s">
        <v>6825</v>
      </c>
      <c r="J163" s="7">
        <v>1.41</v>
      </c>
      <c r="K163" s="2" t="s">
        <v>6826</v>
      </c>
      <c r="L163" s="2">
        <v>0.26800000000000002</v>
      </c>
      <c r="M163" s="2">
        <f>27133/100000</f>
        <v>0.27133000000000002</v>
      </c>
      <c r="N163" s="2">
        <v>0.56620890000000001</v>
      </c>
      <c r="O163" s="3" t="s">
        <v>6827</v>
      </c>
      <c r="P163" s="7">
        <v>2.23</v>
      </c>
      <c r="Q163" s="2" t="s">
        <v>6828</v>
      </c>
      <c r="R163" s="2">
        <v>3.4399999999999999E-3</v>
      </c>
      <c r="S163" s="2">
        <f>718/100000</f>
        <v>7.1799999999999998E-3</v>
      </c>
      <c r="T163" s="2">
        <v>6.8530300000000002E-2</v>
      </c>
    </row>
    <row r="164" spans="1:20">
      <c r="A164" s="3" t="s">
        <v>1472</v>
      </c>
      <c r="B164" s="1" t="s">
        <v>1473</v>
      </c>
      <c r="C164" s="3" t="s">
        <v>1474</v>
      </c>
      <c r="D164" s="3" t="s">
        <v>1475</v>
      </c>
      <c r="E164" s="3" t="s">
        <v>1476</v>
      </c>
      <c r="F164" s="3" t="s">
        <v>1477</v>
      </c>
      <c r="G164" s="3" t="s">
        <v>1478</v>
      </c>
      <c r="H164" s="11" t="s">
        <v>8122</v>
      </c>
      <c r="I164" s="3" t="s">
        <v>6829</v>
      </c>
      <c r="J164" s="7">
        <v>1.47</v>
      </c>
      <c r="K164" s="2" t="s">
        <v>6830</v>
      </c>
      <c r="L164" s="2">
        <v>4.1700000000000001E-2</v>
      </c>
      <c r="M164" s="2">
        <f>4313/100000</f>
        <v>4.3130000000000002E-2</v>
      </c>
      <c r="N164" s="2">
        <v>0.2222073</v>
      </c>
      <c r="O164" s="3" t="s">
        <v>6831</v>
      </c>
      <c r="P164" s="7">
        <v>1.1200000000000001</v>
      </c>
      <c r="Q164" s="2" t="s">
        <v>6832</v>
      </c>
      <c r="R164" s="2">
        <v>0.62</v>
      </c>
      <c r="S164" s="2">
        <f>62541/100000</f>
        <v>0.62541000000000002</v>
      </c>
      <c r="T164" s="2">
        <v>0.79869500000000004</v>
      </c>
    </row>
    <row r="165" spans="1:20">
      <c r="A165" s="3" t="s">
        <v>1483</v>
      </c>
      <c r="B165" s="1" t="s">
        <v>1473</v>
      </c>
      <c r="C165" s="3" t="s">
        <v>1474</v>
      </c>
      <c r="D165" s="3" t="s">
        <v>1484</v>
      </c>
      <c r="E165" s="3" t="s">
        <v>1485</v>
      </c>
      <c r="F165" s="3" t="s">
        <v>1477</v>
      </c>
      <c r="G165" s="3" t="s">
        <v>1478</v>
      </c>
      <c r="H165" s="11" t="s">
        <v>8138</v>
      </c>
      <c r="I165" s="3" t="s">
        <v>6833</v>
      </c>
      <c r="J165" s="7">
        <v>1.1299999999999999</v>
      </c>
      <c r="K165" s="2" t="s">
        <v>5307</v>
      </c>
      <c r="L165" s="2">
        <v>0.68700000000000006</v>
      </c>
      <c r="M165" s="2">
        <f>75277/100000</f>
        <v>0.75277000000000005</v>
      </c>
      <c r="N165" s="2">
        <v>0.82929589999999997</v>
      </c>
      <c r="O165" s="3" t="s">
        <v>6834</v>
      </c>
      <c r="P165" s="7">
        <v>1.4</v>
      </c>
      <c r="Q165" s="2" t="s">
        <v>6835</v>
      </c>
      <c r="R165" s="2">
        <v>0.216</v>
      </c>
      <c r="S165" s="2">
        <f>25623/100000</f>
        <v>0.25623000000000001</v>
      </c>
      <c r="T165" s="2">
        <v>0.55796259999999998</v>
      </c>
    </row>
    <row r="166" spans="1:20">
      <c r="A166" s="3" t="s">
        <v>1490</v>
      </c>
      <c r="B166" s="1" t="s">
        <v>1491</v>
      </c>
      <c r="C166" s="3" t="s">
        <v>1492</v>
      </c>
      <c r="D166" s="3" t="s">
        <v>1493</v>
      </c>
      <c r="E166" s="3" t="s">
        <v>1494</v>
      </c>
      <c r="F166" s="3" t="s">
        <v>1495</v>
      </c>
      <c r="G166" s="3" t="s">
        <v>1496</v>
      </c>
      <c r="H166" s="11" t="s">
        <v>8139</v>
      </c>
      <c r="I166" s="3" t="s">
        <v>6836</v>
      </c>
      <c r="J166" s="7">
        <v>1.05</v>
      </c>
      <c r="K166" s="2" t="s">
        <v>6837</v>
      </c>
      <c r="L166" s="2">
        <v>0.77100000000000002</v>
      </c>
      <c r="M166" s="2">
        <f>81654/100000</f>
        <v>0.81654000000000004</v>
      </c>
      <c r="N166" s="2">
        <v>0.82929589999999997</v>
      </c>
      <c r="O166" s="3" t="s">
        <v>6838</v>
      </c>
      <c r="P166" s="7">
        <v>1.49</v>
      </c>
      <c r="Q166" s="2" t="s">
        <v>6839</v>
      </c>
      <c r="R166" s="2">
        <v>2.2799999999999999E-3</v>
      </c>
      <c r="S166" s="2">
        <f>313/100000</f>
        <v>3.13E-3</v>
      </c>
      <c r="T166" s="2">
        <v>3.808661E-2</v>
      </c>
    </row>
    <row r="167" spans="1:20">
      <c r="A167" s="3" t="s">
        <v>1501</v>
      </c>
      <c r="B167" s="1" t="s">
        <v>1491</v>
      </c>
      <c r="C167" s="3" t="s">
        <v>1492</v>
      </c>
      <c r="D167" s="3" t="s">
        <v>1502</v>
      </c>
      <c r="E167" s="3" t="s">
        <v>1503</v>
      </c>
      <c r="F167" s="3" t="s">
        <v>1495</v>
      </c>
      <c r="G167" s="3" t="s">
        <v>1496</v>
      </c>
      <c r="H167" s="11" t="s">
        <v>8139</v>
      </c>
      <c r="I167" s="3" t="s">
        <v>6840</v>
      </c>
      <c r="J167" s="7">
        <v>0.83</v>
      </c>
      <c r="K167" s="2" t="s">
        <v>6841</v>
      </c>
      <c r="L167" s="2">
        <v>0.26300000000000001</v>
      </c>
      <c r="M167" s="2">
        <f>26874/100000</f>
        <v>0.26873999999999998</v>
      </c>
      <c r="N167" s="2">
        <v>0.56620890000000001</v>
      </c>
      <c r="O167" s="3" t="s">
        <v>6842</v>
      </c>
      <c r="P167" s="7">
        <v>1.34</v>
      </c>
      <c r="Q167" s="2" t="s">
        <v>6843</v>
      </c>
      <c r="R167" s="2">
        <v>4.0300000000000002E-2</v>
      </c>
      <c r="S167" s="2">
        <f>4162/100000</f>
        <v>4.1619999999999997E-2</v>
      </c>
      <c r="T167" s="2">
        <v>0.21708939999999999</v>
      </c>
    </row>
    <row r="168" spans="1:20">
      <c r="A168" s="3" t="s">
        <v>1508</v>
      </c>
      <c r="B168" s="1" t="s">
        <v>1509</v>
      </c>
      <c r="C168" s="3" t="s">
        <v>1510</v>
      </c>
      <c r="D168" s="3" t="s">
        <v>1511</v>
      </c>
      <c r="E168" s="3" t="s">
        <v>1512</v>
      </c>
      <c r="F168" s="3" t="s">
        <v>1513</v>
      </c>
      <c r="G168" s="3" t="s">
        <v>1514</v>
      </c>
      <c r="H168" s="11" t="s">
        <v>8140</v>
      </c>
      <c r="I168" s="3" t="s">
        <v>6844</v>
      </c>
      <c r="J168" s="7">
        <v>0.93</v>
      </c>
      <c r="K168" s="2" t="s">
        <v>4698</v>
      </c>
      <c r="L168" s="2">
        <v>0.627</v>
      </c>
      <c r="M168" s="2">
        <f>67125/100000</f>
        <v>0.67125000000000001</v>
      </c>
      <c r="N168" s="2">
        <v>0.80511429999999995</v>
      </c>
      <c r="O168" s="3" t="s">
        <v>6845</v>
      </c>
      <c r="P168" s="7">
        <v>1.23</v>
      </c>
      <c r="Q168" s="2" t="s">
        <v>6846</v>
      </c>
      <c r="R168" s="2">
        <v>0.105</v>
      </c>
      <c r="S168" s="2">
        <f>10851/100000</f>
        <v>0.10851</v>
      </c>
      <c r="T168" s="2">
        <v>0.37067220000000001</v>
      </c>
    </row>
    <row r="169" spans="1:20">
      <c r="A169" s="3" t="s">
        <v>1518</v>
      </c>
      <c r="B169" s="1" t="s">
        <v>1509</v>
      </c>
      <c r="C169" s="3" t="s">
        <v>1510</v>
      </c>
      <c r="D169" s="3" t="s">
        <v>1519</v>
      </c>
      <c r="E169" s="3" t="s">
        <v>1520</v>
      </c>
      <c r="F169" s="3" t="s">
        <v>1521</v>
      </c>
      <c r="G169" s="3" t="s">
        <v>1522</v>
      </c>
      <c r="H169" s="11" t="s">
        <v>8078</v>
      </c>
      <c r="I169" s="3" t="s">
        <v>6847</v>
      </c>
      <c r="J169" s="7">
        <v>0.56000000000000005</v>
      </c>
      <c r="K169" s="2" t="s">
        <v>6848</v>
      </c>
      <c r="L169" s="2">
        <v>0.159</v>
      </c>
      <c r="M169" s="2">
        <f>20423/100000</f>
        <v>0.20422999999999999</v>
      </c>
      <c r="N169" s="2">
        <v>0.49180279999999998</v>
      </c>
      <c r="O169" s="3" t="s">
        <v>6849</v>
      </c>
      <c r="P169" s="7">
        <v>1.61</v>
      </c>
      <c r="Q169" s="2" t="s">
        <v>6850</v>
      </c>
      <c r="R169" s="2">
        <v>4.2999999999999997E-2</v>
      </c>
      <c r="S169" s="2">
        <f>5306/100000</f>
        <v>5.3060000000000003E-2</v>
      </c>
      <c r="T169" s="2">
        <v>0.25062570000000001</v>
      </c>
    </row>
    <row r="170" spans="1:20">
      <c r="A170" s="3" t="s">
        <v>1527</v>
      </c>
      <c r="B170" s="1" t="s">
        <v>1509</v>
      </c>
      <c r="C170" s="3" t="s">
        <v>1510</v>
      </c>
      <c r="D170" s="3" t="s">
        <v>1528</v>
      </c>
      <c r="E170" s="3" t="s">
        <v>1529</v>
      </c>
      <c r="F170" s="3" t="s">
        <v>1521</v>
      </c>
      <c r="G170" s="3" t="s">
        <v>1522</v>
      </c>
      <c r="H170" s="11" t="s">
        <v>8079</v>
      </c>
      <c r="I170" s="3" t="s">
        <v>6851</v>
      </c>
      <c r="J170" s="7">
        <v>1.07</v>
      </c>
      <c r="K170" s="2" t="s">
        <v>3355</v>
      </c>
      <c r="L170" s="2">
        <v>0.83799999999999997</v>
      </c>
      <c r="M170" s="2">
        <f>87378/100000</f>
        <v>0.87378</v>
      </c>
      <c r="N170" s="2">
        <v>0.82929589999999997</v>
      </c>
      <c r="O170" s="3" t="s">
        <v>6852</v>
      </c>
      <c r="P170" s="7">
        <v>1.26</v>
      </c>
      <c r="Q170" s="2" t="s">
        <v>6853</v>
      </c>
      <c r="R170" s="2">
        <v>0.38500000000000001</v>
      </c>
      <c r="S170" s="2">
        <f>46105/100000</f>
        <v>0.46105000000000002</v>
      </c>
      <c r="T170" s="2">
        <v>0.70495379999999996</v>
      </c>
    </row>
    <row r="171" spans="1:20">
      <c r="A171" s="3" t="s">
        <v>1534</v>
      </c>
      <c r="B171" s="1" t="s">
        <v>1509</v>
      </c>
      <c r="C171" s="3" t="s">
        <v>1510</v>
      </c>
      <c r="D171" s="3" t="s">
        <v>1535</v>
      </c>
      <c r="E171" s="3" t="s">
        <v>1536</v>
      </c>
      <c r="F171" s="3" t="s">
        <v>1521</v>
      </c>
      <c r="G171" s="3" t="s">
        <v>1522</v>
      </c>
      <c r="H171" s="11" t="s">
        <v>8079</v>
      </c>
      <c r="I171" s="3" t="s">
        <v>6854</v>
      </c>
      <c r="J171" s="7">
        <v>0.91</v>
      </c>
      <c r="K171" s="2" t="s">
        <v>6855</v>
      </c>
      <c r="L171" s="2">
        <v>0.76900000000000002</v>
      </c>
      <c r="M171" s="2">
        <f>88363/100000</f>
        <v>0.88363000000000003</v>
      </c>
      <c r="N171" s="2">
        <v>0.82929589999999997</v>
      </c>
      <c r="O171" s="3" t="s">
        <v>6856</v>
      </c>
      <c r="P171" s="7">
        <v>1.33</v>
      </c>
      <c r="Q171" s="2" t="s">
        <v>5208</v>
      </c>
      <c r="R171" s="2">
        <v>0.25600000000000001</v>
      </c>
      <c r="S171" s="2">
        <f>32014/100000</f>
        <v>0.32013999999999998</v>
      </c>
      <c r="T171" s="2">
        <v>0.60545320000000002</v>
      </c>
    </row>
    <row r="172" spans="1:20">
      <c r="A172" s="3" t="s">
        <v>1541</v>
      </c>
      <c r="B172" s="1" t="s">
        <v>1509</v>
      </c>
      <c r="C172" s="3" t="s">
        <v>1510</v>
      </c>
      <c r="D172" s="3" t="s">
        <v>1542</v>
      </c>
      <c r="E172" s="3" t="s">
        <v>1543</v>
      </c>
      <c r="F172" s="3" t="s">
        <v>1544</v>
      </c>
      <c r="G172" s="3" t="s">
        <v>1545</v>
      </c>
      <c r="H172" s="11" t="s">
        <v>8078</v>
      </c>
      <c r="I172" s="3" t="s">
        <v>6857</v>
      </c>
      <c r="J172" s="7">
        <v>0.4</v>
      </c>
      <c r="K172" s="2" t="s">
        <v>6858</v>
      </c>
      <c r="L172" s="2">
        <v>0.108</v>
      </c>
      <c r="M172" s="2">
        <f>12678/100000</f>
        <v>0.12678</v>
      </c>
      <c r="N172" s="2">
        <v>0.39428360000000001</v>
      </c>
      <c r="O172" s="3" t="s">
        <v>6859</v>
      </c>
      <c r="P172" s="7">
        <v>1.75</v>
      </c>
      <c r="Q172" s="2" t="s">
        <v>6860</v>
      </c>
      <c r="R172" s="2">
        <v>4.0800000000000003E-2</v>
      </c>
      <c r="S172" s="2">
        <f>5019/100000</f>
        <v>5.0189999999999999E-2</v>
      </c>
      <c r="T172" s="2">
        <v>0.2413642</v>
      </c>
    </row>
    <row r="173" spans="1:20">
      <c r="A173" s="3" t="s">
        <v>1550</v>
      </c>
      <c r="B173" s="1" t="s">
        <v>1509</v>
      </c>
      <c r="C173" s="3" t="s">
        <v>1510</v>
      </c>
      <c r="D173" s="3" t="s">
        <v>1551</v>
      </c>
      <c r="E173" s="3" t="s">
        <v>1552</v>
      </c>
      <c r="F173" s="3" t="s">
        <v>1544</v>
      </c>
      <c r="G173" s="3" t="s">
        <v>1545</v>
      </c>
      <c r="H173" s="11" t="s">
        <v>8079</v>
      </c>
      <c r="I173" s="3" t="s">
        <v>6861</v>
      </c>
      <c r="J173" s="7">
        <v>1.1599999999999999</v>
      </c>
      <c r="K173" s="2" t="s">
        <v>6862</v>
      </c>
      <c r="L173" s="2">
        <v>0.70199999999999996</v>
      </c>
      <c r="M173" s="2">
        <f>83427/100000</f>
        <v>0.83426999999999996</v>
      </c>
      <c r="N173" s="2">
        <v>0.82929589999999997</v>
      </c>
      <c r="O173" s="3" t="s">
        <v>6863</v>
      </c>
      <c r="P173" s="7">
        <v>1.06</v>
      </c>
      <c r="Q173" s="2" t="s">
        <v>6864</v>
      </c>
      <c r="R173" s="2">
        <v>0.88600000000000001</v>
      </c>
      <c r="S173" s="2">
        <f>100000/100000</f>
        <v>1</v>
      </c>
      <c r="T173" s="2">
        <v>0.82929589999999997</v>
      </c>
    </row>
    <row r="174" spans="1:20">
      <c r="A174" s="3" t="s">
        <v>1557</v>
      </c>
      <c r="B174" s="1" t="s">
        <v>1509</v>
      </c>
      <c r="C174" s="3" t="s">
        <v>1510</v>
      </c>
      <c r="D174" s="3" t="s">
        <v>1558</v>
      </c>
      <c r="E174" s="3" t="s">
        <v>1559</v>
      </c>
      <c r="F174" s="3" t="s">
        <v>1544</v>
      </c>
      <c r="G174" s="3" t="s">
        <v>1545</v>
      </c>
      <c r="H174" s="11" t="s">
        <v>8079</v>
      </c>
      <c r="I174" s="3" t="s">
        <v>6865</v>
      </c>
      <c r="J174" s="7">
        <v>1.0900000000000001</v>
      </c>
      <c r="K174" s="1" t="s">
        <v>6866</v>
      </c>
      <c r="L174" s="2">
        <v>0.80700000000000005</v>
      </c>
      <c r="M174" s="2">
        <f>85804/100000</f>
        <v>0.85804000000000002</v>
      </c>
      <c r="N174" s="2">
        <v>0.82929589999999997</v>
      </c>
      <c r="O174" s="3" t="s">
        <v>6867</v>
      </c>
      <c r="P174" s="7">
        <v>1.7</v>
      </c>
      <c r="Q174" s="1" t="s">
        <v>6868</v>
      </c>
      <c r="R174" s="2">
        <v>4.5499999999999999E-2</v>
      </c>
      <c r="S174" s="2">
        <f>5873/100000</f>
        <v>5.8729999999999997E-2</v>
      </c>
      <c r="T174" s="2">
        <v>0.26579049999999999</v>
      </c>
    </row>
    <row r="175" spans="1:20">
      <c r="A175" s="3" t="s">
        <v>1564</v>
      </c>
      <c r="B175" s="1" t="s">
        <v>1509</v>
      </c>
      <c r="C175" s="3" t="s">
        <v>1510</v>
      </c>
      <c r="D175" s="3" t="s">
        <v>1565</v>
      </c>
      <c r="E175" s="3" t="s">
        <v>1566</v>
      </c>
      <c r="F175" s="3" t="s">
        <v>1567</v>
      </c>
      <c r="G175" s="3" t="s">
        <v>1568</v>
      </c>
      <c r="H175" s="11" t="s">
        <v>8078</v>
      </c>
      <c r="I175" s="3" t="s">
        <v>6869</v>
      </c>
      <c r="J175" s="7">
        <v>1.31</v>
      </c>
      <c r="K175" s="1" t="s">
        <v>6870</v>
      </c>
      <c r="L175" s="2">
        <v>0.29099999999999998</v>
      </c>
      <c r="M175" s="2">
        <f>30701/100000</f>
        <v>0.30701000000000001</v>
      </c>
      <c r="N175" s="2">
        <v>0.59488490000000005</v>
      </c>
      <c r="O175" s="3" t="s">
        <v>6871</v>
      </c>
      <c r="P175" s="7">
        <v>1.1499999999999999</v>
      </c>
      <c r="Q175" s="1" t="s">
        <v>6872</v>
      </c>
      <c r="R175" s="2">
        <v>0.63200000000000001</v>
      </c>
      <c r="S175" s="2">
        <f>63606/100000</f>
        <v>0.63605999999999996</v>
      </c>
      <c r="T175" s="2">
        <v>0.79869500000000004</v>
      </c>
    </row>
    <row r="176" spans="1:20">
      <c r="A176" s="3" t="s">
        <v>1573</v>
      </c>
      <c r="B176" s="1" t="s">
        <v>1509</v>
      </c>
      <c r="C176" s="3" t="s">
        <v>1510</v>
      </c>
      <c r="D176" s="3" t="s">
        <v>1574</v>
      </c>
      <c r="E176" s="3" t="s">
        <v>1575</v>
      </c>
      <c r="F176" s="3" t="s">
        <v>1567</v>
      </c>
      <c r="G176" s="3" t="s">
        <v>1568</v>
      </c>
      <c r="H176" s="11" t="s">
        <v>8079</v>
      </c>
      <c r="I176" s="3" t="s">
        <v>6873</v>
      </c>
      <c r="J176" s="7">
        <v>1.53</v>
      </c>
      <c r="K176" s="1" t="s">
        <v>6874</v>
      </c>
      <c r="L176" s="2">
        <v>7.9100000000000004E-3</v>
      </c>
      <c r="M176" s="2">
        <f>960/100000</f>
        <v>9.5999999999999992E-3</v>
      </c>
      <c r="N176" s="2">
        <v>8.4701029999999997E-2</v>
      </c>
      <c r="O176" s="3" t="s">
        <v>6875</v>
      </c>
      <c r="P176" s="7">
        <v>1.18</v>
      </c>
      <c r="Q176" s="1" t="s">
        <v>6876</v>
      </c>
      <c r="R176" s="2">
        <v>0.34</v>
      </c>
      <c r="S176" s="2">
        <f>35096/100000</f>
        <v>0.35095999999999999</v>
      </c>
      <c r="T176" s="2">
        <v>0.62669850000000005</v>
      </c>
    </row>
    <row r="177" spans="1:20">
      <c r="A177" s="3" t="s">
        <v>1580</v>
      </c>
      <c r="B177" s="1" t="s">
        <v>1509</v>
      </c>
      <c r="C177" s="3" t="s">
        <v>1510</v>
      </c>
      <c r="D177" s="3" t="s">
        <v>1581</v>
      </c>
      <c r="E177" s="3" t="s">
        <v>1582</v>
      </c>
      <c r="F177" s="3" t="s">
        <v>1567</v>
      </c>
      <c r="G177" s="3" t="s">
        <v>1568</v>
      </c>
      <c r="H177" s="11" t="s">
        <v>8141</v>
      </c>
      <c r="I177" s="3" t="s">
        <v>6877</v>
      </c>
      <c r="J177" s="7">
        <v>1.22</v>
      </c>
      <c r="K177" s="1" t="s">
        <v>1960</v>
      </c>
      <c r="L177" s="2">
        <v>0.27600000000000002</v>
      </c>
      <c r="M177" s="2">
        <f>31348/100000</f>
        <v>0.31347999999999998</v>
      </c>
      <c r="N177" s="2">
        <v>0.59882820000000003</v>
      </c>
      <c r="O177" s="3" t="s">
        <v>6878</v>
      </c>
      <c r="P177" s="7">
        <v>1.44</v>
      </c>
      <c r="Q177" s="1" t="s">
        <v>6879</v>
      </c>
      <c r="R177" s="2">
        <v>3.6900000000000002E-2</v>
      </c>
      <c r="S177" s="2">
        <f>4152/100000</f>
        <v>4.1520000000000001E-2</v>
      </c>
      <c r="T177" s="2">
        <v>0.2170087</v>
      </c>
    </row>
    <row r="178" spans="1:20">
      <c r="A178" s="3" t="s">
        <v>1587</v>
      </c>
      <c r="B178" s="1" t="s">
        <v>1509</v>
      </c>
      <c r="C178" s="3" t="s">
        <v>1510</v>
      </c>
      <c r="D178" s="3" t="s">
        <v>1588</v>
      </c>
      <c r="E178" s="3" t="s">
        <v>1589</v>
      </c>
      <c r="F178" s="3" t="s">
        <v>1513</v>
      </c>
      <c r="G178" s="3" t="s">
        <v>1514</v>
      </c>
      <c r="H178" s="11" t="s">
        <v>8142</v>
      </c>
      <c r="I178" s="3" t="s">
        <v>6880</v>
      </c>
      <c r="J178" s="7">
        <v>1.05</v>
      </c>
      <c r="K178" s="1" t="s">
        <v>6881</v>
      </c>
      <c r="L178" s="2">
        <v>0.68100000000000005</v>
      </c>
      <c r="M178" s="2">
        <f>69704/100000</f>
        <v>0.69703999999999999</v>
      </c>
      <c r="N178" s="2">
        <v>0.81565520000000002</v>
      </c>
      <c r="O178" s="3" t="s">
        <v>6882</v>
      </c>
      <c r="P178" s="7">
        <v>1.77</v>
      </c>
      <c r="Q178" s="1" t="s">
        <v>6883</v>
      </c>
      <c r="R178" s="2">
        <v>2.77E-8</v>
      </c>
      <c r="S178" s="2" t="s">
        <v>500</v>
      </c>
      <c r="T178" s="2">
        <v>3.517123E-4</v>
      </c>
    </row>
    <row r="179" spans="1:20">
      <c r="A179" s="3" t="s">
        <v>1594</v>
      </c>
      <c r="B179" s="1" t="s">
        <v>1509</v>
      </c>
      <c r="C179" s="3" t="s">
        <v>1510</v>
      </c>
      <c r="D179" s="3" t="s">
        <v>1595</v>
      </c>
      <c r="E179" s="3" t="s">
        <v>1596</v>
      </c>
      <c r="F179" s="3" t="s">
        <v>1597</v>
      </c>
      <c r="G179" s="3" t="s">
        <v>1598</v>
      </c>
      <c r="H179" s="11" t="s">
        <v>8080</v>
      </c>
      <c r="I179" s="3" t="s">
        <v>6884</v>
      </c>
      <c r="J179" s="7">
        <v>1.1100000000000001</v>
      </c>
      <c r="K179" s="1" t="s">
        <v>6885</v>
      </c>
      <c r="L179" s="2">
        <v>0.48299999999999998</v>
      </c>
      <c r="M179" s="2">
        <f>49806/100000</f>
        <v>0.49806</v>
      </c>
      <c r="N179" s="2">
        <v>0.73504449999999999</v>
      </c>
      <c r="O179" s="3" t="s">
        <v>6886</v>
      </c>
      <c r="P179" s="7">
        <v>1.26</v>
      </c>
      <c r="Q179" s="1" t="s">
        <v>6887</v>
      </c>
      <c r="R179" s="2">
        <v>8.7800000000000003E-2</v>
      </c>
      <c r="S179" s="2">
        <f>9944/100000</f>
        <v>9.9440000000000001E-2</v>
      </c>
      <c r="T179" s="2">
        <v>0.3565972</v>
      </c>
    </row>
    <row r="180" spans="1:20">
      <c r="A180" s="3" t="s">
        <v>1603</v>
      </c>
      <c r="B180" s="1" t="s">
        <v>1509</v>
      </c>
      <c r="C180" s="3" t="s">
        <v>1510</v>
      </c>
      <c r="D180" s="3" t="s">
        <v>1604</v>
      </c>
      <c r="E180" s="3" t="s">
        <v>1605</v>
      </c>
      <c r="F180" s="3" t="s">
        <v>1606</v>
      </c>
      <c r="G180" s="3" t="s">
        <v>1607</v>
      </c>
      <c r="H180" s="11" t="s">
        <v>8078</v>
      </c>
      <c r="I180" s="3" t="s">
        <v>6888</v>
      </c>
      <c r="J180" s="7">
        <v>1.31</v>
      </c>
      <c r="K180" s="1" t="s">
        <v>6889</v>
      </c>
      <c r="L180" s="2">
        <v>0.42899999999999999</v>
      </c>
      <c r="M180" s="2">
        <f>43366/100000</f>
        <v>0.43365999999999999</v>
      </c>
      <c r="N180" s="2">
        <v>0.68614220000000004</v>
      </c>
      <c r="O180" s="3" t="s">
        <v>6890</v>
      </c>
      <c r="P180" s="7">
        <v>1.47</v>
      </c>
      <c r="Q180" s="1" t="s">
        <v>6891</v>
      </c>
      <c r="R180" s="2">
        <v>0.216</v>
      </c>
      <c r="S180" s="2">
        <f>26312/100000</f>
        <v>0.26312000000000002</v>
      </c>
      <c r="T180" s="2">
        <v>0.56459239999999999</v>
      </c>
    </row>
    <row r="181" spans="1:20">
      <c r="A181" s="3" t="s">
        <v>1612</v>
      </c>
      <c r="B181" s="1" t="s">
        <v>1509</v>
      </c>
      <c r="C181" s="3" t="s">
        <v>1510</v>
      </c>
      <c r="D181" s="3" t="s">
        <v>1613</v>
      </c>
      <c r="E181" s="3" t="s">
        <v>1614</v>
      </c>
      <c r="F181" s="3" t="s">
        <v>1606</v>
      </c>
      <c r="G181" s="3" t="s">
        <v>1607</v>
      </c>
      <c r="H181" s="11" t="s">
        <v>8079</v>
      </c>
      <c r="I181" s="3" t="s">
        <v>6892</v>
      </c>
      <c r="J181" s="7">
        <v>0.65</v>
      </c>
      <c r="K181" s="1" t="s">
        <v>6893</v>
      </c>
      <c r="L181" s="2">
        <v>0.45600000000000002</v>
      </c>
      <c r="M181" s="2">
        <f>49926/100000</f>
        <v>0.49925999999999998</v>
      </c>
      <c r="N181" s="2">
        <v>0.73504449999999999</v>
      </c>
      <c r="O181" s="3" t="s">
        <v>6894</v>
      </c>
      <c r="P181" s="7">
        <v>0.63</v>
      </c>
      <c r="Q181" s="1" t="s">
        <v>6895</v>
      </c>
      <c r="R181" s="2">
        <v>0.41899999999999998</v>
      </c>
      <c r="S181" s="2">
        <f>49588/100000</f>
        <v>0.49587999999999999</v>
      </c>
      <c r="T181" s="2">
        <v>0.73484130000000003</v>
      </c>
    </row>
    <row r="182" spans="1:20">
      <c r="A182" s="3" t="s">
        <v>1619</v>
      </c>
      <c r="B182" s="1" t="s">
        <v>1509</v>
      </c>
      <c r="C182" s="3" t="s">
        <v>1510</v>
      </c>
      <c r="D182" s="3" t="s">
        <v>1620</v>
      </c>
      <c r="E182" s="3" t="s">
        <v>1621</v>
      </c>
      <c r="F182" s="3" t="s">
        <v>1606</v>
      </c>
      <c r="G182" s="3" t="s">
        <v>1607</v>
      </c>
      <c r="H182" s="11" t="s">
        <v>8078</v>
      </c>
      <c r="I182" s="3" t="s">
        <v>6896</v>
      </c>
      <c r="J182" s="7">
        <v>1.66</v>
      </c>
      <c r="K182" s="1" t="s">
        <v>6897</v>
      </c>
      <c r="L182" s="2">
        <v>0.13900000000000001</v>
      </c>
      <c r="M182" s="2">
        <f>18742/100000</f>
        <v>0.18742</v>
      </c>
      <c r="N182" s="2">
        <v>0.4748986</v>
      </c>
      <c r="O182" s="3" t="s">
        <v>6898</v>
      </c>
      <c r="P182" s="7">
        <v>0.73</v>
      </c>
      <c r="Q182" s="1" t="s">
        <v>6899</v>
      </c>
      <c r="R182" s="2">
        <v>0.53500000000000003</v>
      </c>
      <c r="S182" s="2">
        <f>66648/100000</f>
        <v>0.66647999999999996</v>
      </c>
      <c r="T182" s="2">
        <v>0.80511429999999995</v>
      </c>
    </row>
    <row r="183" spans="1:20">
      <c r="A183" s="3" t="s">
        <v>1626</v>
      </c>
      <c r="B183" s="1" t="s">
        <v>1509</v>
      </c>
      <c r="C183" s="3" t="s">
        <v>1510</v>
      </c>
      <c r="D183" s="3" t="s">
        <v>1627</v>
      </c>
      <c r="E183" s="3" t="s">
        <v>1628</v>
      </c>
      <c r="F183" s="3" t="s">
        <v>1629</v>
      </c>
      <c r="G183" s="3" t="s">
        <v>1630</v>
      </c>
      <c r="H183" s="11" t="s">
        <v>8078</v>
      </c>
      <c r="I183" s="3" t="s">
        <v>6900</v>
      </c>
      <c r="J183" s="7">
        <v>0.99</v>
      </c>
      <c r="K183" s="1" t="s">
        <v>6901</v>
      </c>
      <c r="L183" s="2">
        <v>0.97399999999999998</v>
      </c>
      <c r="M183" s="2">
        <f>100000/100000</f>
        <v>1</v>
      </c>
      <c r="N183" s="2">
        <v>0.82929589999999997</v>
      </c>
      <c r="O183" s="3" t="s">
        <v>6902</v>
      </c>
      <c r="P183" s="7">
        <v>3.02</v>
      </c>
      <c r="Q183" s="1" t="s">
        <v>6903</v>
      </c>
      <c r="R183" s="2">
        <v>7.5999999999999999E-12</v>
      </c>
      <c r="S183" s="2" t="s">
        <v>500</v>
      </c>
      <c r="T183" s="2">
        <v>3.517123E-4</v>
      </c>
    </row>
    <row r="184" spans="1:20">
      <c r="A184" s="3" t="s">
        <v>1635</v>
      </c>
      <c r="B184" s="1" t="s">
        <v>1509</v>
      </c>
      <c r="C184" s="3" t="s">
        <v>1510</v>
      </c>
      <c r="D184" s="3" t="s">
        <v>1636</v>
      </c>
      <c r="E184" s="3" t="s">
        <v>1637</v>
      </c>
      <c r="F184" s="3" t="s">
        <v>1629</v>
      </c>
      <c r="G184" s="3" t="s">
        <v>1630</v>
      </c>
      <c r="H184" s="11" t="s">
        <v>8079</v>
      </c>
      <c r="I184" s="3" t="s">
        <v>6904</v>
      </c>
      <c r="J184" s="7">
        <v>1.17</v>
      </c>
      <c r="K184" s="1" t="s">
        <v>6905</v>
      </c>
      <c r="L184" s="2">
        <v>0.39800000000000002</v>
      </c>
      <c r="M184" s="2">
        <f>42989/100000</f>
        <v>0.42988999999999999</v>
      </c>
      <c r="N184" s="2">
        <v>0.68403040000000004</v>
      </c>
      <c r="O184" s="3" t="s">
        <v>6906</v>
      </c>
      <c r="P184" s="7">
        <v>1.2</v>
      </c>
      <c r="Q184" s="1" t="s">
        <v>1877</v>
      </c>
      <c r="R184" s="2">
        <v>0.33600000000000002</v>
      </c>
      <c r="S184" s="2">
        <f>35754/100000</f>
        <v>0.35754000000000002</v>
      </c>
      <c r="T184" s="2">
        <v>0.63654089999999997</v>
      </c>
    </row>
    <row r="185" spans="1:20">
      <c r="A185" s="3" t="s">
        <v>1642</v>
      </c>
      <c r="B185" s="1" t="s">
        <v>1509</v>
      </c>
      <c r="C185" s="3" t="s">
        <v>1510</v>
      </c>
      <c r="D185" s="3" t="s">
        <v>1643</v>
      </c>
      <c r="E185" s="3" t="s">
        <v>1644</v>
      </c>
      <c r="F185" s="3" t="s">
        <v>1629</v>
      </c>
      <c r="G185" s="3" t="s">
        <v>1630</v>
      </c>
      <c r="H185" s="11" t="s">
        <v>8141</v>
      </c>
      <c r="I185" s="3" t="s">
        <v>6907</v>
      </c>
      <c r="J185" s="7">
        <v>1.05</v>
      </c>
      <c r="K185" s="1" t="s">
        <v>6908</v>
      </c>
      <c r="L185" s="2">
        <v>0.77900000000000003</v>
      </c>
      <c r="M185" s="2">
        <f>85047/100000</f>
        <v>0.85046999999999995</v>
      </c>
      <c r="N185" s="2">
        <v>0.82929589999999997</v>
      </c>
      <c r="O185" s="3" t="s">
        <v>6909</v>
      </c>
      <c r="P185" s="7">
        <v>1.59</v>
      </c>
      <c r="Q185" s="1" t="s">
        <v>6910</v>
      </c>
      <c r="R185" s="2">
        <v>2.0999999999999999E-3</v>
      </c>
      <c r="S185" s="2">
        <f>280/100000</f>
        <v>2.8E-3</v>
      </c>
      <c r="T185" s="2">
        <v>3.4562500000000003E-2</v>
      </c>
    </row>
    <row r="186" spans="1:20">
      <c r="A186" s="3" t="s">
        <v>1649</v>
      </c>
      <c r="B186" s="1" t="s">
        <v>1650</v>
      </c>
      <c r="C186" s="3" t="s">
        <v>1651</v>
      </c>
      <c r="D186" s="3" t="s">
        <v>1652</v>
      </c>
      <c r="E186" s="3" t="s">
        <v>1653</v>
      </c>
      <c r="F186" s="3" t="s">
        <v>1654</v>
      </c>
      <c r="G186" s="3" t="s">
        <v>1655</v>
      </c>
      <c r="H186" s="11" t="s">
        <v>8143</v>
      </c>
      <c r="I186" s="3" t="s">
        <v>6911</v>
      </c>
      <c r="J186" s="7">
        <v>1.33</v>
      </c>
      <c r="K186" s="1" t="s">
        <v>6912</v>
      </c>
      <c r="L186" s="2">
        <v>0.42499999999999999</v>
      </c>
      <c r="M186" s="2">
        <f>53545/100000</f>
        <v>0.53544999999999998</v>
      </c>
      <c r="N186" s="2">
        <v>0.74478149999999999</v>
      </c>
      <c r="O186" s="3" t="s">
        <v>6913</v>
      </c>
      <c r="P186" s="7">
        <v>0.85</v>
      </c>
      <c r="Q186" s="1" t="s">
        <v>6914</v>
      </c>
      <c r="R186" s="2">
        <v>0.71599999999999997</v>
      </c>
      <c r="S186" s="2">
        <f>83562/100000</f>
        <v>0.83562000000000003</v>
      </c>
      <c r="T186" s="2">
        <v>0.82929589999999997</v>
      </c>
    </row>
    <row r="187" spans="1:20">
      <c r="A187" s="3" t="s">
        <v>1660</v>
      </c>
      <c r="B187" s="1" t="s">
        <v>1661</v>
      </c>
      <c r="C187" s="3" t="s">
        <v>1662</v>
      </c>
      <c r="D187" s="3" t="s">
        <v>1663</v>
      </c>
      <c r="E187" s="3" t="s">
        <v>1664</v>
      </c>
      <c r="F187" s="3" t="s">
        <v>1665</v>
      </c>
      <c r="G187" s="3" t="s">
        <v>1666</v>
      </c>
      <c r="H187" s="11" t="s">
        <v>8144</v>
      </c>
      <c r="I187" s="3" t="s">
        <v>6915</v>
      </c>
      <c r="J187" s="7">
        <v>0.76</v>
      </c>
      <c r="K187" s="1" t="s">
        <v>6916</v>
      </c>
      <c r="L187" s="2">
        <v>0.47099999999999997</v>
      </c>
      <c r="M187" s="2">
        <f>51147/100000</f>
        <v>0.51146999999999998</v>
      </c>
      <c r="N187" s="2">
        <v>0.74123870000000003</v>
      </c>
      <c r="O187" s="3" t="s">
        <v>6917</v>
      </c>
      <c r="P187" s="7">
        <v>1.0900000000000001</v>
      </c>
      <c r="Q187" s="1" t="s">
        <v>6918</v>
      </c>
      <c r="R187" s="2">
        <v>0.79400000000000004</v>
      </c>
      <c r="S187" s="2">
        <f>86703/100000</f>
        <v>0.86702999999999997</v>
      </c>
      <c r="T187" s="2">
        <v>0.82929589999999997</v>
      </c>
    </row>
    <row r="188" spans="1:20">
      <c r="A188" s="3" t="s">
        <v>1671</v>
      </c>
      <c r="B188" s="1" t="s">
        <v>1661</v>
      </c>
      <c r="C188" s="3" t="s">
        <v>1662</v>
      </c>
      <c r="D188" s="3" t="s">
        <v>1672</v>
      </c>
      <c r="E188" s="3" t="s">
        <v>1673</v>
      </c>
      <c r="F188" s="3" t="s">
        <v>1665</v>
      </c>
      <c r="G188" s="3" t="s">
        <v>1666</v>
      </c>
      <c r="H188" s="11" t="s">
        <v>8144</v>
      </c>
      <c r="I188" s="3" t="s">
        <v>6919</v>
      </c>
      <c r="J188" s="7">
        <v>0.72</v>
      </c>
      <c r="K188" s="1" t="s">
        <v>6920</v>
      </c>
      <c r="L188" s="2">
        <v>0.435</v>
      </c>
      <c r="M188" s="2">
        <f>48336/100000</f>
        <v>0.48336000000000001</v>
      </c>
      <c r="N188" s="2">
        <v>0.73033130000000002</v>
      </c>
      <c r="O188" s="3" t="s">
        <v>6921</v>
      </c>
      <c r="P188" s="7">
        <v>1.38</v>
      </c>
      <c r="Q188" s="1" t="s">
        <v>6922</v>
      </c>
      <c r="R188" s="2">
        <v>0.25700000000000001</v>
      </c>
      <c r="S188" s="2">
        <f>31709/100000</f>
        <v>0.31708999999999998</v>
      </c>
      <c r="T188" s="2">
        <v>0.6024408</v>
      </c>
    </row>
    <row r="189" spans="1:20">
      <c r="A189" s="3" t="s">
        <v>1678</v>
      </c>
      <c r="B189" s="1" t="s">
        <v>1661</v>
      </c>
      <c r="C189" s="3" t="s">
        <v>1662</v>
      </c>
      <c r="D189" s="3" t="s">
        <v>1679</v>
      </c>
      <c r="E189" s="3" t="s">
        <v>1680</v>
      </c>
      <c r="F189" s="3" t="s">
        <v>1681</v>
      </c>
      <c r="G189" s="3" t="s">
        <v>1682</v>
      </c>
      <c r="H189" s="11" t="s">
        <v>8144</v>
      </c>
      <c r="I189" s="3" t="s">
        <v>6923</v>
      </c>
      <c r="J189" s="7">
        <v>1.32</v>
      </c>
      <c r="K189" s="1" t="s">
        <v>6924</v>
      </c>
      <c r="L189" s="2">
        <v>0.32800000000000001</v>
      </c>
      <c r="M189" s="2">
        <f>32981/100000</f>
        <v>0.32980999999999999</v>
      </c>
      <c r="N189" s="2">
        <v>0.61526179999999997</v>
      </c>
      <c r="O189" s="3" t="s">
        <v>6919</v>
      </c>
      <c r="P189" s="7">
        <v>0.72</v>
      </c>
      <c r="Q189" s="1" t="s">
        <v>6920</v>
      </c>
      <c r="R189" s="2">
        <v>0.435</v>
      </c>
      <c r="S189" s="2">
        <f>48564/100000</f>
        <v>0.48564000000000002</v>
      </c>
      <c r="T189" s="2">
        <v>0.73078460000000001</v>
      </c>
    </row>
    <row r="190" spans="1:20">
      <c r="A190" s="3" t="s">
        <v>1687</v>
      </c>
      <c r="B190" s="1" t="s">
        <v>1661</v>
      </c>
      <c r="C190" s="3" t="s">
        <v>1662</v>
      </c>
      <c r="D190" s="3" t="s">
        <v>1688</v>
      </c>
      <c r="E190" s="3" t="s">
        <v>1689</v>
      </c>
      <c r="F190" s="3" t="s">
        <v>1681</v>
      </c>
      <c r="G190" s="3" t="s">
        <v>1682</v>
      </c>
      <c r="H190" s="11" t="s">
        <v>8144</v>
      </c>
      <c r="I190" s="3" t="s">
        <v>6925</v>
      </c>
      <c r="J190" s="7">
        <v>1.23</v>
      </c>
      <c r="K190" s="1" t="s">
        <v>6926</v>
      </c>
      <c r="L190" s="2">
        <v>0.68300000000000005</v>
      </c>
      <c r="M190" s="2">
        <f>77437/100000</f>
        <v>0.77437</v>
      </c>
      <c r="N190" s="2">
        <v>0.82929589999999997</v>
      </c>
      <c r="O190" s="3" t="s">
        <v>6927</v>
      </c>
      <c r="P190" s="7">
        <v>0.79</v>
      </c>
      <c r="Q190" s="1" t="s">
        <v>6928</v>
      </c>
      <c r="R190" s="2">
        <v>0.68400000000000005</v>
      </c>
      <c r="S190" s="2">
        <f>79937/100000</f>
        <v>0.79937000000000002</v>
      </c>
      <c r="T190" s="2">
        <v>0.82929589999999997</v>
      </c>
    </row>
    <row r="191" spans="1:20">
      <c r="A191" s="3" t="s">
        <v>1694</v>
      </c>
      <c r="B191" s="1" t="s">
        <v>1695</v>
      </c>
      <c r="C191" s="3" t="s">
        <v>1696</v>
      </c>
      <c r="D191" s="3" t="s">
        <v>1697</v>
      </c>
      <c r="E191" s="3" t="s">
        <v>1698</v>
      </c>
      <c r="F191" s="3" t="s">
        <v>1699</v>
      </c>
      <c r="G191" s="3" t="s">
        <v>1700</v>
      </c>
      <c r="H191" s="12" t="s">
        <v>8145</v>
      </c>
      <c r="I191" s="3" t="s">
        <v>6929</v>
      </c>
      <c r="J191" s="7">
        <v>1.21</v>
      </c>
      <c r="K191" s="1" t="s">
        <v>6930</v>
      </c>
      <c r="L191" s="2">
        <v>0.20100000000000001</v>
      </c>
      <c r="M191" s="2">
        <f>22207/100000</f>
        <v>0.22206999999999999</v>
      </c>
      <c r="N191" s="2">
        <v>0.51629080000000005</v>
      </c>
      <c r="O191" s="3" t="s">
        <v>6931</v>
      </c>
      <c r="P191" s="7">
        <v>1.1299999999999999</v>
      </c>
      <c r="Q191" s="1" t="s">
        <v>6932</v>
      </c>
      <c r="R191" s="2">
        <v>0.45100000000000001</v>
      </c>
      <c r="S191" s="2">
        <f>48545/100000</f>
        <v>0.48544999999999999</v>
      </c>
      <c r="T191" s="2">
        <v>0.73078460000000001</v>
      </c>
    </row>
    <row r="192" spans="1:20">
      <c r="A192" s="3" t="s">
        <v>1705</v>
      </c>
      <c r="B192" s="1" t="s">
        <v>1706</v>
      </c>
      <c r="C192" s="3" t="s">
        <v>1707</v>
      </c>
      <c r="D192" s="3" t="s">
        <v>1708</v>
      </c>
      <c r="E192" s="3" t="s">
        <v>1709</v>
      </c>
      <c r="F192" s="3" t="s">
        <v>1710</v>
      </c>
      <c r="G192" s="3" t="s">
        <v>1711</v>
      </c>
      <c r="H192" s="11" t="s">
        <v>8072</v>
      </c>
      <c r="I192" s="3" t="s">
        <v>6933</v>
      </c>
      <c r="J192" s="7">
        <v>1.04</v>
      </c>
      <c r="K192" s="1" t="s">
        <v>6934</v>
      </c>
      <c r="L192" s="2">
        <v>0.89500000000000002</v>
      </c>
      <c r="M192" s="2">
        <f>100000/100000</f>
        <v>1</v>
      </c>
      <c r="N192" s="2">
        <v>0.82929589999999997</v>
      </c>
      <c r="O192" s="3" t="s">
        <v>6935</v>
      </c>
      <c r="P192" s="7">
        <v>0.73</v>
      </c>
      <c r="Q192" s="1" t="s">
        <v>6936</v>
      </c>
      <c r="R192" s="2">
        <v>0.49</v>
      </c>
      <c r="S192" s="2">
        <f>56248/100000</f>
        <v>0.56247999999999998</v>
      </c>
      <c r="T192" s="2">
        <v>0.76054100000000002</v>
      </c>
    </row>
    <row r="193" spans="1:20">
      <c r="A193" s="3" t="s">
        <v>1716</v>
      </c>
      <c r="B193" s="1" t="s">
        <v>1717</v>
      </c>
      <c r="C193" s="3" t="s">
        <v>1718</v>
      </c>
      <c r="D193" s="3" t="s">
        <v>1719</v>
      </c>
      <c r="E193" s="3" t="s">
        <v>1720</v>
      </c>
      <c r="F193" s="3" t="s">
        <v>1721</v>
      </c>
      <c r="G193" s="3" t="s">
        <v>1722</v>
      </c>
      <c r="H193" s="11" t="s">
        <v>8146</v>
      </c>
      <c r="I193" s="3" t="s">
        <v>6937</v>
      </c>
      <c r="J193" s="7">
        <v>1.65</v>
      </c>
      <c r="K193" s="1" t="s">
        <v>6938</v>
      </c>
      <c r="L193" s="2">
        <v>0.27400000000000002</v>
      </c>
      <c r="M193" s="2">
        <f>37875/100000</f>
        <v>0.37874999999999998</v>
      </c>
      <c r="N193" s="2">
        <v>0.65084330000000001</v>
      </c>
      <c r="O193" s="3" t="s">
        <v>6939</v>
      </c>
      <c r="P193" s="7">
        <v>0.56000000000000005</v>
      </c>
      <c r="Q193" s="1" t="s">
        <v>5911</v>
      </c>
      <c r="R193" s="2">
        <v>0.32200000000000001</v>
      </c>
      <c r="S193" s="2">
        <f>38145/100000</f>
        <v>0.38145000000000001</v>
      </c>
      <c r="T193" s="2">
        <v>0.65084330000000001</v>
      </c>
    </row>
    <row r="194" spans="1:20">
      <c r="A194" s="3" t="s">
        <v>1727</v>
      </c>
      <c r="B194" s="1" t="s">
        <v>1728</v>
      </c>
      <c r="C194" s="3" t="s">
        <v>1729</v>
      </c>
      <c r="D194" s="3" t="s">
        <v>1730</v>
      </c>
      <c r="E194" s="3" t="s">
        <v>1731</v>
      </c>
      <c r="F194" s="3" t="s">
        <v>1732</v>
      </c>
      <c r="G194" s="3" t="s">
        <v>1733</v>
      </c>
      <c r="H194" s="11" t="s">
        <v>8147</v>
      </c>
      <c r="I194" s="3" t="s">
        <v>6940</v>
      </c>
      <c r="J194" s="7">
        <v>1.79</v>
      </c>
      <c r="K194" s="1" t="s">
        <v>6941</v>
      </c>
      <c r="L194" s="2">
        <v>5.8900000000000001E-2</v>
      </c>
      <c r="M194" s="2">
        <f>6583/100000</f>
        <v>6.583E-2</v>
      </c>
      <c r="N194" s="2">
        <v>0.28537420000000002</v>
      </c>
      <c r="O194" s="3" t="s">
        <v>6942</v>
      </c>
      <c r="P194" s="7">
        <v>1.35</v>
      </c>
      <c r="Q194" s="1" t="s">
        <v>6943</v>
      </c>
      <c r="R194" s="2">
        <v>0.316</v>
      </c>
      <c r="S194" s="2">
        <f>39525/100000</f>
        <v>0.39524999999999999</v>
      </c>
      <c r="T194" s="2">
        <v>0.65983250000000004</v>
      </c>
    </row>
    <row r="195" spans="1:20">
      <c r="A195" s="3" t="s">
        <v>1738</v>
      </c>
      <c r="B195" s="1" t="s">
        <v>1728</v>
      </c>
      <c r="C195" s="3" t="s">
        <v>1729</v>
      </c>
      <c r="D195" s="3" t="s">
        <v>1739</v>
      </c>
      <c r="E195" s="3" t="s">
        <v>1740</v>
      </c>
      <c r="F195" s="3" t="s">
        <v>1741</v>
      </c>
      <c r="G195" s="3" t="s">
        <v>1742</v>
      </c>
      <c r="H195" s="11" t="s">
        <v>8147</v>
      </c>
      <c r="I195" s="3" t="s">
        <v>6944</v>
      </c>
      <c r="J195" s="7">
        <v>1.0900000000000001</v>
      </c>
      <c r="K195" s="1" t="s">
        <v>6945</v>
      </c>
      <c r="L195" s="2">
        <v>0.84599999999999997</v>
      </c>
      <c r="M195" s="2">
        <f>100000/100000</f>
        <v>1</v>
      </c>
      <c r="N195" s="2">
        <v>0.82929589999999997</v>
      </c>
      <c r="O195" s="3" t="s">
        <v>6946</v>
      </c>
      <c r="P195" s="7">
        <v>1.18</v>
      </c>
      <c r="Q195" s="1" t="s">
        <v>6947</v>
      </c>
      <c r="R195" s="2">
        <v>0.63600000000000001</v>
      </c>
      <c r="S195" s="2">
        <f>70866/100000</f>
        <v>0.70865999999999996</v>
      </c>
      <c r="T195" s="2">
        <v>0.82137769999999999</v>
      </c>
    </row>
    <row r="196" spans="1:20">
      <c r="A196" s="3" t="s">
        <v>1747</v>
      </c>
      <c r="B196" s="1" t="s">
        <v>1748</v>
      </c>
      <c r="C196" s="3" t="s">
        <v>1749</v>
      </c>
      <c r="D196" s="3" t="s">
        <v>1750</v>
      </c>
      <c r="E196" s="3" t="s">
        <v>1751</v>
      </c>
      <c r="F196" s="3" t="s">
        <v>1752</v>
      </c>
      <c r="G196" s="3" t="s">
        <v>1753</v>
      </c>
      <c r="H196" s="11" t="s">
        <v>8148</v>
      </c>
      <c r="I196" s="3" t="s">
        <v>6948</v>
      </c>
      <c r="J196" s="7">
        <v>0.87</v>
      </c>
      <c r="K196" s="1" t="s">
        <v>6949</v>
      </c>
      <c r="L196" s="2">
        <v>0.70299999999999996</v>
      </c>
      <c r="M196" s="2">
        <f>74158/100000</f>
        <v>0.74158000000000002</v>
      </c>
      <c r="N196" s="2">
        <v>0.82222050000000002</v>
      </c>
      <c r="O196" s="3" t="s">
        <v>6950</v>
      </c>
      <c r="P196" s="7">
        <v>0.5</v>
      </c>
      <c r="Q196" s="1" t="s">
        <v>6951</v>
      </c>
      <c r="R196" s="2">
        <v>0.22900000000000001</v>
      </c>
      <c r="S196" s="2">
        <f>29184/100000</f>
        <v>0.29183999999999999</v>
      </c>
      <c r="T196" s="2">
        <v>0.57823020000000003</v>
      </c>
    </row>
    <row r="197" spans="1:20">
      <c r="A197" s="3" t="s">
        <v>1758</v>
      </c>
      <c r="B197" s="1" t="s">
        <v>1748</v>
      </c>
      <c r="C197" s="3" t="s">
        <v>1749</v>
      </c>
      <c r="D197" s="3" t="s">
        <v>1759</v>
      </c>
      <c r="E197" s="3" t="s">
        <v>1760</v>
      </c>
      <c r="F197" s="3" t="s">
        <v>1750</v>
      </c>
      <c r="G197" s="3" t="s">
        <v>1751</v>
      </c>
      <c r="H197" s="11" t="s">
        <v>8081</v>
      </c>
      <c r="I197" s="3" t="s">
        <v>6952</v>
      </c>
      <c r="J197" s="7">
        <v>0.93</v>
      </c>
      <c r="K197" s="1" t="s">
        <v>6401</v>
      </c>
      <c r="L197" s="2">
        <v>0.85799999999999998</v>
      </c>
      <c r="M197" s="2">
        <f>100000/100000</f>
        <v>1</v>
      </c>
      <c r="N197" s="2">
        <v>0.82929589999999997</v>
      </c>
      <c r="O197" s="3" t="s">
        <v>6953</v>
      </c>
      <c r="P197" s="7">
        <v>2.02</v>
      </c>
      <c r="Q197" s="1" t="s">
        <v>6954</v>
      </c>
      <c r="R197" s="2">
        <v>1.06E-2</v>
      </c>
      <c r="S197" s="2">
        <f>1509/100000</f>
        <v>1.5089999999999999E-2</v>
      </c>
      <c r="T197" s="2">
        <v>0.1143636</v>
      </c>
    </row>
    <row r="198" spans="1:20">
      <c r="A198" s="3" t="s">
        <v>1765</v>
      </c>
      <c r="B198" s="1" t="s">
        <v>1748</v>
      </c>
      <c r="C198" s="3" t="s">
        <v>1749</v>
      </c>
      <c r="D198" s="3" t="s">
        <v>1766</v>
      </c>
      <c r="E198" s="3" t="s">
        <v>1767</v>
      </c>
      <c r="F198" s="3" t="s">
        <v>1750</v>
      </c>
      <c r="G198" s="3" t="s">
        <v>1751</v>
      </c>
      <c r="H198" s="11" t="s">
        <v>8081</v>
      </c>
      <c r="I198" s="3" t="s">
        <v>6955</v>
      </c>
      <c r="J198" s="7">
        <v>1.59</v>
      </c>
      <c r="K198" s="1" t="s">
        <v>6956</v>
      </c>
      <c r="L198" s="2">
        <v>9.4399999999999998E-2</v>
      </c>
      <c r="M198" s="2">
        <f>12114/100000</f>
        <v>0.12114</v>
      </c>
      <c r="N198" s="2">
        <v>0.38544349999999999</v>
      </c>
      <c r="O198" s="3" t="s">
        <v>6957</v>
      </c>
      <c r="P198" s="7">
        <v>1.89</v>
      </c>
      <c r="Q198" s="1" t="s">
        <v>6958</v>
      </c>
      <c r="R198" s="2">
        <v>1.7000000000000001E-2</v>
      </c>
      <c r="S198" s="2">
        <f>2078/100000</f>
        <v>2.078E-2</v>
      </c>
      <c r="T198" s="2">
        <v>0.14165520000000001</v>
      </c>
    </row>
    <row r="199" spans="1:20">
      <c r="A199" s="3" t="s">
        <v>1771</v>
      </c>
      <c r="B199" s="1" t="s">
        <v>1772</v>
      </c>
      <c r="C199" s="3" t="s">
        <v>1773</v>
      </c>
      <c r="D199" s="3" t="s">
        <v>1774</v>
      </c>
      <c r="E199" s="3" t="s">
        <v>1775</v>
      </c>
      <c r="F199" s="3" t="s">
        <v>1776</v>
      </c>
      <c r="G199" s="3" t="s">
        <v>1777</v>
      </c>
      <c r="H199" s="11" t="s">
        <v>8149</v>
      </c>
      <c r="I199" s="3" t="s">
        <v>6959</v>
      </c>
      <c r="J199" s="7">
        <v>1.76</v>
      </c>
      <c r="K199" s="1" t="s">
        <v>6960</v>
      </c>
      <c r="L199" s="2">
        <v>2.0000000000000001E-9</v>
      </c>
      <c r="M199" s="2" t="s">
        <v>500</v>
      </c>
      <c r="N199" s="2">
        <v>3.517123E-4</v>
      </c>
      <c r="O199" s="3" t="s">
        <v>6961</v>
      </c>
      <c r="P199" s="7">
        <v>1.74</v>
      </c>
      <c r="Q199" s="1" t="s">
        <v>6962</v>
      </c>
      <c r="R199" s="2">
        <v>2.16E-5</v>
      </c>
      <c r="S199" s="2">
        <f>6/100000</f>
        <v>6.0000000000000002E-5</v>
      </c>
      <c r="T199" s="2">
        <v>1.6564520000000001E-3</v>
      </c>
    </row>
    <row r="200" spans="1:20">
      <c r="A200" s="3" t="s">
        <v>1782</v>
      </c>
      <c r="B200" s="1" t="s">
        <v>1772</v>
      </c>
      <c r="C200" s="3" t="s">
        <v>1773</v>
      </c>
      <c r="D200" s="3" t="s">
        <v>1783</v>
      </c>
      <c r="E200" s="3" t="s">
        <v>1784</v>
      </c>
      <c r="F200" s="3" t="s">
        <v>1776</v>
      </c>
      <c r="G200" s="3" t="s">
        <v>1777</v>
      </c>
      <c r="H200" s="11" t="s">
        <v>8149</v>
      </c>
      <c r="I200" s="3" t="s">
        <v>6963</v>
      </c>
      <c r="J200" s="7">
        <v>1.92</v>
      </c>
      <c r="K200" s="1" t="s">
        <v>6964</v>
      </c>
      <c r="L200" s="2">
        <v>2.08E-13</v>
      </c>
      <c r="M200" s="2" t="s">
        <v>500</v>
      </c>
      <c r="N200" s="2">
        <v>3.517123E-4</v>
      </c>
      <c r="O200" s="3" t="s">
        <v>6965</v>
      </c>
      <c r="P200" s="7">
        <v>2.12</v>
      </c>
      <c r="Q200" s="1" t="s">
        <v>6966</v>
      </c>
      <c r="R200" s="2">
        <v>8.2600000000000004E-11</v>
      </c>
      <c r="S200" s="2" t="s">
        <v>500</v>
      </c>
      <c r="T200" s="2">
        <v>3.517123E-4</v>
      </c>
    </row>
    <row r="201" spans="1:20">
      <c r="A201" s="3" t="s">
        <v>1789</v>
      </c>
      <c r="B201" s="1" t="s">
        <v>1772</v>
      </c>
      <c r="C201" s="3" t="s">
        <v>1773</v>
      </c>
      <c r="D201" s="3" t="s">
        <v>1776</v>
      </c>
      <c r="E201" s="3" t="s">
        <v>1777</v>
      </c>
      <c r="F201" s="3" t="s">
        <v>1790</v>
      </c>
      <c r="G201" s="3" t="s">
        <v>1791</v>
      </c>
      <c r="H201" s="12" t="s">
        <v>8150</v>
      </c>
      <c r="I201" s="3" t="s">
        <v>6967</v>
      </c>
      <c r="J201" s="7">
        <v>2.0499999999999998</v>
      </c>
      <c r="K201" s="1" t="s">
        <v>6968</v>
      </c>
      <c r="L201" s="2">
        <v>2.7599999999999998E-6</v>
      </c>
      <c r="M201" s="2">
        <f>3/100000</f>
        <v>3.0000000000000001E-5</v>
      </c>
      <c r="N201" s="2">
        <v>9.1696430000000003E-4</v>
      </c>
      <c r="O201" s="3" t="s">
        <v>6969</v>
      </c>
      <c r="P201" s="7">
        <v>1.73</v>
      </c>
      <c r="Q201" s="1" t="s">
        <v>6970</v>
      </c>
      <c r="R201" s="2">
        <v>1.36E-4</v>
      </c>
      <c r="S201" s="2">
        <f>39/100000</f>
        <v>3.8999999999999999E-4</v>
      </c>
      <c r="T201" s="2">
        <v>8.2754130000000006E-3</v>
      </c>
    </row>
    <row r="202" spans="1:20">
      <c r="A202" s="3" t="s">
        <v>1796</v>
      </c>
      <c r="B202" s="1" t="s">
        <v>1797</v>
      </c>
      <c r="C202" s="3" t="s">
        <v>1798</v>
      </c>
      <c r="D202" s="3" t="s">
        <v>1799</v>
      </c>
      <c r="E202" s="3" t="s">
        <v>1800</v>
      </c>
      <c r="F202" s="3" t="s">
        <v>1801</v>
      </c>
      <c r="G202" s="3" t="s">
        <v>1802</v>
      </c>
      <c r="H202" s="11" t="s">
        <v>8151</v>
      </c>
      <c r="I202" s="3" t="s">
        <v>6971</v>
      </c>
      <c r="J202" s="7">
        <v>1.8</v>
      </c>
      <c r="K202" s="1" t="s">
        <v>6972</v>
      </c>
      <c r="L202" s="2">
        <v>1.2800000000000001E-3</v>
      </c>
      <c r="M202" s="2">
        <f>232/100000</f>
        <v>2.32E-3</v>
      </c>
      <c r="N202" s="2">
        <v>2.9634830000000001E-2</v>
      </c>
      <c r="O202" s="3" t="s">
        <v>6973</v>
      </c>
      <c r="P202" s="7">
        <v>0.74</v>
      </c>
      <c r="Q202" s="1" t="s">
        <v>846</v>
      </c>
      <c r="R202" s="2">
        <v>0.436</v>
      </c>
      <c r="S202" s="2">
        <f>50506/100000</f>
        <v>0.50505999999999995</v>
      </c>
      <c r="T202" s="2">
        <v>0.73837560000000002</v>
      </c>
    </row>
    <row r="203" spans="1:20">
      <c r="A203" s="3" t="s">
        <v>1807</v>
      </c>
      <c r="B203" s="1" t="s">
        <v>1797</v>
      </c>
      <c r="C203" s="3" t="s">
        <v>1798</v>
      </c>
      <c r="D203" s="3" t="s">
        <v>1808</v>
      </c>
      <c r="E203" s="3" t="s">
        <v>1809</v>
      </c>
      <c r="F203" s="3" t="s">
        <v>1801</v>
      </c>
      <c r="G203" s="3" t="s">
        <v>1802</v>
      </c>
      <c r="H203" s="11" t="s">
        <v>8082</v>
      </c>
      <c r="I203" s="3" t="s">
        <v>6974</v>
      </c>
      <c r="J203" s="7">
        <v>0.5</v>
      </c>
      <c r="K203" s="1" t="s">
        <v>5331</v>
      </c>
      <c r="L203" s="2">
        <v>0.48399999999999999</v>
      </c>
      <c r="M203" s="2">
        <f>72358/100000</f>
        <v>0.72358</v>
      </c>
      <c r="N203" s="2">
        <v>0.82137769999999999</v>
      </c>
      <c r="O203" s="3" t="s">
        <v>6975</v>
      </c>
      <c r="P203" s="7">
        <v>1.1299999999999999</v>
      </c>
      <c r="Q203" s="1" t="s">
        <v>6976</v>
      </c>
      <c r="R203" s="2">
        <v>0.86899999999999999</v>
      </c>
      <c r="S203" s="2">
        <f>100000/100000</f>
        <v>1</v>
      </c>
      <c r="T203" s="2">
        <v>0.82929589999999997</v>
      </c>
    </row>
    <row r="204" spans="1:20">
      <c r="A204" s="3" t="s">
        <v>1814</v>
      </c>
      <c r="B204" s="1" t="s">
        <v>1797</v>
      </c>
      <c r="C204" s="3" t="s">
        <v>1798</v>
      </c>
      <c r="D204" s="3" t="s">
        <v>1815</v>
      </c>
      <c r="E204" s="3" t="s">
        <v>1816</v>
      </c>
      <c r="F204" s="3" t="s">
        <v>1801</v>
      </c>
      <c r="G204" s="3" t="s">
        <v>1802</v>
      </c>
      <c r="H204" s="11" t="s">
        <v>8152</v>
      </c>
      <c r="I204" s="3" t="s">
        <v>6977</v>
      </c>
      <c r="J204" s="7">
        <v>1.22</v>
      </c>
      <c r="K204" s="1" t="s">
        <v>6978</v>
      </c>
      <c r="L204" s="2">
        <v>8.9399999999999993E-2</v>
      </c>
      <c r="M204" s="2">
        <f>10049/100000</f>
        <v>0.10049</v>
      </c>
      <c r="N204" s="2">
        <v>0.3565972</v>
      </c>
      <c r="O204" s="3" t="s">
        <v>6979</v>
      </c>
      <c r="P204" s="7">
        <v>0.45</v>
      </c>
      <c r="Q204" s="1" t="s">
        <v>6980</v>
      </c>
      <c r="R204" s="2">
        <v>2.1499999999999998E-2</v>
      </c>
      <c r="S204" s="2">
        <f>2459/100000</f>
        <v>2.4590000000000001E-2</v>
      </c>
      <c r="T204" s="2">
        <v>0.15750749999999999</v>
      </c>
    </row>
    <row r="205" spans="1:20">
      <c r="A205" s="3" t="s">
        <v>1821</v>
      </c>
      <c r="B205" s="1" t="s">
        <v>1797</v>
      </c>
      <c r="C205" s="3" t="s">
        <v>1798</v>
      </c>
      <c r="D205" s="3" t="s">
        <v>1822</v>
      </c>
      <c r="E205" s="3" t="s">
        <v>1823</v>
      </c>
      <c r="F205" s="3" t="s">
        <v>1801</v>
      </c>
      <c r="G205" s="3" t="s">
        <v>1802</v>
      </c>
      <c r="H205" s="12" t="s">
        <v>8082</v>
      </c>
      <c r="I205" s="3" t="s">
        <v>6981</v>
      </c>
      <c r="J205" s="7">
        <v>1.28</v>
      </c>
      <c r="K205" s="1" t="s">
        <v>6982</v>
      </c>
      <c r="L205" s="2">
        <v>7.4099999999999999E-2</v>
      </c>
      <c r="M205" s="2">
        <f>7532/100000</f>
        <v>7.5319999999999998E-2</v>
      </c>
      <c r="N205" s="2">
        <v>0.30687740000000002</v>
      </c>
      <c r="O205" s="3" t="s">
        <v>6983</v>
      </c>
      <c r="P205" s="7">
        <v>1.53</v>
      </c>
      <c r="Q205" s="1" t="s">
        <v>6984</v>
      </c>
      <c r="R205" s="2">
        <v>0.02</v>
      </c>
      <c r="S205" s="2">
        <f>2079/100000</f>
        <v>2.0789999999999999E-2</v>
      </c>
      <c r="T205" s="2">
        <v>0.14165520000000001</v>
      </c>
    </row>
    <row r="206" spans="1:20">
      <c r="A206" s="3" t="s">
        <v>1828</v>
      </c>
      <c r="B206" s="1" t="s">
        <v>1797</v>
      </c>
      <c r="C206" s="3" t="s">
        <v>1798</v>
      </c>
      <c r="D206" s="3" t="s">
        <v>1829</v>
      </c>
      <c r="E206" s="3" t="s">
        <v>1830</v>
      </c>
      <c r="F206" s="3" t="s">
        <v>1831</v>
      </c>
      <c r="G206" s="3" t="s">
        <v>1832</v>
      </c>
      <c r="H206" s="11" t="s">
        <v>8151</v>
      </c>
      <c r="I206" s="3" t="s">
        <v>6985</v>
      </c>
      <c r="J206" s="7">
        <v>1.57</v>
      </c>
      <c r="K206" s="1" t="s">
        <v>6986</v>
      </c>
      <c r="L206" s="2">
        <v>5.5300000000000004E-7</v>
      </c>
      <c r="M206" s="2" t="s">
        <v>500</v>
      </c>
      <c r="N206" s="2">
        <v>3.517123E-4</v>
      </c>
      <c r="O206" s="3" t="s">
        <v>6987</v>
      </c>
      <c r="P206" s="7">
        <v>1.1599999999999999</v>
      </c>
      <c r="Q206" s="1" t="s">
        <v>6988</v>
      </c>
      <c r="R206" s="2">
        <v>0.23599999999999999</v>
      </c>
      <c r="S206" s="2">
        <f>23735/100000</f>
        <v>0.23735000000000001</v>
      </c>
      <c r="T206" s="2">
        <v>0.53743620000000003</v>
      </c>
    </row>
    <row r="207" spans="1:20">
      <c r="A207" s="3" t="s">
        <v>1837</v>
      </c>
      <c r="B207" s="1" t="s">
        <v>1797</v>
      </c>
      <c r="C207" s="3" t="s">
        <v>1798</v>
      </c>
      <c r="D207" s="3" t="s">
        <v>1838</v>
      </c>
      <c r="E207" s="3" t="s">
        <v>1839</v>
      </c>
      <c r="F207" s="3" t="s">
        <v>1831</v>
      </c>
      <c r="G207" s="3" t="s">
        <v>1832</v>
      </c>
      <c r="H207" s="11" t="s">
        <v>8153</v>
      </c>
      <c r="I207" s="3" t="s">
        <v>6989</v>
      </c>
      <c r="J207" s="7">
        <v>1.96</v>
      </c>
      <c r="K207" s="1" t="s">
        <v>6990</v>
      </c>
      <c r="L207" s="2">
        <v>1.6000000000000001E-8</v>
      </c>
      <c r="M207" s="2" t="s">
        <v>500</v>
      </c>
      <c r="N207" s="2">
        <v>3.517123E-4</v>
      </c>
      <c r="O207" s="3" t="s">
        <v>6991</v>
      </c>
      <c r="P207" s="7">
        <v>1.53</v>
      </c>
      <c r="Q207" s="1" t="s">
        <v>6992</v>
      </c>
      <c r="R207" s="2">
        <v>4.5599999999999998E-3</v>
      </c>
      <c r="S207" s="2">
        <f>601/100000</f>
        <v>6.0099999999999997E-3</v>
      </c>
      <c r="T207" s="2">
        <v>6.0276070000000001E-2</v>
      </c>
    </row>
    <row r="208" spans="1:20">
      <c r="A208" s="3" t="s">
        <v>1844</v>
      </c>
      <c r="B208" s="1" t="s">
        <v>1797</v>
      </c>
      <c r="C208" s="3" t="s">
        <v>1798</v>
      </c>
      <c r="D208" s="3" t="s">
        <v>1845</v>
      </c>
      <c r="E208" s="3" t="s">
        <v>1846</v>
      </c>
      <c r="F208" s="3" t="s">
        <v>1831</v>
      </c>
      <c r="G208" s="3" t="s">
        <v>1832</v>
      </c>
      <c r="H208" s="11" t="s">
        <v>8152</v>
      </c>
      <c r="I208" s="3" t="s">
        <v>6993</v>
      </c>
      <c r="J208" s="7">
        <v>1.41</v>
      </c>
      <c r="K208" s="1" t="s">
        <v>6994</v>
      </c>
      <c r="L208" s="2">
        <v>1.4100000000000001E-5</v>
      </c>
      <c r="M208" s="2">
        <f>1/100000</f>
        <v>1.0000000000000001E-5</v>
      </c>
      <c r="N208" s="2">
        <v>3.517123E-4</v>
      </c>
      <c r="O208" s="3" t="s">
        <v>6995</v>
      </c>
      <c r="P208" s="7">
        <v>1.1100000000000001</v>
      </c>
      <c r="Q208" s="1" t="s">
        <v>6996</v>
      </c>
      <c r="R208" s="2">
        <v>0.35299999999999998</v>
      </c>
      <c r="S208" s="2">
        <f>36599/100000</f>
        <v>0.36598999999999998</v>
      </c>
      <c r="T208" s="2">
        <v>0.64231249999999995</v>
      </c>
    </row>
    <row r="209" spans="1:20">
      <c r="A209" s="3" t="s">
        <v>1851</v>
      </c>
      <c r="B209" s="1" t="s">
        <v>1797</v>
      </c>
      <c r="C209" s="3" t="s">
        <v>1798</v>
      </c>
      <c r="D209" s="3" t="s">
        <v>1852</v>
      </c>
      <c r="E209" s="3" t="s">
        <v>1853</v>
      </c>
      <c r="F209" s="3" t="s">
        <v>1831</v>
      </c>
      <c r="G209" s="3" t="s">
        <v>1832</v>
      </c>
      <c r="H209" s="12" t="s">
        <v>8082</v>
      </c>
      <c r="I209" s="3" t="s">
        <v>6997</v>
      </c>
      <c r="J209" s="7">
        <v>1.25</v>
      </c>
      <c r="K209" s="1" t="s">
        <v>6998</v>
      </c>
      <c r="L209" s="2">
        <v>1.3100000000000001E-2</v>
      </c>
      <c r="M209" s="2">
        <f>1463/100000</f>
        <v>1.4630000000000001E-2</v>
      </c>
      <c r="N209" s="2">
        <v>0.1112329</v>
      </c>
      <c r="O209" s="3" t="s">
        <v>6999</v>
      </c>
      <c r="P209" s="7">
        <v>1.39</v>
      </c>
      <c r="Q209" s="1" t="s">
        <v>7000</v>
      </c>
      <c r="R209" s="2">
        <v>1.0399999999999999E-3</v>
      </c>
      <c r="S209" s="2">
        <f>144/100000</f>
        <v>1.4400000000000001E-3</v>
      </c>
      <c r="T209" s="2">
        <v>2.1543389999999999E-2</v>
      </c>
    </row>
    <row r="210" spans="1:20">
      <c r="A210" s="3" t="s">
        <v>1858</v>
      </c>
      <c r="B210" s="1" t="s">
        <v>1859</v>
      </c>
      <c r="C210" s="3" t="s">
        <v>1860</v>
      </c>
      <c r="D210" s="3" t="s">
        <v>1861</v>
      </c>
      <c r="E210" s="3" t="s">
        <v>1862</v>
      </c>
      <c r="F210" s="3" t="s">
        <v>1863</v>
      </c>
      <c r="G210" s="3" t="s">
        <v>1864</v>
      </c>
      <c r="H210" s="11" t="s">
        <v>8154</v>
      </c>
      <c r="I210" s="3" t="s">
        <v>7001</v>
      </c>
      <c r="J210" s="7">
        <v>1.02</v>
      </c>
      <c r="K210" s="1" t="s">
        <v>7002</v>
      </c>
      <c r="L210" s="2">
        <v>0.93300000000000005</v>
      </c>
      <c r="M210" s="2">
        <f>100000/100000</f>
        <v>1</v>
      </c>
      <c r="N210" s="2">
        <v>0.82929589999999997</v>
      </c>
      <c r="O210" s="3" t="s">
        <v>7003</v>
      </c>
      <c r="P210" s="7">
        <v>1.18</v>
      </c>
      <c r="Q210" s="1" t="s">
        <v>7004</v>
      </c>
      <c r="R210" s="2">
        <v>0.49099999999999999</v>
      </c>
      <c r="S210" s="2">
        <f>51075/100000</f>
        <v>0.51075000000000004</v>
      </c>
      <c r="T210" s="2">
        <v>0.74123870000000003</v>
      </c>
    </row>
    <row r="211" spans="1:20">
      <c r="A211" s="3" t="s">
        <v>1869</v>
      </c>
      <c r="B211" s="1" t="s">
        <v>1870</v>
      </c>
      <c r="C211" s="3" t="s">
        <v>1871</v>
      </c>
      <c r="D211" s="3" t="s">
        <v>1872</v>
      </c>
      <c r="E211" s="3" t="s">
        <v>1873</v>
      </c>
      <c r="F211" s="3" t="s">
        <v>1874</v>
      </c>
      <c r="G211" s="3" t="s">
        <v>1875</v>
      </c>
      <c r="H211" s="11" t="s">
        <v>8155</v>
      </c>
      <c r="I211" s="3" t="s">
        <v>7005</v>
      </c>
      <c r="J211" s="7">
        <v>0.86</v>
      </c>
      <c r="K211" s="1" t="s">
        <v>7006</v>
      </c>
      <c r="L211" s="2">
        <v>0.60199999999999998</v>
      </c>
      <c r="M211" s="2">
        <f>69224/100000</f>
        <v>0.69223999999999997</v>
      </c>
      <c r="N211" s="2">
        <v>0.81405680000000002</v>
      </c>
      <c r="O211" s="3" t="s">
        <v>7007</v>
      </c>
      <c r="P211" s="7">
        <v>1.2</v>
      </c>
      <c r="Q211" s="1" t="s">
        <v>7008</v>
      </c>
      <c r="R211" s="2">
        <v>0.40500000000000003</v>
      </c>
      <c r="S211" s="2">
        <f>47161/100000</f>
        <v>0.47160999999999997</v>
      </c>
      <c r="T211" s="2">
        <v>0.71920470000000003</v>
      </c>
    </row>
    <row r="212" spans="1:20">
      <c r="A212" s="3" t="s">
        <v>1880</v>
      </c>
      <c r="B212" s="1" t="s">
        <v>1870</v>
      </c>
      <c r="C212" s="3" t="s">
        <v>1871</v>
      </c>
      <c r="D212" s="3" t="s">
        <v>1881</v>
      </c>
      <c r="E212" s="3" t="s">
        <v>1882</v>
      </c>
      <c r="F212" s="3" t="s">
        <v>1883</v>
      </c>
      <c r="G212" s="3" t="s">
        <v>1884</v>
      </c>
      <c r="H212" s="11" t="s">
        <v>8155</v>
      </c>
      <c r="I212" s="3" t="s">
        <v>7009</v>
      </c>
      <c r="J212" s="7">
        <v>1.79</v>
      </c>
      <c r="K212" s="1" t="s">
        <v>7010</v>
      </c>
      <c r="L212" s="2">
        <v>1.43E-2</v>
      </c>
      <c r="M212" s="2">
        <f>1982/100000</f>
        <v>1.9820000000000001E-2</v>
      </c>
      <c r="N212" s="2">
        <v>0.13814270000000001</v>
      </c>
      <c r="O212" s="3" t="s">
        <v>7011</v>
      </c>
      <c r="P212" s="7">
        <v>0.88</v>
      </c>
      <c r="Q212" s="1" t="s">
        <v>7012</v>
      </c>
      <c r="R212" s="2">
        <v>0.64400000000000002</v>
      </c>
      <c r="S212" s="2">
        <f>71062/100000</f>
        <v>0.71062000000000003</v>
      </c>
      <c r="T212" s="2">
        <v>0.82137769999999999</v>
      </c>
    </row>
    <row r="213" spans="1:20">
      <c r="A213" s="3" t="s">
        <v>1889</v>
      </c>
      <c r="B213" s="1" t="s">
        <v>1870</v>
      </c>
      <c r="C213" s="3" t="s">
        <v>1871</v>
      </c>
      <c r="D213" s="3" t="s">
        <v>1890</v>
      </c>
      <c r="E213" s="3" t="s">
        <v>1891</v>
      </c>
      <c r="F213" s="3" t="s">
        <v>1892</v>
      </c>
      <c r="G213" s="3" t="s">
        <v>1893</v>
      </c>
      <c r="H213" s="11" t="s">
        <v>8155</v>
      </c>
      <c r="I213" s="3" t="s">
        <v>7013</v>
      </c>
      <c r="J213" s="7">
        <v>1.39</v>
      </c>
      <c r="K213" s="1" t="s">
        <v>7014</v>
      </c>
      <c r="L213" s="2">
        <v>3.15E-2</v>
      </c>
      <c r="M213" s="2">
        <f>3337/100000</f>
        <v>3.3369999999999997E-2</v>
      </c>
      <c r="N213" s="2">
        <v>0.1905656</v>
      </c>
      <c r="O213" s="3" t="s">
        <v>7015</v>
      </c>
      <c r="P213" s="7">
        <v>0.8</v>
      </c>
      <c r="Q213" s="1" t="s">
        <v>7016</v>
      </c>
      <c r="R213" s="2">
        <v>0.38600000000000001</v>
      </c>
      <c r="S213" s="2">
        <f>41897/100000</f>
        <v>0.41897000000000001</v>
      </c>
      <c r="T213" s="2">
        <v>0.67565790000000003</v>
      </c>
    </row>
    <row r="214" spans="1:20">
      <c r="A214" s="3" t="s">
        <v>1898</v>
      </c>
      <c r="B214" s="1" t="s">
        <v>1899</v>
      </c>
      <c r="C214" s="3" t="s">
        <v>1900</v>
      </c>
      <c r="D214" s="3" t="s">
        <v>1901</v>
      </c>
      <c r="E214" s="3" t="s">
        <v>1902</v>
      </c>
      <c r="F214" s="3" t="s">
        <v>1903</v>
      </c>
      <c r="G214" s="3" t="s">
        <v>1904</v>
      </c>
      <c r="H214" s="11" t="s">
        <v>8156</v>
      </c>
      <c r="I214" s="3" t="s">
        <v>7017</v>
      </c>
      <c r="J214" s="7">
        <v>1.28</v>
      </c>
      <c r="K214" s="1" t="s">
        <v>3362</v>
      </c>
      <c r="L214" s="2">
        <v>0.40300000000000002</v>
      </c>
      <c r="M214" s="2">
        <f>40023/100000</f>
        <v>0.40022999999999997</v>
      </c>
      <c r="N214" s="2">
        <v>0.66515539999999995</v>
      </c>
      <c r="O214" s="3" t="s">
        <v>7018</v>
      </c>
      <c r="P214" s="7">
        <v>1.28</v>
      </c>
      <c r="Q214" s="1" t="s">
        <v>7019</v>
      </c>
      <c r="R214" s="2">
        <v>0.36399999999999999</v>
      </c>
      <c r="S214" s="2">
        <f>43787/100000</f>
        <v>0.43786999999999998</v>
      </c>
      <c r="T214" s="2">
        <v>0.68822830000000002</v>
      </c>
    </row>
    <row r="215" spans="1:20">
      <c r="A215" s="3" t="s">
        <v>1909</v>
      </c>
      <c r="B215" s="1" t="s">
        <v>1899</v>
      </c>
      <c r="C215" s="3" t="s">
        <v>1900</v>
      </c>
      <c r="D215" s="3" t="s">
        <v>1910</v>
      </c>
      <c r="E215" s="3" t="s">
        <v>1911</v>
      </c>
      <c r="F215" s="3" t="s">
        <v>1903</v>
      </c>
      <c r="G215" s="3" t="s">
        <v>1904</v>
      </c>
      <c r="H215" s="11" t="s">
        <v>8157</v>
      </c>
      <c r="I215" s="3" t="s">
        <v>7020</v>
      </c>
      <c r="J215" s="7">
        <v>0.8</v>
      </c>
      <c r="K215" s="1" t="s">
        <v>5266</v>
      </c>
      <c r="L215" s="2">
        <v>0.48199999999999998</v>
      </c>
      <c r="M215" s="2">
        <f>56135/100000</f>
        <v>0.56135000000000002</v>
      </c>
      <c r="N215" s="2">
        <v>0.7600884</v>
      </c>
      <c r="O215" s="3" t="s">
        <v>7021</v>
      </c>
      <c r="P215" s="7">
        <v>0.88</v>
      </c>
      <c r="Q215" s="1" t="s">
        <v>6025</v>
      </c>
      <c r="R215" s="2">
        <v>0.73299999999999998</v>
      </c>
      <c r="S215" s="2">
        <f>86454/100000</f>
        <v>0.86453999999999998</v>
      </c>
      <c r="T215" s="2">
        <v>0.82929589999999997</v>
      </c>
    </row>
    <row r="216" spans="1:20">
      <c r="A216" s="3" t="s">
        <v>1916</v>
      </c>
      <c r="B216" s="1" t="s">
        <v>1899</v>
      </c>
      <c r="C216" s="3" t="s">
        <v>1900</v>
      </c>
      <c r="D216" s="3" t="s">
        <v>1917</v>
      </c>
      <c r="E216" s="3" t="s">
        <v>1918</v>
      </c>
      <c r="F216" s="3" t="s">
        <v>1903</v>
      </c>
      <c r="G216" s="3" t="s">
        <v>1904</v>
      </c>
      <c r="H216" s="11" t="s">
        <v>8156</v>
      </c>
      <c r="I216" s="3" t="s">
        <v>7022</v>
      </c>
      <c r="J216" s="7">
        <v>0.77</v>
      </c>
      <c r="K216" s="1" t="s">
        <v>7023</v>
      </c>
      <c r="L216" s="2">
        <v>0.41699999999999998</v>
      </c>
      <c r="M216" s="2">
        <f>47856/100000</f>
        <v>0.47855999999999999</v>
      </c>
      <c r="N216" s="2">
        <v>0.72771149999999996</v>
      </c>
      <c r="O216" s="3" t="s">
        <v>7024</v>
      </c>
      <c r="P216" s="7">
        <v>0.63</v>
      </c>
      <c r="Q216" s="1" t="s">
        <v>7025</v>
      </c>
      <c r="R216" s="2">
        <v>0.26700000000000002</v>
      </c>
      <c r="S216" s="2">
        <f>31549/100000</f>
        <v>0.31548999999999999</v>
      </c>
      <c r="T216" s="2">
        <v>0.6008637</v>
      </c>
    </row>
    <row r="217" spans="1:20">
      <c r="A217" s="3" t="s">
        <v>1923</v>
      </c>
      <c r="B217" s="1" t="s">
        <v>1924</v>
      </c>
      <c r="C217" s="3" t="s">
        <v>1925</v>
      </c>
      <c r="D217" s="3" t="s">
        <v>1926</v>
      </c>
      <c r="E217" s="3" t="s">
        <v>1927</v>
      </c>
      <c r="F217" s="3" t="s">
        <v>1928</v>
      </c>
      <c r="G217" s="3" t="s">
        <v>1929</v>
      </c>
      <c r="H217" s="11" t="s">
        <v>8083</v>
      </c>
      <c r="I217" s="3" t="s">
        <v>7026</v>
      </c>
      <c r="J217" s="7">
        <v>1.59</v>
      </c>
      <c r="K217" s="1" t="s">
        <v>7027</v>
      </c>
      <c r="L217" s="2">
        <v>9.8900000000000008E-4</v>
      </c>
      <c r="M217" s="2">
        <f>150/100000</f>
        <v>1.5E-3</v>
      </c>
      <c r="N217" s="2">
        <v>2.2007140000000001E-2</v>
      </c>
      <c r="O217" s="3" t="s">
        <v>7028</v>
      </c>
      <c r="P217" s="7">
        <v>0.87</v>
      </c>
      <c r="Q217" s="1" t="s">
        <v>7029</v>
      </c>
      <c r="R217" s="2">
        <v>0.498</v>
      </c>
      <c r="S217" s="2">
        <f>51292/100000</f>
        <v>0.51292000000000004</v>
      </c>
      <c r="T217" s="2">
        <v>0.74329999999999996</v>
      </c>
    </row>
    <row r="218" spans="1:20">
      <c r="A218" s="3" t="s">
        <v>1934</v>
      </c>
      <c r="B218" s="1" t="s">
        <v>1935</v>
      </c>
      <c r="C218" s="3" t="s">
        <v>1936</v>
      </c>
      <c r="D218" s="3" t="s">
        <v>1937</v>
      </c>
      <c r="E218" s="3" t="s">
        <v>1938</v>
      </c>
      <c r="F218" s="3" t="s">
        <v>1939</v>
      </c>
      <c r="G218" s="3" t="s">
        <v>1940</v>
      </c>
      <c r="H218" s="11" t="s">
        <v>8158</v>
      </c>
      <c r="I218" s="3" t="s">
        <v>7030</v>
      </c>
      <c r="J218" s="7">
        <v>0.89</v>
      </c>
      <c r="K218" s="1" t="s">
        <v>1609</v>
      </c>
      <c r="L218" s="2">
        <v>0.71099999999999997</v>
      </c>
      <c r="M218" s="2">
        <f>77081/100000</f>
        <v>0.77081</v>
      </c>
      <c r="N218" s="2">
        <v>0.82929589999999997</v>
      </c>
      <c r="O218" s="3" t="s">
        <v>7031</v>
      </c>
      <c r="P218" s="7">
        <v>1</v>
      </c>
      <c r="Q218" s="1" t="s">
        <v>6150</v>
      </c>
      <c r="R218" s="2">
        <v>0.997</v>
      </c>
      <c r="S218" s="2">
        <f>100000/100000</f>
        <v>1</v>
      </c>
      <c r="T218" s="2">
        <v>0.82929589999999997</v>
      </c>
    </row>
    <row r="219" spans="1:20">
      <c r="A219" s="3" t="s">
        <v>1945</v>
      </c>
      <c r="B219" s="1" t="s">
        <v>1935</v>
      </c>
      <c r="C219" s="3" t="s">
        <v>1936</v>
      </c>
      <c r="D219" s="3" t="s">
        <v>1946</v>
      </c>
      <c r="E219" s="3" t="s">
        <v>1947</v>
      </c>
      <c r="F219" s="3" t="s">
        <v>1939</v>
      </c>
      <c r="G219" s="3" t="s">
        <v>1940</v>
      </c>
      <c r="H219" s="11" t="s">
        <v>8158</v>
      </c>
      <c r="I219" s="3" t="s">
        <v>7032</v>
      </c>
      <c r="J219" s="7">
        <v>0.47</v>
      </c>
      <c r="K219" s="1" t="s">
        <v>1136</v>
      </c>
      <c r="L219" s="2">
        <v>0.192</v>
      </c>
      <c r="M219" s="2">
        <f>21874/100000</f>
        <v>0.21873999999999999</v>
      </c>
      <c r="N219" s="2">
        <v>0.51163099999999995</v>
      </c>
      <c r="O219" s="3" t="s">
        <v>7033</v>
      </c>
      <c r="P219" s="7">
        <v>1.27</v>
      </c>
      <c r="Q219" s="1" t="s">
        <v>7034</v>
      </c>
      <c r="R219" s="2">
        <v>0.51200000000000001</v>
      </c>
      <c r="S219" s="2">
        <f>53502/100000</f>
        <v>0.53502000000000005</v>
      </c>
      <c r="T219" s="2">
        <v>0.74478149999999999</v>
      </c>
    </row>
    <row r="220" spans="1:20">
      <c r="A220" s="3" t="s">
        <v>1952</v>
      </c>
      <c r="B220" s="1" t="s">
        <v>1953</v>
      </c>
      <c r="C220" s="3" t="s">
        <v>1954</v>
      </c>
      <c r="D220" s="3" t="s">
        <v>1955</v>
      </c>
      <c r="E220" s="3" t="s">
        <v>1956</v>
      </c>
      <c r="F220" s="3" t="s">
        <v>1957</v>
      </c>
      <c r="G220" s="3" t="s">
        <v>1958</v>
      </c>
      <c r="H220" s="11" t="s">
        <v>8159</v>
      </c>
      <c r="I220" s="3" t="s">
        <v>7035</v>
      </c>
      <c r="J220" s="7">
        <v>1.41</v>
      </c>
      <c r="K220" s="1" t="s">
        <v>7036</v>
      </c>
      <c r="L220" s="2">
        <v>0.13</v>
      </c>
      <c r="M220" s="2">
        <f>14532/100000</f>
        <v>0.14532</v>
      </c>
      <c r="N220" s="2">
        <v>0.41642899999999999</v>
      </c>
      <c r="O220" s="3" t="s">
        <v>7037</v>
      </c>
      <c r="P220" s="7">
        <v>0.69</v>
      </c>
      <c r="Q220" s="1" t="s">
        <v>7038</v>
      </c>
      <c r="R220" s="2">
        <v>0.26500000000000001</v>
      </c>
      <c r="S220" s="2">
        <f>31762/100000</f>
        <v>0.31762000000000001</v>
      </c>
      <c r="T220" s="2">
        <v>0.60300220000000004</v>
      </c>
    </row>
    <row r="221" spans="1:20">
      <c r="A221" s="3" t="s">
        <v>1963</v>
      </c>
      <c r="B221" s="1" t="s">
        <v>1964</v>
      </c>
      <c r="C221" s="3" t="s">
        <v>1965</v>
      </c>
      <c r="D221" s="3" t="s">
        <v>1966</v>
      </c>
      <c r="E221" s="3" t="s">
        <v>1967</v>
      </c>
      <c r="F221" s="3" t="s">
        <v>1968</v>
      </c>
      <c r="G221" s="3" t="s">
        <v>1969</v>
      </c>
      <c r="H221" s="11" t="s">
        <v>8160</v>
      </c>
      <c r="I221" s="3" t="s">
        <v>7039</v>
      </c>
      <c r="J221" s="7">
        <v>1.1200000000000001</v>
      </c>
      <c r="K221" s="1" t="s">
        <v>7040</v>
      </c>
      <c r="L221" s="2">
        <v>0.49099999999999999</v>
      </c>
      <c r="M221" s="2">
        <f>53454/100000</f>
        <v>0.53454000000000002</v>
      </c>
      <c r="N221" s="2">
        <v>0.74478149999999999</v>
      </c>
      <c r="O221" s="3" t="s">
        <v>7041</v>
      </c>
      <c r="P221" s="7">
        <v>0.89</v>
      </c>
      <c r="Q221" s="1" t="s">
        <v>7042</v>
      </c>
      <c r="R221" s="2">
        <v>0.54800000000000004</v>
      </c>
      <c r="S221" s="2">
        <f>59660/100000</f>
        <v>0.59660000000000002</v>
      </c>
      <c r="T221" s="2">
        <v>0.78084439999999999</v>
      </c>
    </row>
    <row r="222" spans="1:20">
      <c r="A222" s="3" t="s">
        <v>1974</v>
      </c>
      <c r="B222" s="1" t="s">
        <v>1964</v>
      </c>
      <c r="C222" s="3" t="s">
        <v>1965</v>
      </c>
      <c r="D222" s="3" t="s">
        <v>1975</v>
      </c>
      <c r="E222" s="3" t="s">
        <v>1976</v>
      </c>
      <c r="F222" s="3" t="s">
        <v>1977</v>
      </c>
      <c r="G222" s="3" t="s">
        <v>1978</v>
      </c>
      <c r="H222" s="11" t="s">
        <v>8160</v>
      </c>
      <c r="I222" s="3" t="s">
        <v>7043</v>
      </c>
      <c r="J222" s="7">
        <v>1.0900000000000001</v>
      </c>
      <c r="K222" s="1" t="s">
        <v>7044</v>
      </c>
      <c r="L222" s="2">
        <v>0.70599999999999996</v>
      </c>
      <c r="M222" s="2">
        <f>73145/100000</f>
        <v>0.73145000000000004</v>
      </c>
      <c r="N222" s="2">
        <v>0.82137769999999999</v>
      </c>
      <c r="O222" s="3" t="s">
        <v>7045</v>
      </c>
      <c r="P222" s="7">
        <v>1.03</v>
      </c>
      <c r="Q222" s="1" t="s">
        <v>7046</v>
      </c>
      <c r="R222" s="2">
        <v>0.92900000000000005</v>
      </c>
      <c r="S222" s="2">
        <f>100000/100000</f>
        <v>1</v>
      </c>
      <c r="T222" s="2">
        <v>0.82929589999999997</v>
      </c>
    </row>
    <row r="223" spans="1:20">
      <c r="A223" s="3" t="s">
        <v>1983</v>
      </c>
      <c r="B223" s="1" t="s">
        <v>1984</v>
      </c>
      <c r="C223" s="3" t="s">
        <v>1985</v>
      </c>
      <c r="D223" s="3" t="s">
        <v>1986</v>
      </c>
      <c r="E223" s="3" t="s">
        <v>1987</v>
      </c>
      <c r="F223" s="3" t="s">
        <v>1988</v>
      </c>
      <c r="G223" s="3" t="s">
        <v>1989</v>
      </c>
      <c r="H223" s="11" t="s">
        <v>8161</v>
      </c>
      <c r="I223" s="3" t="s">
        <v>7047</v>
      </c>
      <c r="J223" s="7">
        <v>1.1399999999999999</v>
      </c>
      <c r="K223" s="1" t="s">
        <v>7048</v>
      </c>
      <c r="L223" s="2">
        <v>0.34499999999999997</v>
      </c>
      <c r="M223" s="2">
        <f>37350/100000</f>
        <v>0.3735</v>
      </c>
      <c r="N223" s="2">
        <v>0.64881420000000001</v>
      </c>
      <c r="O223" s="3" t="s">
        <v>7049</v>
      </c>
      <c r="P223" s="7">
        <v>0.24</v>
      </c>
      <c r="Q223" s="1" t="s">
        <v>7050</v>
      </c>
      <c r="R223" s="2">
        <v>3.4900000000000001E-8</v>
      </c>
      <c r="S223" s="2" t="s">
        <v>500</v>
      </c>
      <c r="T223" s="2">
        <v>3.517123E-4</v>
      </c>
    </row>
    <row r="224" spans="1:20">
      <c r="A224" s="3" t="s">
        <v>1994</v>
      </c>
      <c r="B224" s="1" t="s">
        <v>1995</v>
      </c>
      <c r="C224" s="3" t="s">
        <v>1996</v>
      </c>
      <c r="D224" s="3" t="s">
        <v>1997</v>
      </c>
      <c r="E224" s="3" t="s">
        <v>1998</v>
      </c>
      <c r="F224" s="3" t="s">
        <v>1999</v>
      </c>
      <c r="G224" s="3" t="s">
        <v>2000</v>
      </c>
      <c r="H224" s="11" t="s">
        <v>8162</v>
      </c>
      <c r="I224" s="3" t="s">
        <v>7051</v>
      </c>
      <c r="J224" s="7">
        <v>0.88</v>
      </c>
      <c r="K224" s="1" t="s">
        <v>7052</v>
      </c>
      <c r="L224" s="2">
        <v>0.77800000000000002</v>
      </c>
      <c r="M224" s="2">
        <f>83851/100000</f>
        <v>0.83850999999999998</v>
      </c>
      <c r="N224" s="2">
        <v>0.82929589999999997</v>
      </c>
      <c r="O224" s="3" t="s">
        <v>7053</v>
      </c>
      <c r="P224" s="7">
        <v>0.18</v>
      </c>
      <c r="Q224" s="1" t="s">
        <v>7054</v>
      </c>
      <c r="R224" s="2">
        <v>5.5500000000000001E-2</v>
      </c>
      <c r="S224" s="2">
        <f>6892/100000</f>
        <v>6.8919999999999995E-2</v>
      </c>
      <c r="T224" s="2">
        <v>0.29477120000000001</v>
      </c>
    </row>
    <row r="225" spans="1:20">
      <c r="A225" s="3" t="s">
        <v>2005</v>
      </c>
      <c r="B225" s="1" t="s">
        <v>1995</v>
      </c>
      <c r="C225" s="3" t="s">
        <v>1996</v>
      </c>
      <c r="D225" s="3" t="s">
        <v>2006</v>
      </c>
      <c r="E225" s="3" t="s">
        <v>2007</v>
      </c>
      <c r="F225" s="3" t="s">
        <v>2008</v>
      </c>
      <c r="G225" s="3" t="s">
        <v>2009</v>
      </c>
      <c r="H225" s="11" t="s">
        <v>8162</v>
      </c>
      <c r="I225" s="3" t="s">
        <v>7055</v>
      </c>
      <c r="J225" s="7">
        <v>1.19</v>
      </c>
      <c r="K225" s="1" t="s">
        <v>7056</v>
      </c>
      <c r="L225" s="2">
        <v>0.20100000000000001</v>
      </c>
      <c r="M225" s="2">
        <f>22542/100000</f>
        <v>0.22542000000000001</v>
      </c>
      <c r="N225" s="2">
        <v>0.51997070000000001</v>
      </c>
      <c r="O225" s="3" t="s">
        <v>7057</v>
      </c>
      <c r="P225" s="7">
        <v>1.17</v>
      </c>
      <c r="Q225" s="1" t="s">
        <v>7058</v>
      </c>
      <c r="R225" s="2">
        <v>0.28999999999999998</v>
      </c>
      <c r="S225" s="2">
        <f>30927/100000</f>
        <v>0.30926999999999999</v>
      </c>
      <c r="T225" s="2">
        <v>0.59561370000000002</v>
      </c>
    </row>
    <row r="226" spans="1:20">
      <c r="A226" s="3" t="s">
        <v>2014</v>
      </c>
      <c r="B226" s="1" t="s">
        <v>2015</v>
      </c>
      <c r="C226" s="3" t="s">
        <v>2016</v>
      </c>
      <c r="D226" s="3" t="s">
        <v>2017</v>
      </c>
      <c r="E226" s="3" t="s">
        <v>2018</v>
      </c>
      <c r="F226" s="3" t="s">
        <v>2019</v>
      </c>
      <c r="G226" s="3" t="s">
        <v>2020</v>
      </c>
      <c r="H226" s="11" t="s">
        <v>8163</v>
      </c>
      <c r="I226" s="3" t="s">
        <v>7059</v>
      </c>
      <c r="J226" s="7">
        <v>1.1399999999999999</v>
      </c>
      <c r="K226" s="1" t="s">
        <v>4302</v>
      </c>
      <c r="L226" s="2">
        <v>0.32500000000000001</v>
      </c>
      <c r="M226" s="2">
        <f>33312/100000</f>
        <v>0.33312000000000003</v>
      </c>
      <c r="N226" s="2">
        <v>0.61526179999999997</v>
      </c>
      <c r="O226" s="3" t="s">
        <v>7060</v>
      </c>
      <c r="P226" s="7">
        <v>0.88</v>
      </c>
      <c r="Q226" s="1" t="s">
        <v>7061</v>
      </c>
      <c r="R226" s="2">
        <v>0.36</v>
      </c>
      <c r="S226" s="2">
        <f>37916/100000</f>
        <v>0.37916</v>
      </c>
      <c r="T226" s="2">
        <v>0.65084330000000001</v>
      </c>
    </row>
    <row r="227" spans="1:20">
      <c r="A227" s="3" t="s">
        <v>2025</v>
      </c>
      <c r="B227" s="1" t="s">
        <v>2026</v>
      </c>
      <c r="C227" s="3" t="s">
        <v>2027</v>
      </c>
      <c r="D227" s="3" t="s">
        <v>1986</v>
      </c>
      <c r="E227" s="3" t="s">
        <v>1987</v>
      </c>
      <c r="F227" s="3" t="s">
        <v>1988</v>
      </c>
      <c r="G227" s="3" t="s">
        <v>1989</v>
      </c>
      <c r="H227" s="11" t="s">
        <v>8161</v>
      </c>
      <c r="I227" s="3" t="s">
        <v>7047</v>
      </c>
      <c r="J227" s="7">
        <v>1.1399999999999999</v>
      </c>
      <c r="K227" s="1" t="s">
        <v>7048</v>
      </c>
      <c r="L227" s="2">
        <v>0.34499999999999997</v>
      </c>
      <c r="M227" s="2">
        <f>37350/100000</f>
        <v>0.3735</v>
      </c>
      <c r="N227" s="2">
        <v>0.64881420000000001</v>
      </c>
      <c r="O227" s="3" t="s">
        <v>7049</v>
      </c>
      <c r="P227" s="7">
        <v>0.24</v>
      </c>
      <c r="Q227" s="1" t="s">
        <v>7050</v>
      </c>
      <c r="R227" s="2">
        <v>3.4900000000000001E-8</v>
      </c>
      <c r="S227" s="2" t="s">
        <v>500</v>
      </c>
      <c r="T227" s="2">
        <v>3.517123E-4</v>
      </c>
    </row>
    <row r="228" spans="1:20">
      <c r="A228" s="3" t="s">
        <v>2028</v>
      </c>
      <c r="B228" s="1" t="s">
        <v>2029</v>
      </c>
      <c r="C228" s="3" t="s">
        <v>2030</v>
      </c>
      <c r="D228" s="3" t="s">
        <v>2031</v>
      </c>
      <c r="E228" s="3" t="s">
        <v>2032</v>
      </c>
      <c r="F228" s="3" t="s">
        <v>2033</v>
      </c>
      <c r="G228" s="3" t="s">
        <v>2034</v>
      </c>
      <c r="H228" s="11" t="s">
        <v>8164</v>
      </c>
      <c r="I228" s="3" t="s">
        <v>7062</v>
      </c>
      <c r="J228" s="7">
        <v>0.69</v>
      </c>
      <c r="K228" s="1" t="s">
        <v>7063</v>
      </c>
      <c r="L228" s="2">
        <v>0.223</v>
      </c>
      <c r="M228" s="2">
        <f>24349/100000</f>
        <v>0.24349000000000001</v>
      </c>
      <c r="N228" s="2">
        <v>0.54252389999999995</v>
      </c>
      <c r="O228" s="3" t="s">
        <v>7064</v>
      </c>
      <c r="P228" s="7">
        <v>1.1200000000000001</v>
      </c>
      <c r="Q228" s="1" t="s">
        <v>6514</v>
      </c>
      <c r="R228" s="2">
        <v>0.70499999999999996</v>
      </c>
      <c r="S228" s="2">
        <f>75308/100000</f>
        <v>0.75307999999999997</v>
      </c>
      <c r="T228" s="2">
        <v>0.82929589999999997</v>
      </c>
    </row>
    <row r="229" spans="1:20">
      <c r="A229" s="3" t="s">
        <v>2039</v>
      </c>
      <c r="B229" s="1" t="s">
        <v>2040</v>
      </c>
      <c r="C229" s="3" t="s">
        <v>2041</v>
      </c>
      <c r="D229" s="3" t="s">
        <v>2042</v>
      </c>
      <c r="E229" s="3" t="s">
        <v>2043</v>
      </c>
      <c r="F229" s="3" t="s">
        <v>2044</v>
      </c>
      <c r="G229" s="3" t="s">
        <v>2045</v>
      </c>
      <c r="H229" s="11" t="s">
        <v>8165</v>
      </c>
      <c r="I229" s="3" t="s">
        <v>7065</v>
      </c>
      <c r="J229" s="7">
        <v>1.01</v>
      </c>
      <c r="K229" s="1" t="s">
        <v>7066</v>
      </c>
      <c r="L229" s="2">
        <v>0.97599999999999998</v>
      </c>
      <c r="M229" s="2">
        <f>100000/100000</f>
        <v>1</v>
      </c>
      <c r="N229" s="2">
        <v>0.82929589999999997</v>
      </c>
      <c r="O229" s="3" t="s">
        <v>7067</v>
      </c>
      <c r="P229" s="7">
        <v>1.61</v>
      </c>
      <c r="Q229" s="1" t="s">
        <v>7068</v>
      </c>
      <c r="R229" s="2">
        <v>6.8099999999999996E-4</v>
      </c>
      <c r="S229" s="2">
        <f>92/100000</f>
        <v>9.2000000000000003E-4</v>
      </c>
      <c r="T229" s="2">
        <v>1.5540129999999999E-2</v>
      </c>
    </row>
    <row r="230" spans="1:20">
      <c r="A230" s="3" t="s">
        <v>2050</v>
      </c>
      <c r="B230" s="1" t="s">
        <v>2040</v>
      </c>
      <c r="C230" s="3" t="s">
        <v>2041</v>
      </c>
      <c r="D230" s="3" t="s">
        <v>2051</v>
      </c>
      <c r="E230" s="3" t="s">
        <v>2052</v>
      </c>
      <c r="F230" s="3" t="s">
        <v>2053</v>
      </c>
      <c r="G230" s="3" t="s">
        <v>2054</v>
      </c>
      <c r="H230" s="11" t="s">
        <v>8165</v>
      </c>
      <c r="I230" s="3" t="s">
        <v>7069</v>
      </c>
      <c r="J230" s="7">
        <v>0.83</v>
      </c>
      <c r="K230" s="1" t="s">
        <v>7070</v>
      </c>
      <c r="L230" s="2">
        <v>0.58199999999999996</v>
      </c>
      <c r="M230" s="2">
        <f>64576/100000</f>
        <v>0.64576</v>
      </c>
      <c r="N230" s="2">
        <v>0.79971309999999995</v>
      </c>
      <c r="O230" s="3" t="s">
        <v>7071</v>
      </c>
      <c r="P230" s="7">
        <v>1.43</v>
      </c>
      <c r="Q230" s="1" t="s">
        <v>7072</v>
      </c>
      <c r="R230" s="2">
        <v>0.13300000000000001</v>
      </c>
      <c r="S230" s="2">
        <f>16124/100000</f>
        <v>0.16123999999999999</v>
      </c>
      <c r="T230" s="2">
        <v>0.4440038</v>
      </c>
    </row>
    <row r="231" spans="1:20">
      <c r="A231" s="3" t="s">
        <v>2059</v>
      </c>
      <c r="B231" s="1" t="s">
        <v>2060</v>
      </c>
      <c r="C231" s="3" t="s">
        <v>2061</v>
      </c>
      <c r="D231" s="3" t="s">
        <v>2062</v>
      </c>
      <c r="E231" s="3" t="s">
        <v>2063</v>
      </c>
      <c r="F231" s="3" t="s">
        <v>2064</v>
      </c>
      <c r="G231" s="3" t="s">
        <v>2065</v>
      </c>
      <c r="H231" s="11" t="s">
        <v>8085</v>
      </c>
      <c r="I231" s="3" t="s">
        <v>7073</v>
      </c>
      <c r="J231" s="7">
        <v>0.91</v>
      </c>
      <c r="K231" s="1" t="s">
        <v>4547</v>
      </c>
      <c r="L231" s="2">
        <v>0.73899999999999999</v>
      </c>
      <c r="M231" s="2">
        <f>78749/100000</f>
        <v>0.78749000000000002</v>
      </c>
      <c r="N231" s="2">
        <v>0.82929589999999997</v>
      </c>
      <c r="O231" s="3" t="s">
        <v>7074</v>
      </c>
      <c r="P231" s="7">
        <v>2.0099999999999998</v>
      </c>
      <c r="Q231" s="1" t="s">
        <v>7075</v>
      </c>
      <c r="R231" s="2">
        <v>5.4300000000000001E-2</v>
      </c>
      <c r="S231" s="2">
        <f>7096/100000</f>
        <v>7.0959999999999995E-2</v>
      </c>
      <c r="T231" s="2">
        <v>0.29786360000000001</v>
      </c>
    </row>
    <row r="232" spans="1:20">
      <c r="A232" s="3" t="s">
        <v>2070</v>
      </c>
      <c r="B232" s="1" t="s">
        <v>2071</v>
      </c>
      <c r="C232" s="3" t="s">
        <v>2072</v>
      </c>
      <c r="D232" s="3" t="s">
        <v>2073</v>
      </c>
      <c r="E232" s="3" t="s">
        <v>2074</v>
      </c>
      <c r="F232" s="3" t="s">
        <v>2075</v>
      </c>
      <c r="G232" s="3" t="s">
        <v>2076</v>
      </c>
      <c r="H232" s="11" t="s">
        <v>8166</v>
      </c>
      <c r="I232" s="3" t="s">
        <v>7076</v>
      </c>
      <c r="J232" s="7">
        <v>0.72</v>
      </c>
      <c r="K232" s="1" t="s">
        <v>7077</v>
      </c>
      <c r="L232" s="2">
        <v>0.122</v>
      </c>
      <c r="M232" s="2">
        <f>14191/100000</f>
        <v>0.14191000000000001</v>
      </c>
      <c r="N232" s="2">
        <v>0.4138309</v>
      </c>
      <c r="O232" s="3" t="s">
        <v>7078</v>
      </c>
      <c r="P232" s="7">
        <v>1.75</v>
      </c>
      <c r="Q232" s="1" t="s">
        <v>7079</v>
      </c>
      <c r="R232" s="2">
        <v>1.73E-4</v>
      </c>
      <c r="S232" s="2">
        <f>27/100000</f>
        <v>2.7E-4</v>
      </c>
      <c r="T232" s="2">
        <v>5.9249999999999997E-3</v>
      </c>
    </row>
    <row r="233" spans="1:20">
      <c r="A233" s="3" t="s">
        <v>2081</v>
      </c>
      <c r="B233" s="1" t="s">
        <v>2082</v>
      </c>
      <c r="C233" s="3" t="s">
        <v>2083</v>
      </c>
      <c r="D233" s="3" t="s">
        <v>2084</v>
      </c>
      <c r="E233" s="3" t="s">
        <v>2085</v>
      </c>
      <c r="F233" s="3" t="s">
        <v>2086</v>
      </c>
      <c r="G233" s="3" t="s">
        <v>2087</v>
      </c>
      <c r="H233" s="11" t="s">
        <v>8167</v>
      </c>
      <c r="I233" s="3" t="s">
        <v>7080</v>
      </c>
      <c r="J233" s="7">
        <v>1.17</v>
      </c>
      <c r="K233" s="1" t="s">
        <v>7081</v>
      </c>
      <c r="L233" s="2">
        <v>0.59199999999999997</v>
      </c>
      <c r="M233" s="2">
        <f>64283/100000</f>
        <v>0.64283000000000001</v>
      </c>
      <c r="N233" s="2">
        <v>0.79869500000000004</v>
      </c>
      <c r="O233" s="3" t="s">
        <v>7082</v>
      </c>
      <c r="P233" s="7">
        <v>1.7</v>
      </c>
      <c r="Q233" s="1" t="s">
        <v>7083</v>
      </c>
      <c r="R233" s="2">
        <v>3.39E-2</v>
      </c>
      <c r="S233" s="2">
        <f>3743/100000</f>
        <v>3.7429999999999998E-2</v>
      </c>
      <c r="T233" s="2">
        <v>0.20518059999999999</v>
      </c>
    </row>
    <row r="234" spans="1:20">
      <c r="A234" s="3" t="s">
        <v>2092</v>
      </c>
      <c r="B234" s="1" t="s">
        <v>2093</v>
      </c>
      <c r="C234" s="3" t="s">
        <v>2094</v>
      </c>
      <c r="D234" s="3" t="s">
        <v>2095</v>
      </c>
      <c r="E234" s="3" t="s">
        <v>2096</v>
      </c>
      <c r="F234" s="3" t="s">
        <v>2097</v>
      </c>
      <c r="G234" s="3" t="s">
        <v>2098</v>
      </c>
      <c r="H234" s="11" t="s">
        <v>8161</v>
      </c>
      <c r="I234" s="3" t="s">
        <v>7084</v>
      </c>
      <c r="J234" s="7">
        <v>0.7</v>
      </c>
      <c r="K234" s="1" t="s">
        <v>7085</v>
      </c>
      <c r="L234" s="2">
        <v>0.23400000000000001</v>
      </c>
      <c r="M234" s="2">
        <f>25610/100000</f>
        <v>0.25609999999999999</v>
      </c>
      <c r="N234" s="2">
        <v>0.55796259999999998</v>
      </c>
      <c r="O234" s="3" t="s">
        <v>7086</v>
      </c>
      <c r="P234" s="7">
        <v>1.3</v>
      </c>
      <c r="Q234" s="1" t="s">
        <v>7087</v>
      </c>
      <c r="R234" s="2">
        <v>0.34300000000000003</v>
      </c>
      <c r="S234" s="2">
        <f>34679/100000</f>
        <v>0.34678999999999999</v>
      </c>
      <c r="T234" s="2">
        <v>0.62389530000000004</v>
      </c>
    </row>
    <row r="235" spans="1:20">
      <c r="A235" s="3" t="s">
        <v>2103</v>
      </c>
      <c r="B235" s="1" t="s">
        <v>2104</v>
      </c>
      <c r="C235" s="3" t="s">
        <v>2105</v>
      </c>
      <c r="D235" s="3" t="s">
        <v>2106</v>
      </c>
      <c r="E235" s="3" t="s">
        <v>2107</v>
      </c>
      <c r="F235" s="3" t="s">
        <v>2108</v>
      </c>
      <c r="G235" s="3" t="s">
        <v>2109</v>
      </c>
      <c r="H235" s="11" t="s">
        <v>8168</v>
      </c>
      <c r="I235" s="3" t="s">
        <v>7088</v>
      </c>
      <c r="J235" s="7">
        <v>1.71</v>
      </c>
      <c r="K235" s="1" t="s">
        <v>7089</v>
      </c>
      <c r="L235" s="2">
        <v>0.13900000000000001</v>
      </c>
      <c r="M235" s="2">
        <f>15297/100000</f>
        <v>0.15296999999999999</v>
      </c>
      <c r="N235" s="2">
        <v>0.42978939999999999</v>
      </c>
      <c r="O235" s="3" t="s">
        <v>7090</v>
      </c>
      <c r="P235" s="7">
        <v>0.78</v>
      </c>
      <c r="Q235" s="1" t="s">
        <v>627</v>
      </c>
      <c r="R235" s="2">
        <v>0.48899999999999999</v>
      </c>
      <c r="S235" s="2">
        <f>52909/100000</f>
        <v>0.52908999999999995</v>
      </c>
      <c r="T235" s="2">
        <v>0.74478149999999999</v>
      </c>
    </row>
    <row r="236" spans="1:20">
      <c r="A236" s="3" t="s">
        <v>2114</v>
      </c>
      <c r="B236" s="1" t="s">
        <v>2115</v>
      </c>
      <c r="C236" s="3" t="s">
        <v>2116</v>
      </c>
      <c r="D236" s="3" t="s">
        <v>2117</v>
      </c>
      <c r="E236" s="3" t="s">
        <v>2118</v>
      </c>
      <c r="F236" s="3" t="s">
        <v>2119</v>
      </c>
      <c r="G236" s="3" t="s">
        <v>2120</v>
      </c>
      <c r="H236" s="11" t="s">
        <v>8169</v>
      </c>
      <c r="I236" s="3" t="s">
        <v>7091</v>
      </c>
      <c r="J236" s="7">
        <v>1.27</v>
      </c>
      <c r="K236" s="1" t="s">
        <v>7092</v>
      </c>
      <c r="L236" s="2">
        <v>0.28499999999999998</v>
      </c>
      <c r="M236" s="2">
        <f>30926/100000</f>
        <v>0.30925999999999998</v>
      </c>
      <c r="N236" s="2">
        <v>0.59561370000000002</v>
      </c>
      <c r="O236" s="3" t="s">
        <v>7093</v>
      </c>
      <c r="P236" s="7">
        <v>0.79</v>
      </c>
      <c r="Q236" s="1" t="s">
        <v>7094</v>
      </c>
      <c r="R236" s="2">
        <v>0.38</v>
      </c>
      <c r="S236" s="2">
        <f>39297/100000</f>
        <v>0.39296999999999999</v>
      </c>
      <c r="T236" s="2">
        <v>0.65906430000000005</v>
      </c>
    </row>
    <row r="237" spans="1:20">
      <c r="A237" s="3" t="s">
        <v>2125</v>
      </c>
      <c r="B237" s="1" t="s">
        <v>2115</v>
      </c>
      <c r="C237" s="3" t="s">
        <v>2116</v>
      </c>
      <c r="D237" s="3" t="s">
        <v>2126</v>
      </c>
      <c r="E237" s="3" t="s">
        <v>2127</v>
      </c>
      <c r="F237" s="3" t="s">
        <v>2119</v>
      </c>
      <c r="G237" s="3" t="s">
        <v>2120</v>
      </c>
      <c r="H237" s="11" t="s">
        <v>8169</v>
      </c>
      <c r="I237" s="3" t="s">
        <v>7095</v>
      </c>
      <c r="J237" s="7">
        <v>0.99</v>
      </c>
      <c r="K237" s="1" t="s">
        <v>7096</v>
      </c>
      <c r="L237" s="2">
        <v>0.98199999999999998</v>
      </c>
      <c r="M237" s="2">
        <f>100000/100000</f>
        <v>1</v>
      </c>
      <c r="N237" s="2">
        <v>0.82929589999999997</v>
      </c>
      <c r="O237" s="3" t="s">
        <v>7097</v>
      </c>
      <c r="P237" s="7">
        <v>1.1499999999999999</v>
      </c>
      <c r="Q237" s="1" t="s">
        <v>3681</v>
      </c>
      <c r="R237" s="2">
        <v>0.59399999999999997</v>
      </c>
      <c r="S237" s="2">
        <f>66806/100000</f>
        <v>0.66805999999999999</v>
      </c>
      <c r="T237" s="2">
        <v>0.80511429999999995</v>
      </c>
    </row>
    <row r="238" spans="1:20">
      <c r="A238" s="3" t="s">
        <v>2132</v>
      </c>
      <c r="B238" s="1" t="s">
        <v>2133</v>
      </c>
      <c r="C238" s="3" t="s">
        <v>2134</v>
      </c>
      <c r="D238" s="3" t="s">
        <v>2135</v>
      </c>
      <c r="E238" s="3" t="s">
        <v>2136</v>
      </c>
      <c r="F238" s="3" t="s">
        <v>2137</v>
      </c>
      <c r="G238" s="3" t="s">
        <v>2138</v>
      </c>
      <c r="H238" s="11" t="s">
        <v>8087</v>
      </c>
      <c r="I238" s="3" t="s">
        <v>7098</v>
      </c>
      <c r="J238" s="7">
        <v>1.61</v>
      </c>
      <c r="K238" s="1" t="s">
        <v>7099</v>
      </c>
      <c r="L238" s="2">
        <v>1.66E-2</v>
      </c>
      <c r="M238" s="2">
        <f>2058/100000</f>
        <v>2.0580000000000001E-2</v>
      </c>
      <c r="N238" s="2">
        <v>0.1414184</v>
      </c>
      <c r="O238" s="3" t="s">
        <v>7100</v>
      </c>
      <c r="P238" s="7">
        <v>1.29</v>
      </c>
      <c r="Q238" s="1" t="s">
        <v>7101</v>
      </c>
      <c r="R238" s="2">
        <v>0.23699999999999999</v>
      </c>
      <c r="S238" s="2">
        <f>28367/100000</f>
        <v>0.28366999999999998</v>
      </c>
      <c r="T238" s="2">
        <v>0.57234689999999999</v>
      </c>
    </row>
    <row r="239" spans="1:20">
      <c r="A239" s="3" t="s">
        <v>2143</v>
      </c>
      <c r="B239" s="1" t="s">
        <v>2144</v>
      </c>
      <c r="C239" s="3" t="s">
        <v>2145</v>
      </c>
      <c r="D239" s="3" t="s">
        <v>2146</v>
      </c>
      <c r="E239" s="3" t="s">
        <v>2147</v>
      </c>
      <c r="F239" s="3" t="s">
        <v>2148</v>
      </c>
      <c r="G239" s="3" t="s">
        <v>2149</v>
      </c>
      <c r="H239" s="11" t="s">
        <v>8170</v>
      </c>
      <c r="I239" s="3" t="s">
        <v>7102</v>
      </c>
      <c r="J239" s="7">
        <v>0.95</v>
      </c>
      <c r="K239" s="1" t="s">
        <v>7103</v>
      </c>
      <c r="L239" s="2">
        <v>0.88100000000000001</v>
      </c>
      <c r="M239" s="2">
        <f>100000/100000</f>
        <v>1</v>
      </c>
      <c r="N239" s="2">
        <v>0.82929589999999997</v>
      </c>
      <c r="O239" s="3" t="s">
        <v>7104</v>
      </c>
      <c r="P239" s="7">
        <v>1.95</v>
      </c>
      <c r="Q239" s="1" t="s">
        <v>7105</v>
      </c>
      <c r="R239" s="2">
        <v>5.0299999999999997E-3</v>
      </c>
      <c r="S239" s="2">
        <f>804/100000</f>
        <v>8.0400000000000003E-3</v>
      </c>
      <c r="T239" s="2">
        <v>7.533832E-2</v>
      </c>
    </row>
    <row r="240" spans="1:20">
      <c r="A240" s="3" t="s">
        <v>2154</v>
      </c>
      <c r="B240" s="1" t="s">
        <v>2155</v>
      </c>
      <c r="C240" s="3" t="s">
        <v>2156</v>
      </c>
      <c r="D240" s="3" t="s">
        <v>2157</v>
      </c>
      <c r="E240" s="3" t="s">
        <v>2158</v>
      </c>
      <c r="F240" s="3" t="s">
        <v>2159</v>
      </c>
      <c r="G240" s="3" t="s">
        <v>2160</v>
      </c>
      <c r="H240" s="11" t="s">
        <v>8171</v>
      </c>
      <c r="I240" s="3" t="s">
        <v>7106</v>
      </c>
      <c r="J240" s="7">
        <v>0.87</v>
      </c>
      <c r="K240" s="1" t="s">
        <v>7107</v>
      </c>
      <c r="L240" s="2">
        <v>0.47799999999999998</v>
      </c>
      <c r="M240" s="2">
        <f>52567/100000</f>
        <v>0.52566999999999997</v>
      </c>
      <c r="N240" s="2">
        <v>0.74478149999999999</v>
      </c>
      <c r="O240" s="3" t="s">
        <v>7108</v>
      </c>
      <c r="P240" s="7">
        <v>1.49</v>
      </c>
      <c r="Q240" s="1" t="s">
        <v>7109</v>
      </c>
      <c r="R240" s="2">
        <v>1.3899999999999999E-2</v>
      </c>
      <c r="S240" s="2">
        <f>1604/100000</f>
        <v>1.6039999999999999E-2</v>
      </c>
      <c r="T240" s="2">
        <v>0.11872829999999999</v>
      </c>
    </row>
    <row r="241" spans="1:20">
      <c r="A241" s="3" t="s">
        <v>2165</v>
      </c>
      <c r="B241" s="1" t="s">
        <v>2166</v>
      </c>
      <c r="C241" s="3" t="s">
        <v>2167</v>
      </c>
      <c r="D241" s="3" t="s">
        <v>2168</v>
      </c>
      <c r="E241" s="3" t="s">
        <v>2169</v>
      </c>
      <c r="F241" s="3" t="s">
        <v>2170</v>
      </c>
      <c r="G241" s="3" t="s">
        <v>2171</v>
      </c>
      <c r="H241" s="11" t="s">
        <v>8172</v>
      </c>
      <c r="I241" s="3" t="s">
        <v>7110</v>
      </c>
      <c r="J241" s="7">
        <v>1.55</v>
      </c>
      <c r="K241" s="1" t="s">
        <v>7111</v>
      </c>
      <c r="L241" s="2">
        <v>5.5E-2</v>
      </c>
      <c r="M241" s="2">
        <f>7017/100000</f>
        <v>7.0169999999999996E-2</v>
      </c>
      <c r="N241" s="2">
        <v>0.29644490000000001</v>
      </c>
      <c r="O241" s="3" t="s">
        <v>7112</v>
      </c>
      <c r="P241" s="7">
        <v>1.2</v>
      </c>
      <c r="Q241" s="1" t="s">
        <v>7113</v>
      </c>
      <c r="R241" s="2">
        <v>0.438</v>
      </c>
      <c r="S241" s="2">
        <f>51574/100000</f>
        <v>0.51573999999999998</v>
      </c>
      <c r="T241" s="2">
        <v>0.74478149999999999</v>
      </c>
    </row>
    <row r="242" spans="1:20">
      <c r="A242" s="3" t="s">
        <v>2176</v>
      </c>
      <c r="B242" s="1" t="s">
        <v>2166</v>
      </c>
      <c r="C242" s="3" t="s">
        <v>2167</v>
      </c>
      <c r="D242" s="3" t="s">
        <v>2177</v>
      </c>
      <c r="E242" s="3" t="s">
        <v>2178</v>
      </c>
      <c r="F242" s="3" t="s">
        <v>2179</v>
      </c>
      <c r="G242" s="3" t="s">
        <v>2180</v>
      </c>
      <c r="H242" s="11" t="s">
        <v>8173</v>
      </c>
      <c r="I242" s="3" t="s">
        <v>7114</v>
      </c>
      <c r="J242" s="7">
        <v>1.65</v>
      </c>
      <c r="K242" s="1" t="s">
        <v>7115</v>
      </c>
      <c r="L242" s="2">
        <v>9.6599999999999995E-4</v>
      </c>
      <c r="M242" s="2">
        <f>146/100000</f>
        <v>1.4599999999999999E-3</v>
      </c>
      <c r="N242" s="2">
        <v>2.1543389999999999E-2</v>
      </c>
      <c r="O242" s="3" t="s">
        <v>7116</v>
      </c>
      <c r="P242" s="7">
        <v>0.77</v>
      </c>
      <c r="Q242" s="1" t="s">
        <v>7117</v>
      </c>
      <c r="R242" s="2">
        <v>0.21099999999999999</v>
      </c>
      <c r="S242" s="2">
        <f>21402/100000</f>
        <v>0.21401999999999999</v>
      </c>
      <c r="T242" s="2">
        <v>0.50686810000000004</v>
      </c>
    </row>
    <row r="243" spans="1:20">
      <c r="A243" s="3" t="s">
        <v>2185</v>
      </c>
      <c r="B243" s="1" t="s">
        <v>2186</v>
      </c>
      <c r="C243" s="3" t="s">
        <v>2187</v>
      </c>
      <c r="D243" s="3" t="s">
        <v>2188</v>
      </c>
      <c r="E243" s="3" t="s">
        <v>2189</v>
      </c>
      <c r="F243" s="3" t="s">
        <v>2190</v>
      </c>
      <c r="G243" s="3" t="s">
        <v>2191</v>
      </c>
      <c r="H243" s="11" t="s">
        <v>8051</v>
      </c>
      <c r="I243" s="3" t="s">
        <v>7118</v>
      </c>
      <c r="J243" s="7">
        <v>1.57</v>
      </c>
      <c r="K243" s="1" t="s">
        <v>7119</v>
      </c>
      <c r="L243" s="2">
        <v>1.33E-3</v>
      </c>
      <c r="M243" s="2">
        <f>176/100000</f>
        <v>1.7600000000000001E-3</v>
      </c>
      <c r="N243" s="2">
        <v>2.4828570000000001E-2</v>
      </c>
      <c r="O243" s="3" t="s">
        <v>7120</v>
      </c>
      <c r="P243" s="7">
        <v>0.96</v>
      </c>
      <c r="Q243" s="1" t="s">
        <v>7121</v>
      </c>
      <c r="R243" s="2">
        <v>0.82599999999999996</v>
      </c>
      <c r="S243" s="2">
        <f>86169/100000</f>
        <v>0.86168999999999996</v>
      </c>
      <c r="T243" s="2">
        <v>0.82929589999999997</v>
      </c>
    </row>
    <row r="244" spans="1:20">
      <c r="A244" s="3" t="s">
        <v>2195</v>
      </c>
      <c r="B244" s="1" t="s">
        <v>2186</v>
      </c>
      <c r="C244" s="3" t="s">
        <v>2187</v>
      </c>
      <c r="D244" s="3" t="s">
        <v>2196</v>
      </c>
      <c r="E244" s="3" t="s">
        <v>2197</v>
      </c>
      <c r="F244" s="3" t="s">
        <v>2198</v>
      </c>
      <c r="G244" s="3" t="s">
        <v>2199</v>
      </c>
      <c r="H244" s="11" t="s">
        <v>8051</v>
      </c>
      <c r="I244" s="3" t="s">
        <v>7122</v>
      </c>
      <c r="J244" s="7">
        <v>1.88</v>
      </c>
      <c r="K244" s="1" t="s">
        <v>7123</v>
      </c>
      <c r="L244" s="2">
        <v>3.4900000000000001E-7</v>
      </c>
      <c r="M244" s="2" t="s">
        <v>500</v>
      </c>
      <c r="N244" s="2">
        <v>3.517123E-4</v>
      </c>
      <c r="O244" s="3" t="s">
        <v>7124</v>
      </c>
      <c r="P244" s="7">
        <v>1.1100000000000001</v>
      </c>
      <c r="Q244" s="1" t="s">
        <v>7125</v>
      </c>
      <c r="R244" s="2">
        <v>0.49</v>
      </c>
      <c r="S244" s="2">
        <f>52572/100000</f>
        <v>0.52571999999999997</v>
      </c>
      <c r="T244" s="2">
        <v>0.74478149999999999</v>
      </c>
    </row>
    <row r="245" spans="1:20">
      <c r="A245" s="3" t="s">
        <v>2204</v>
      </c>
      <c r="B245" s="1" t="s">
        <v>2186</v>
      </c>
      <c r="C245" s="3" t="s">
        <v>2187</v>
      </c>
      <c r="D245" s="3" t="s">
        <v>2205</v>
      </c>
      <c r="E245" s="3" t="s">
        <v>2206</v>
      </c>
      <c r="F245" s="3" t="s">
        <v>2207</v>
      </c>
      <c r="G245" s="3" t="s">
        <v>2208</v>
      </c>
      <c r="H245" s="11" t="s">
        <v>8051</v>
      </c>
      <c r="I245" s="3" t="s">
        <v>7126</v>
      </c>
      <c r="J245" s="7">
        <v>1.96</v>
      </c>
      <c r="K245" s="1" t="s">
        <v>7127</v>
      </c>
      <c r="L245" s="2">
        <v>1.08E-6</v>
      </c>
      <c r="M245" s="2" t="s">
        <v>500</v>
      </c>
      <c r="N245" s="2">
        <v>3.517123E-4</v>
      </c>
      <c r="O245" s="3" t="s">
        <v>7128</v>
      </c>
      <c r="P245" s="7">
        <v>1.21</v>
      </c>
      <c r="Q245" s="1" t="s">
        <v>7129</v>
      </c>
      <c r="R245" s="2">
        <v>0.23</v>
      </c>
      <c r="S245" s="2">
        <f>26461/100000</f>
        <v>0.26461000000000001</v>
      </c>
      <c r="T245" s="2">
        <v>0.56557559999999996</v>
      </c>
    </row>
    <row r="246" spans="1:20">
      <c r="A246" s="3" t="s">
        <v>2213</v>
      </c>
      <c r="B246" s="1" t="s">
        <v>2186</v>
      </c>
      <c r="C246" s="3" t="s">
        <v>2187</v>
      </c>
      <c r="D246" s="3" t="s">
        <v>2214</v>
      </c>
      <c r="E246" s="3" t="s">
        <v>2215</v>
      </c>
      <c r="F246" s="3" t="s">
        <v>2216</v>
      </c>
      <c r="G246" s="3" t="s">
        <v>2217</v>
      </c>
      <c r="H246" s="11" t="s">
        <v>8051</v>
      </c>
      <c r="I246" s="3" t="s">
        <v>7130</v>
      </c>
      <c r="J246" s="7">
        <v>2.1</v>
      </c>
      <c r="K246" s="1" t="s">
        <v>7131</v>
      </c>
      <c r="L246" s="2">
        <v>1.03E-7</v>
      </c>
      <c r="M246" s="2" t="s">
        <v>500</v>
      </c>
      <c r="N246" s="2">
        <v>3.517123E-4</v>
      </c>
      <c r="O246" s="3" t="s">
        <v>7132</v>
      </c>
      <c r="P246" s="7">
        <v>1</v>
      </c>
      <c r="Q246" s="1" t="s">
        <v>7133</v>
      </c>
      <c r="R246" s="2">
        <v>0.99099999999999999</v>
      </c>
      <c r="S246" s="2">
        <f>100000/100000</f>
        <v>1</v>
      </c>
      <c r="T246" s="2">
        <v>0.82929589999999997</v>
      </c>
    </row>
    <row r="247" spans="1:20">
      <c r="A247" s="3" t="s">
        <v>2222</v>
      </c>
      <c r="B247" s="1" t="s">
        <v>2186</v>
      </c>
      <c r="C247" s="3" t="s">
        <v>2187</v>
      </c>
      <c r="D247" s="3" t="s">
        <v>2223</v>
      </c>
      <c r="E247" s="3" t="s">
        <v>2224</v>
      </c>
      <c r="F247" s="3" t="s">
        <v>2225</v>
      </c>
      <c r="G247" s="3" t="s">
        <v>2226</v>
      </c>
      <c r="H247" s="11" t="s">
        <v>8051</v>
      </c>
      <c r="I247" s="3" t="s">
        <v>7134</v>
      </c>
      <c r="J247" s="7">
        <v>1.96</v>
      </c>
      <c r="K247" s="1" t="s">
        <v>7135</v>
      </c>
      <c r="L247" s="2">
        <v>3.23E-6</v>
      </c>
      <c r="M247" s="2" t="s">
        <v>500</v>
      </c>
      <c r="N247" s="2">
        <v>3.517123E-4</v>
      </c>
      <c r="O247" s="3" t="s">
        <v>7136</v>
      </c>
      <c r="P247" s="7">
        <v>1.08</v>
      </c>
      <c r="Q247" s="1" t="s">
        <v>7137</v>
      </c>
      <c r="R247" s="2">
        <v>0.65800000000000003</v>
      </c>
      <c r="S247" s="2">
        <f>71229/100000</f>
        <v>0.71228999999999998</v>
      </c>
      <c r="T247" s="2">
        <v>0.82137769999999999</v>
      </c>
    </row>
    <row r="248" spans="1:20">
      <c r="A248" s="3" t="s">
        <v>2231</v>
      </c>
      <c r="B248" s="1" t="s">
        <v>2186</v>
      </c>
      <c r="C248" s="3" t="s">
        <v>2187</v>
      </c>
      <c r="D248" s="3" t="s">
        <v>2232</v>
      </c>
      <c r="E248" s="3" t="s">
        <v>2233</v>
      </c>
      <c r="F248" s="3" t="s">
        <v>2234</v>
      </c>
      <c r="G248" s="3" t="s">
        <v>2235</v>
      </c>
      <c r="H248" s="11" t="s">
        <v>8051</v>
      </c>
      <c r="I248" s="3" t="s">
        <v>7138</v>
      </c>
      <c r="J248" s="7">
        <v>2.35</v>
      </c>
      <c r="K248" s="1" t="s">
        <v>7139</v>
      </c>
      <c r="L248" s="2">
        <v>8.6900000000000005E-11</v>
      </c>
      <c r="M248" s="2" t="s">
        <v>500</v>
      </c>
      <c r="N248" s="2">
        <v>3.517123E-4</v>
      </c>
      <c r="O248" s="3" t="s">
        <v>7140</v>
      </c>
      <c r="P248" s="7">
        <v>1.1599999999999999</v>
      </c>
      <c r="Q248" s="1" t="s">
        <v>7141</v>
      </c>
      <c r="R248" s="2">
        <v>0.4</v>
      </c>
      <c r="S248" s="2">
        <f>40231/100000</f>
        <v>0.40231</v>
      </c>
      <c r="T248" s="2">
        <v>0.66589350000000003</v>
      </c>
    </row>
    <row r="249" spans="1:20">
      <c r="A249" s="3" t="s">
        <v>2240</v>
      </c>
      <c r="B249" s="1" t="s">
        <v>2186</v>
      </c>
      <c r="C249" s="3" t="s">
        <v>2187</v>
      </c>
      <c r="D249" s="3" t="s">
        <v>2241</v>
      </c>
      <c r="E249" s="3" t="s">
        <v>2242</v>
      </c>
      <c r="F249" s="3" t="s">
        <v>2243</v>
      </c>
      <c r="G249" s="3" t="s">
        <v>2244</v>
      </c>
      <c r="H249" s="11" t="s">
        <v>8051</v>
      </c>
      <c r="I249" s="3" t="s">
        <v>7142</v>
      </c>
      <c r="J249" s="7">
        <v>1.96</v>
      </c>
      <c r="K249" s="1" t="s">
        <v>7143</v>
      </c>
      <c r="L249" s="2">
        <v>4.1199999999999998E-7</v>
      </c>
      <c r="M249" s="2" t="s">
        <v>500</v>
      </c>
      <c r="N249" s="2">
        <v>3.517123E-4</v>
      </c>
      <c r="O249" s="3" t="s">
        <v>7144</v>
      </c>
      <c r="P249" s="7">
        <v>1.1000000000000001</v>
      </c>
      <c r="Q249" s="1" t="s">
        <v>7145</v>
      </c>
      <c r="R249" s="2">
        <v>0.53900000000000003</v>
      </c>
      <c r="S249" s="2">
        <f>55214/100000</f>
        <v>0.55213999999999996</v>
      </c>
      <c r="T249" s="2">
        <v>0.75306059999999997</v>
      </c>
    </row>
    <row r="250" spans="1:20">
      <c r="A250" s="3" t="s">
        <v>2249</v>
      </c>
      <c r="B250" s="1" t="s">
        <v>2250</v>
      </c>
      <c r="C250" s="3" t="s">
        <v>2251</v>
      </c>
      <c r="D250" s="3" t="s">
        <v>2252</v>
      </c>
      <c r="E250" s="3" t="s">
        <v>2253</v>
      </c>
      <c r="F250" s="3" t="s">
        <v>2254</v>
      </c>
      <c r="G250" s="3" t="s">
        <v>2255</v>
      </c>
      <c r="H250" s="11" t="s">
        <v>8174</v>
      </c>
      <c r="I250" s="3" t="s">
        <v>7146</v>
      </c>
      <c r="J250" s="7">
        <v>1.25</v>
      </c>
      <c r="K250" s="1" t="s">
        <v>7147</v>
      </c>
      <c r="L250" s="2">
        <v>0.35499999999999998</v>
      </c>
      <c r="M250" s="2">
        <f>41932/100000</f>
        <v>0.41932000000000003</v>
      </c>
      <c r="N250" s="2">
        <v>0.67565790000000003</v>
      </c>
      <c r="O250" s="3" t="s">
        <v>7148</v>
      </c>
      <c r="P250" s="7">
        <v>0.8</v>
      </c>
      <c r="Q250" s="1" t="s">
        <v>3720</v>
      </c>
      <c r="R250" s="2">
        <v>0.56000000000000005</v>
      </c>
      <c r="S250" s="2">
        <f>60955/100000</f>
        <v>0.60955000000000004</v>
      </c>
      <c r="T250" s="2">
        <v>0.78860779999999997</v>
      </c>
    </row>
    <row r="251" spans="1:20">
      <c r="A251" s="3" t="s">
        <v>2259</v>
      </c>
      <c r="B251" s="1" t="s">
        <v>2250</v>
      </c>
      <c r="C251" s="3" t="s">
        <v>2251</v>
      </c>
      <c r="D251" s="3" t="s">
        <v>2260</v>
      </c>
      <c r="E251" s="3" t="s">
        <v>2261</v>
      </c>
      <c r="F251" s="3" t="s">
        <v>2262</v>
      </c>
      <c r="G251" s="3" t="s">
        <v>2263</v>
      </c>
      <c r="H251" s="11" t="s">
        <v>8174</v>
      </c>
      <c r="I251" s="3" t="s">
        <v>7149</v>
      </c>
      <c r="J251" s="7">
        <v>0.49</v>
      </c>
      <c r="K251" s="1" t="s">
        <v>7150</v>
      </c>
      <c r="L251" s="2">
        <v>4.5799999999999999E-3</v>
      </c>
      <c r="M251" s="2">
        <f>492/100000</f>
        <v>4.9199999999999999E-3</v>
      </c>
      <c r="N251" s="2">
        <v>5.3753620000000002E-2</v>
      </c>
      <c r="O251" s="3" t="s">
        <v>7151</v>
      </c>
      <c r="P251" s="7">
        <v>1.36</v>
      </c>
      <c r="Q251" s="1" t="s">
        <v>7152</v>
      </c>
      <c r="R251" s="2">
        <v>6.0499999999999998E-2</v>
      </c>
      <c r="S251" s="2">
        <f>6518/100000</f>
        <v>6.5180000000000002E-2</v>
      </c>
      <c r="T251" s="2">
        <v>0.28421220000000003</v>
      </c>
    </row>
    <row r="252" spans="1:20">
      <c r="A252" s="3" t="s">
        <v>2268</v>
      </c>
      <c r="B252" s="1" t="s">
        <v>2250</v>
      </c>
      <c r="C252" s="3" t="s">
        <v>2251</v>
      </c>
      <c r="D252" s="3" t="s">
        <v>2269</v>
      </c>
      <c r="E252" s="3" t="s">
        <v>2270</v>
      </c>
      <c r="F252" s="3" t="s">
        <v>2271</v>
      </c>
      <c r="G252" s="3" t="s">
        <v>2272</v>
      </c>
      <c r="H252" s="11" t="s">
        <v>8174</v>
      </c>
      <c r="I252" s="3" t="s">
        <v>7153</v>
      </c>
      <c r="J252" s="7">
        <v>1.28</v>
      </c>
      <c r="K252" s="1" t="s">
        <v>7154</v>
      </c>
      <c r="L252" s="2">
        <v>0.13</v>
      </c>
      <c r="M252" s="2">
        <f>14383/100000</f>
        <v>0.14383000000000001</v>
      </c>
      <c r="N252" s="2">
        <v>0.41635139999999998</v>
      </c>
      <c r="O252" s="3" t="s">
        <v>7155</v>
      </c>
      <c r="P252" s="7">
        <v>0.46</v>
      </c>
      <c r="Q252" s="1" t="s">
        <v>786</v>
      </c>
      <c r="R252" s="2">
        <v>3.8800000000000002E-3</v>
      </c>
      <c r="S252" s="2">
        <f>498/100000</f>
        <v>4.9800000000000001E-3</v>
      </c>
      <c r="T252" s="2">
        <v>5.41786E-2</v>
      </c>
    </row>
    <row r="253" spans="1:20">
      <c r="A253" s="3" t="s">
        <v>2277</v>
      </c>
      <c r="B253" s="1" t="s">
        <v>2278</v>
      </c>
      <c r="C253" s="3" t="s">
        <v>2279</v>
      </c>
      <c r="D253" s="3" t="s">
        <v>2280</v>
      </c>
      <c r="E253" s="3" t="s">
        <v>2281</v>
      </c>
      <c r="F253" s="3" t="s">
        <v>2282</v>
      </c>
      <c r="G253" s="3" t="s">
        <v>2283</v>
      </c>
      <c r="H253" s="11" t="s">
        <v>8175</v>
      </c>
      <c r="I253" s="3" t="s">
        <v>7156</v>
      </c>
      <c r="J253" s="7">
        <v>0.5</v>
      </c>
      <c r="K253" s="1" t="s">
        <v>7157</v>
      </c>
      <c r="L253" s="2">
        <v>0.16300000000000001</v>
      </c>
      <c r="M253" s="2">
        <f>19966/100000</f>
        <v>0.19966</v>
      </c>
      <c r="N253" s="2">
        <v>0.48870029999999998</v>
      </c>
      <c r="O253" s="3" t="s">
        <v>7158</v>
      </c>
      <c r="P253" s="7">
        <v>0.56000000000000005</v>
      </c>
      <c r="Q253" s="1" t="s">
        <v>7159</v>
      </c>
      <c r="R253" s="2">
        <v>0.191</v>
      </c>
      <c r="S253" s="2">
        <f>22671/100000</f>
        <v>0.22670999999999999</v>
      </c>
      <c r="T253" s="2">
        <v>0.52317999999999998</v>
      </c>
    </row>
    <row r="254" spans="1:20">
      <c r="A254" s="3" t="s">
        <v>2288</v>
      </c>
      <c r="B254" s="1" t="s">
        <v>2289</v>
      </c>
      <c r="C254" s="3" t="s">
        <v>2290</v>
      </c>
      <c r="D254" s="3" t="s">
        <v>2291</v>
      </c>
      <c r="E254" s="3" t="s">
        <v>2292</v>
      </c>
      <c r="F254" s="3" t="s">
        <v>2293</v>
      </c>
      <c r="G254" s="3" t="s">
        <v>2294</v>
      </c>
      <c r="H254" s="11" t="s">
        <v>8176</v>
      </c>
      <c r="I254" s="3" t="s">
        <v>7160</v>
      </c>
      <c r="J254" s="7">
        <v>0.64</v>
      </c>
      <c r="K254" s="1" t="s">
        <v>7161</v>
      </c>
      <c r="L254" s="2">
        <v>0.317</v>
      </c>
      <c r="M254" s="2">
        <f>36271/100000</f>
        <v>0.36270999999999998</v>
      </c>
      <c r="N254" s="2">
        <v>0.64099209999999995</v>
      </c>
      <c r="O254" s="3" t="s">
        <v>7162</v>
      </c>
      <c r="P254" s="7">
        <v>1.28</v>
      </c>
      <c r="Q254" s="1" t="s">
        <v>6291</v>
      </c>
      <c r="R254" s="2">
        <v>0.49199999999999999</v>
      </c>
      <c r="S254" s="2">
        <f>53687/100000</f>
        <v>0.53686999999999996</v>
      </c>
      <c r="T254" s="2">
        <v>0.74478149999999999</v>
      </c>
    </row>
    <row r="255" spans="1:20">
      <c r="A255" s="3" t="s">
        <v>2298</v>
      </c>
      <c r="B255" s="1" t="s">
        <v>2299</v>
      </c>
      <c r="C255" s="3" t="s">
        <v>2300</v>
      </c>
      <c r="D255" s="3" t="s">
        <v>2301</v>
      </c>
      <c r="E255" s="3" t="s">
        <v>2302</v>
      </c>
      <c r="F255" s="3" t="s">
        <v>2303</v>
      </c>
      <c r="G255" s="3" t="s">
        <v>2304</v>
      </c>
      <c r="H255" s="11" t="s">
        <v>8114</v>
      </c>
      <c r="I255" s="3" t="s">
        <v>7163</v>
      </c>
      <c r="J255" s="7">
        <v>0.8</v>
      </c>
      <c r="K255" s="1" t="s">
        <v>7164</v>
      </c>
      <c r="L255" s="2">
        <v>3.4000000000000002E-2</v>
      </c>
      <c r="M255" s="2">
        <f>3764/100000</f>
        <v>3.764E-2</v>
      </c>
      <c r="N255" s="2">
        <v>0.2054</v>
      </c>
      <c r="O255" s="3" t="s">
        <v>7165</v>
      </c>
      <c r="P255" s="7">
        <v>1.55</v>
      </c>
      <c r="Q255" s="1" t="s">
        <v>7166</v>
      </c>
      <c r="R255" s="2">
        <v>5.8800000000000002E-7</v>
      </c>
      <c r="S255" s="2" t="s">
        <v>500</v>
      </c>
      <c r="T255" s="2">
        <v>3.517123E-4</v>
      </c>
    </row>
    <row r="256" spans="1:20">
      <c r="A256" s="3" t="s">
        <v>2309</v>
      </c>
      <c r="B256" s="1" t="s">
        <v>2310</v>
      </c>
      <c r="C256" s="3" t="s">
        <v>2311</v>
      </c>
      <c r="D256" s="3" t="s">
        <v>2312</v>
      </c>
      <c r="E256" s="3" t="s">
        <v>2313</v>
      </c>
      <c r="F256" s="3" t="s">
        <v>2314</v>
      </c>
      <c r="G256" s="3" t="s">
        <v>2315</v>
      </c>
      <c r="H256" s="11" t="s">
        <v>8177</v>
      </c>
      <c r="I256" s="3" t="s">
        <v>7167</v>
      </c>
      <c r="J256" s="7">
        <v>0.47</v>
      </c>
      <c r="K256" s="1" t="s">
        <v>7168</v>
      </c>
      <c r="L256" s="2">
        <v>4.5100000000000001E-2</v>
      </c>
      <c r="M256" s="2">
        <f>5743/100000</f>
        <v>5.7430000000000002E-2</v>
      </c>
      <c r="N256" s="2">
        <v>0.26269959999999998</v>
      </c>
      <c r="O256" s="3" t="s">
        <v>7169</v>
      </c>
      <c r="P256" s="7">
        <v>1.1499999999999999</v>
      </c>
      <c r="Q256" s="1" t="s">
        <v>7170</v>
      </c>
      <c r="R256" s="2">
        <v>0.60299999999999998</v>
      </c>
      <c r="S256" s="2">
        <f>67154/100000</f>
        <v>0.67154000000000003</v>
      </c>
      <c r="T256" s="2">
        <v>0.80511429999999995</v>
      </c>
    </row>
    <row r="257" spans="1:20">
      <c r="A257" s="3" t="s">
        <v>2320</v>
      </c>
      <c r="B257" s="1" t="s">
        <v>2310</v>
      </c>
      <c r="C257" s="3" t="s">
        <v>2311</v>
      </c>
      <c r="D257" s="3" t="s">
        <v>2321</v>
      </c>
      <c r="E257" s="3" t="s">
        <v>2322</v>
      </c>
      <c r="F257" s="3" t="s">
        <v>2323</v>
      </c>
      <c r="G257" s="3" t="s">
        <v>2324</v>
      </c>
      <c r="H257" s="11" t="s">
        <v>8177</v>
      </c>
      <c r="I257" s="3" t="s">
        <v>7171</v>
      </c>
      <c r="J257" s="7">
        <v>1.07</v>
      </c>
      <c r="K257" s="1" t="s">
        <v>7172</v>
      </c>
      <c r="L257" s="2">
        <v>0.79300000000000004</v>
      </c>
      <c r="M257" s="2">
        <f>89147/100000</f>
        <v>0.89146999999999998</v>
      </c>
      <c r="N257" s="2">
        <v>0.82929589999999997</v>
      </c>
      <c r="O257" s="3" t="s">
        <v>7173</v>
      </c>
      <c r="P257" s="7">
        <v>1.18</v>
      </c>
      <c r="Q257" s="1" t="s">
        <v>7174</v>
      </c>
      <c r="R257" s="2">
        <v>0.53800000000000003</v>
      </c>
      <c r="S257" s="2">
        <f>56621/100000</f>
        <v>0.56620999999999999</v>
      </c>
      <c r="T257" s="2">
        <v>0.76123890000000005</v>
      </c>
    </row>
    <row r="258" spans="1:20">
      <c r="A258" s="3" t="s">
        <v>2329</v>
      </c>
      <c r="B258" s="1" t="s">
        <v>2330</v>
      </c>
      <c r="C258" s="3" t="s">
        <v>2331</v>
      </c>
      <c r="D258" s="3" t="s">
        <v>2332</v>
      </c>
      <c r="E258" s="3" t="s">
        <v>2333</v>
      </c>
      <c r="F258" s="3" t="s">
        <v>2334</v>
      </c>
      <c r="G258" s="3" t="s">
        <v>2335</v>
      </c>
      <c r="H258" s="11" t="s">
        <v>8178</v>
      </c>
      <c r="I258" s="3" t="s">
        <v>7175</v>
      </c>
      <c r="J258" s="7">
        <v>0.55000000000000004</v>
      </c>
      <c r="K258" s="1" t="s">
        <v>7176</v>
      </c>
      <c r="L258" s="2">
        <v>0.40200000000000002</v>
      </c>
      <c r="M258" s="2">
        <f>45019/100000</f>
        <v>0.45018999999999998</v>
      </c>
      <c r="N258" s="2">
        <v>0.69853390000000004</v>
      </c>
      <c r="O258" s="3" t="s">
        <v>7177</v>
      </c>
      <c r="P258" s="7">
        <v>1.26</v>
      </c>
      <c r="Q258" s="1" t="s">
        <v>7178</v>
      </c>
      <c r="R258" s="2">
        <v>0.65700000000000003</v>
      </c>
      <c r="S258" s="2">
        <f>77335/100000</f>
        <v>0.77334999999999998</v>
      </c>
      <c r="T258" s="2">
        <v>0.82929589999999997</v>
      </c>
    </row>
    <row r="259" spans="1:20">
      <c r="A259" s="3" t="s">
        <v>2340</v>
      </c>
      <c r="B259" s="1" t="s">
        <v>2330</v>
      </c>
      <c r="C259" s="3" t="s">
        <v>2331</v>
      </c>
      <c r="D259" s="3" t="s">
        <v>2341</v>
      </c>
      <c r="E259" s="3" t="s">
        <v>2342</v>
      </c>
      <c r="F259" s="3" t="s">
        <v>2334</v>
      </c>
      <c r="G259" s="3" t="s">
        <v>2335</v>
      </c>
      <c r="H259" s="11" t="s">
        <v>8150</v>
      </c>
      <c r="I259" s="3" t="s">
        <v>7179</v>
      </c>
      <c r="J259" s="7">
        <v>0.54</v>
      </c>
      <c r="K259" s="1" t="s">
        <v>7180</v>
      </c>
      <c r="L259" s="2">
        <v>0.53800000000000003</v>
      </c>
      <c r="M259" s="2">
        <f>72533/100000</f>
        <v>0.72533000000000003</v>
      </c>
      <c r="N259" s="2">
        <v>0.82137769999999999</v>
      </c>
      <c r="O259" s="3" t="s">
        <v>7181</v>
      </c>
      <c r="P259" s="7">
        <v>0.56999999999999995</v>
      </c>
      <c r="Q259" s="1" t="s">
        <v>7182</v>
      </c>
      <c r="R259" s="2">
        <v>0.56999999999999995</v>
      </c>
      <c r="S259" s="2">
        <f>72689/100000</f>
        <v>0.72689000000000004</v>
      </c>
      <c r="T259" s="2">
        <v>0.82137769999999999</v>
      </c>
    </row>
    <row r="260" spans="1:20">
      <c r="A260" s="3" t="s">
        <v>2347</v>
      </c>
      <c r="B260" s="1" t="s">
        <v>2330</v>
      </c>
      <c r="C260" s="3" t="s">
        <v>2331</v>
      </c>
      <c r="D260" s="3" t="s">
        <v>2332</v>
      </c>
      <c r="E260" s="3" t="s">
        <v>2333</v>
      </c>
      <c r="F260" s="3" t="s">
        <v>2341</v>
      </c>
      <c r="G260" s="3" t="s">
        <v>2342</v>
      </c>
      <c r="H260" s="11" t="s">
        <v>8178</v>
      </c>
      <c r="I260" s="3" t="s">
        <v>7183</v>
      </c>
      <c r="J260" s="7">
        <v>0.72</v>
      </c>
      <c r="K260" s="1" t="s">
        <v>7184</v>
      </c>
      <c r="L260" s="2">
        <v>0.57699999999999996</v>
      </c>
      <c r="M260" s="2">
        <f>63679/100000</f>
        <v>0.63678999999999997</v>
      </c>
      <c r="N260" s="2">
        <v>0.79869500000000004</v>
      </c>
      <c r="O260" s="3" t="s">
        <v>7185</v>
      </c>
      <c r="P260" s="7">
        <v>1.1599999999999999</v>
      </c>
      <c r="Q260" s="1" t="s">
        <v>7186</v>
      </c>
      <c r="R260" s="2">
        <v>0.745</v>
      </c>
      <c r="S260" s="2">
        <f>80186/100000</f>
        <v>0.80186000000000002</v>
      </c>
      <c r="T260" s="2">
        <v>0.82929589999999997</v>
      </c>
    </row>
    <row r="261" spans="1:20">
      <c r="A261" s="3" t="s">
        <v>2352</v>
      </c>
      <c r="B261" s="1" t="s">
        <v>2353</v>
      </c>
      <c r="C261" s="3" t="s">
        <v>2354</v>
      </c>
      <c r="D261" s="3" t="s">
        <v>2355</v>
      </c>
      <c r="E261" s="3" t="s">
        <v>2356</v>
      </c>
      <c r="F261" s="3" t="s">
        <v>2357</v>
      </c>
      <c r="G261" s="3" t="s">
        <v>2358</v>
      </c>
      <c r="H261" s="11" t="s">
        <v>8179</v>
      </c>
      <c r="I261" s="3" t="s">
        <v>7187</v>
      </c>
      <c r="J261" s="7">
        <v>1.1100000000000001</v>
      </c>
      <c r="K261" s="1" t="s">
        <v>835</v>
      </c>
      <c r="L261" s="2">
        <v>0.71399999999999997</v>
      </c>
      <c r="M261" s="2">
        <f>76147/100000</f>
        <v>0.76146999999999998</v>
      </c>
      <c r="N261" s="2">
        <v>0.82929589999999997</v>
      </c>
      <c r="O261" s="3" t="s">
        <v>7188</v>
      </c>
      <c r="P261" s="7">
        <v>0.24</v>
      </c>
      <c r="Q261" s="1" t="s">
        <v>7189</v>
      </c>
      <c r="R261" s="2">
        <v>7.1399999999999996E-3</v>
      </c>
      <c r="S261" s="2">
        <f>666/100000</f>
        <v>6.6600000000000001E-3</v>
      </c>
      <c r="T261" s="2">
        <v>6.5515519999999994E-2</v>
      </c>
    </row>
    <row r="262" spans="1:20">
      <c r="A262" s="3" t="s">
        <v>2363</v>
      </c>
      <c r="B262" s="1" t="s">
        <v>2364</v>
      </c>
      <c r="C262" s="3" t="s">
        <v>2365</v>
      </c>
      <c r="D262" s="3" t="s">
        <v>2366</v>
      </c>
      <c r="E262" s="3" t="s">
        <v>2367</v>
      </c>
      <c r="F262" s="3" t="s">
        <v>2368</v>
      </c>
      <c r="G262" s="3" t="s">
        <v>2369</v>
      </c>
      <c r="H262" s="11" t="s">
        <v>8180</v>
      </c>
      <c r="I262" s="3" t="s">
        <v>7190</v>
      </c>
      <c r="J262" s="7">
        <v>1.18</v>
      </c>
      <c r="K262" s="1" t="s">
        <v>5363</v>
      </c>
      <c r="L262" s="2">
        <v>0.497</v>
      </c>
      <c r="M262" s="2">
        <f>51141/100000</f>
        <v>0.51141000000000003</v>
      </c>
      <c r="N262" s="2">
        <v>0.74123870000000003</v>
      </c>
      <c r="O262" s="3" t="s">
        <v>7191</v>
      </c>
      <c r="P262" s="7">
        <v>1.18</v>
      </c>
      <c r="Q262" s="1" t="s">
        <v>7192</v>
      </c>
      <c r="R262" s="2">
        <v>0.44600000000000001</v>
      </c>
      <c r="S262" s="2">
        <f>48565/100000</f>
        <v>0.48565000000000003</v>
      </c>
      <c r="T262" s="2">
        <v>0.73078460000000001</v>
      </c>
    </row>
    <row r="263" spans="1:20">
      <c r="A263" s="3" t="s">
        <v>2374</v>
      </c>
      <c r="B263" s="1" t="s">
        <v>2375</v>
      </c>
      <c r="C263" s="3" t="s">
        <v>2376</v>
      </c>
      <c r="D263" s="3" t="s">
        <v>2377</v>
      </c>
      <c r="E263" s="3" t="s">
        <v>2378</v>
      </c>
      <c r="F263" s="3" t="s">
        <v>2379</v>
      </c>
      <c r="G263" s="3" t="s">
        <v>2380</v>
      </c>
      <c r="H263" s="11" t="s">
        <v>8181</v>
      </c>
      <c r="I263" s="3" t="s">
        <v>7193</v>
      </c>
      <c r="J263" s="7">
        <v>1.02</v>
      </c>
      <c r="K263" s="1" t="s">
        <v>7194</v>
      </c>
      <c r="L263" s="2">
        <v>0.89700000000000002</v>
      </c>
      <c r="M263" s="2">
        <f>94546/100000</f>
        <v>0.94545999999999997</v>
      </c>
      <c r="N263" s="2">
        <v>0.82929589999999997</v>
      </c>
      <c r="O263" s="3" t="s">
        <v>7195</v>
      </c>
      <c r="P263" s="7">
        <v>1.01</v>
      </c>
      <c r="Q263" s="1" t="s">
        <v>7196</v>
      </c>
      <c r="R263" s="2">
        <v>0.95099999999999996</v>
      </c>
      <c r="S263" s="2">
        <f>100000/100000</f>
        <v>1</v>
      </c>
      <c r="T263" s="2">
        <v>0.82929589999999997</v>
      </c>
    </row>
    <row r="264" spans="1:20">
      <c r="A264" s="3" t="s">
        <v>2385</v>
      </c>
      <c r="B264" s="1" t="s">
        <v>2375</v>
      </c>
      <c r="C264" s="3" t="s">
        <v>2376</v>
      </c>
      <c r="D264" s="3" t="s">
        <v>2386</v>
      </c>
      <c r="E264" s="3" t="s">
        <v>2387</v>
      </c>
      <c r="F264" s="3" t="s">
        <v>2379</v>
      </c>
      <c r="G264" s="3" t="s">
        <v>2380</v>
      </c>
      <c r="H264" s="11" t="s">
        <v>8181</v>
      </c>
      <c r="I264" s="3" t="s">
        <v>7197</v>
      </c>
      <c r="J264" s="7">
        <v>0.77</v>
      </c>
      <c r="K264" s="1" t="s">
        <v>7198</v>
      </c>
      <c r="L264" s="2">
        <v>0.13300000000000001</v>
      </c>
      <c r="M264" s="2">
        <f>13399/100000</f>
        <v>0.13399</v>
      </c>
      <c r="N264" s="2">
        <v>0.40098479999999997</v>
      </c>
      <c r="O264" s="3" t="s">
        <v>7199</v>
      </c>
      <c r="P264" s="7">
        <v>1.04</v>
      </c>
      <c r="Q264" s="1" t="s">
        <v>7200</v>
      </c>
      <c r="R264" s="2">
        <v>0.84299999999999997</v>
      </c>
      <c r="S264" s="2">
        <f>85431/100000</f>
        <v>0.85431000000000001</v>
      </c>
      <c r="T264" s="2">
        <v>0.82929589999999997</v>
      </c>
    </row>
    <row r="265" spans="1:20">
      <c r="A265" s="3" t="s">
        <v>2392</v>
      </c>
      <c r="B265" s="1" t="s">
        <v>2393</v>
      </c>
      <c r="C265" s="3" t="s">
        <v>2394</v>
      </c>
      <c r="D265" s="3" t="s">
        <v>2395</v>
      </c>
      <c r="E265" s="3" t="s">
        <v>2396</v>
      </c>
      <c r="F265" s="3" t="s">
        <v>2397</v>
      </c>
      <c r="G265" s="3" t="s">
        <v>2398</v>
      </c>
      <c r="H265" s="11" t="s">
        <v>8182</v>
      </c>
      <c r="I265" s="3" t="s">
        <v>7201</v>
      </c>
      <c r="J265" s="7">
        <v>0.94</v>
      </c>
      <c r="K265" s="1" t="s">
        <v>7202</v>
      </c>
      <c r="L265" s="2">
        <v>0.79200000000000004</v>
      </c>
      <c r="M265" s="2">
        <f>82566/100000</f>
        <v>0.82565999999999995</v>
      </c>
      <c r="N265" s="2">
        <v>0.82929589999999997</v>
      </c>
      <c r="O265" s="3" t="s">
        <v>7203</v>
      </c>
      <c r="P265" s="7">
        <v>1.29</v>
      </c>
      <c r="Q265" s="1" t="s">
        <v>7204</v>
      </c>
      <c r="R265" s="2">
        <v>0.23400000000000001</v>
      </c>
      <c r="S265" s="2">
        <f>28311/100000</f>
        <v>0.28310999999999997</v>
      </c>
      <c r="T265" s="2">
        <v>0.57234689999999999</v>
      </c>
    </row>
    <row r="266" spans="1:20">
      <c r="A266" s="3" t="s">
        <v>2403</v>
      </c>
      <c r="B266" s="1" t="s">
        <v>2393</v>
      </c>
      <c r="C266" s="3" t="s">
        <v>2394</v>
      </c>
      <c r="D266" s="3" t="s">
        <v>2404</v>
      </c>
      <c r="E266" s="3" t="s">
        <v>2405</v>
      </c>
      <c r="F266" s="3" t="s">
        <v>2397</v>
      </c>
      <c r="G266" s="3" t="s">
        <v>2398</v>
      </c>
      <c r="H266" s="11" t="s">
        <v>8088</v>
      </c>
      <c r="I266" s="3" t="s">
        <v>7205</v>
      </c>
      <c r="J266" s="7">
        <v>1.42</v>
      </c>
      <c r="K266" s="1" t="s">
        <v>5382</v>
      </c>
      <c r="L266" s="2">
        <v>0.16200000000000001</v>
      </c>
      <c r="M266" s="2">
        <f>18185/100000</f>
        <v>0.18185000000000001</v>
      </c>
      <c r="N266" s="2">
        <v>0.47057909999999997</v>
      </c>
      <c r="O266" s="3" t="s">
        <v>7206</v>
      </c>
      <c r="P266" s="7">
        <v>1.85</v>
      </c>
      <c r="Q266" s="1" t="s">
        <v>7207</v>
      </c>
      <c r="R266" s="2">
        <v>3.81E-3</v>
      </c>
      <c r="S266" s="2">
        <f>572/100000</f>
        <v>5.7200000000000003E-3</v>
      </c>
      <c r="T266" s="2">
        <v>5.8278169999999997E-2</v>
      </c>
    </row>
    <row r="267" spans="1:20">
      <c r="A267" s="3" t="s">
        <v>2409</v>
      </c>
      <c r="B267" s="1" t="s">
        <v>2393</v>
      </c>
      <c r="C267" s="3" t="s">
        <v>2394</v>
      </c>
      <c r="D267" s="3" t="s">
        <v>2410</v>
      </c>
      <c r="E267" s="3" t="s">
        <v>2411</v>
      </c>
      <c r="F267" s="3" t="s">
        <v>2397</v>
      </c>
      <c r="G267" s="3" t="s">
        <v>2398</v>
      </c>
      <c r="H267" s="11" t="s">
        <v>8182</v>
      </c>
      <c r="I267" s="3" t="s">
        <v>7208</v>
      </c>
      <c r="J267" s="7">
        <v>1.49</v>
      </c>
      <c r="K267" s="1" t="s">
        <v>7209</v>
      </c>
      <c r="L267" s="2">
        <v>8.5099999999999995E-2</v>
      </c>
      <c r="M267" s="2">
        <f>9331/100000</f>
        <v>9.3310000000000004E-2</v>
      </c>
      <c r="N267" s="2">
        <v>0.34738940000000001</v>
      </c>
      <c r="O267" s="3" t="s">
        <v>7210</v>
      </c>
      <c r="P267" s="7">
        <v>1.1399999999999999</v>
      </c>
      <c r="Q267" s="1" t="s">
        <v>7211</v>
      </c>
      <c r="R267" s="2">
        <v>0.59599999999999997</v>
      </c>
      <c r="S267" s="2">
        <f>68621/100000</f>
        <v>0.68620999999999999</v>
      </c>
      <c r="T267" s="2">
        <v>0.81339530000000004</v>
      </c>
    </row>
    <row r="268" spans="1:20">
      <c r="A268" s="3" t="s">
        <v>2416</v>
      </c>
      <c r="B268" s="1" t="s">
        <v>2393</v>
      </c>
      <c r="C268" s="3" t="s">
        <v>2394</v>
      </c>
      <c r="D268" s="3" t="s">
        <v>2417</v>
      </c>
      <c r="E268" s="3" t="s">
        <v>2418</v>
      </c>
      <c r="F268" s="3" t="s">
        <v>2397</v>
      </c>
      <c r="G268" s="3" t="s">
        <v>2398</v>
      </c>
      <c r="H268" s="11" t="s">
        <v>8088</v>
      </c>
      <c r="I268" s="3" t="s">
        <v>7212</v>
      </c>
      <c r="J268" s="7">
        <v>0.87</v>
      </c>
      <c r="K268" s="1" t="s">
        <v>4959</v>
      </c>
      <c r="L268" s="2">
        <v>0.65500000000000003</v>
      </c>
      <c r="M268" s="2">
        <f>67094/100000</f>
        <v>0.67093999999999998</v>
      </c>
      <c r="N268" s="2">
        <v>0.80511429999999995</v>
      </c>
      <c r="O268" s="3" t="s">
        <v>7213</v>
      </c>
      <c r="P268" s="7">
        <v>1.8</v>
      </c>
      <c r="Q268" s="1" t="s">
        <v>7214</v>
      </c>
      <c r="R268" s="2">
        <v>7.9299999999999995E-3</v>
      </c>
      <c r="S268" s="2">
        <f>1064/100000</f>
        <v>1.064E-2</v>
      </c>
      <c r="T268" s="2">
        <v>8.9820129999999998E-2</v>
      </c>
    </row>
    <row r="269" spans="1:20">
      <c r="A269" s="3" t="s">
        <v>2423</v>
      </c>
      <c r="B269" s="1" t="s">
        <v>2424</v>
      </c>
      <c r="C269" s="3" t="s">
        <v>2425</v>
      </c>
      <c r="D269" s="3" t="s">
        <v>2417</v>
      </c>
      <c r="E269" s="3" t="s">
        <v>2418</v>
      </c>
      <c r="F269" s="3" t="s">
        <v>2397</v>
      </c>
      <c r="G269" s="3" t="s">
        <v>2398</v>
      </c>
      <c r="H269" s="11" t="s">
        <v>8088</v>
      </c>
      <c r="I269" s="3" t="s">
        <v>7212</v>
      </c>
      <c r="J269" s="7">
        <v>0.87</v>
      </c>
      <c r="K269" s="1" t="s">
        <v>4959</v>
      </c>
      <c r="L269" s="2">
        <v>0.65500000000000003</v>
      </c>
      <c r="M269" s="2">
        <f>67094/100000</f>
        <v>0.67093999999999998</v>
      </c>
      <c r="N269" s="2">
        <v>0.80511429999999995</v>
      </c>
      <c r="O269" s="3" t="s">
        <v>7213</v>
      </c>
      <c r="P269" s="7">
        <v>1.8</v>
      </c>
      <c r="Q269" s="1" t="s">
        <v>7214</v>
      </c>
      <c r="R269" s="2">
        <v>7.9299999999999995E-3</v>
      </c>
      <c r="S269" s="2">
        <f>1064/100000</f>
        <v>1.064E-2</v>
      </c>
      <c r="T269" s="2">
        <v>8.9820129999999998E-2</v>
      </c>
    </row>
    <row r="270" spans="1:20">
      <c r="A270" s="3" t="s">
        <v>2426</v>
      </c>
      <c r="B270" s="1" t="s">
        <v>2424</v>
      </c>
      <c r="C270" s="3" t="s">
        <v>2425</v>
      </c>
      <c r="D270" s="3" t="s">
        <v>2410</v>
      </c>
      <c r="E270" s="3" t="s">
        <v>2411</v>
      </c>
      <c r="F270" s="3" t="s">
        <v>2397</v>
      </c>
      <c r="G270" s="3" t="s">
        <v>2398</v>
      </c>
      <c r="H270" s="11" t="s">
        <v>8182</v>
      </c>
      <c r="I270" s="3" t="s">
        <v>7208</v>
      </c>
      <c r="J270" s="7">
        <v>1.49</v>
      </c>
      <c r="K270" s="1" t="s">
        <v>7209</v>
      </c>
      <c r="L270" s="2">
        <v>8.5099999999999995E-2</v>
      </c>
      <c r="M270" s="2">
        <f>9331/100000</f>
        <v>9.3310000000000004E-2</v>
      </c>
      <c r="N270" s="2">
        <v>0.34738940000000001</v>
      </c>
      <c r="O270" s="3" t="s">
        <v>7210</v>
      </c>
      <c r="P270" s="7">
        <v>1.1399999999999999</v>
      </c>
      <c r="Q270" s="1" t="s">
        <v>7211</v>
      </c>
      <c r="R270" s="2">
        <v>0.59599999999999997</v>
      </c>
      <c r="S270" s="2">
        <f>68621/100000</f>
        <v>0.68620999999999999</v>
      </c>
      <c r="T270" s="2">
        <v>0.81339530000000004</v>
      </c>
    </row>
    <row r="271" spans="1:20">
      <c r="A271" s="3" t="s">
        <v>2427</v>
      </c>
      <c r="B271" s="1" t="s">
        <v>2424</v>
      </c>
      <c r="C271" s="3" t="s">
        <v>2425</v>
      </c>
      <c r="D271" s="3" t="s">
        <v>2404</v>
      </c>
      <c r="E271" s="3" t="s">
        <v>2405</v>
      </c>
      <c r="F271" s="3" t="s">
        <v>2397</v>
      </c>
      <c r="G271" s="3" t="s">
        <v>2398</v>
      </c>
      <c r="H271" s="11" t="s">
        <v>8088</v>
      </c>
      <c r="I271" s="3" t="s">
        <v>7205</v>
      </c>
      <c r="J271" s="7">
        <v>1.42</v>
      </c>
      <c r="K271" s="1" t="s">
        <v>5382</v>
      </c>
      <c r="L271" s="2">
        <v>0.16200000000000001</v>
      </c>
      <c r="M271" s="2">
        <f>18185/100000</f>
        <v>0.18185000000000001</v>
      </c>
      <c r="N271" s="2">
        <v>0.47057909999999997</v>
      </c>
      <c r="O271" s="3" t="s">
        <v>7206</v>
      </c>
      <c r="P271" s="7">
        <v>1.85</v>
      </c>
      <c r="Q271" s="1" t="s">
        <v>7207</v>
      </c>
      <c r="R271" s="2">
        <v>3.81E-3</v>
      </c>
      <c r="S271" s="2">
        <f>572/100000</f>
        <v>5.7200000000000003E-3</v>
      </c>
      <c r="T271" s="2">
        <v>5.8278169999999997E-2</v>
      </c>
    </row>
    <row r="272" spans="1:20">
      <c r="A272" s="3" t="s">
        <v>2428</v>
      </c>
      <c r="B272" s="1" t="s">
        <v>2424</v>
      </c>
      <c r="C272" s="3" t="s">
        <v>2425</v>
      </c>
      <c r="D272" s="3" t="s">
        <v>2395</v>
      </c>
      <c r="E272" s="3" t="s">
        <v>2396</v>
      </c>
      <c r="F272" s="3" t="s">
        <v>2397</v>
      </c>
      <c r="G272" s="3" t="s">
        <v>2398</v>
      </c>
      <c r="H272" s="11" t="s">
        <v>8182</v>
      </c>
      <c r="I272" s="3" t="s">
        <v>7201</v>
      </c>
      <c r="J272" s="7">
        <v>0.94</v>
      </c>
      <c r="K272" s="1" t="s">
        <v>7202</v>
      </c>
      <c r="L272" s="2">
        <v>0.79200000000000004</v>
      </c>
      <c r="M272" s="2">
        <f>82566/100000</f>
        <v>0.82565999999999995</v>
      </c>
      <c r="N272" s="2">
        <v>0.82929589999999997</v>
      </c>
      <c r="O272" s="3" t="s">
        <v>7203</v>
      </c>
      <c r="P272" s="7">
        <v>1.29</v>
      </c>
      <c r="Q272" s="1" t="s">
        <v>7204</v>
      </c>
      <c r="R272" s="2">
        <v>0.23400000000000001</v>
      </c>
      <c r="S272" s="2">
        <f>28311/100000</f>
        <v>0.28310999999999997</v>
      </c>
      <c r="T272" s="2">
        <v>0.57234689999999999</v>
      </c>
    </row>
    <row r="273" spans="1:20">
      <c r="A273" s="3" t="s">
        <v>2429</v>
      </c>
      <c r="B273" s="1" t="s">
        <v>2430</v>
      </c>
      <c r="C273" s="3" t="s">
        <v>2431</v>
      </c>
      <c r="D273" s="3" t="s">
        <v>2432</v>
      </c>
      <c r="E273" s="3" t="s">
        <v>2433</v>
      </c>
      <c r="F273" s="3" t="s">
        <v>2434</v>
      </c>
      <c r="G273" s="3" t="s">
        <v>2034</v>
      </c>
      <c r="H273" s="11" t="s">
        <v>8161</v>
      </c>
      <c r="I273" s="3" t="s">
        <v>7215</v>
      </c>
      <c r="J273" s="7">
        <v>1.1299999999999999</v>
      </c>
      <c r="K273" s="1" t="s">
        <v>7216</v>
      </c>
      <c r="L273" s="2">
        <v>0.65700000000000003</v>
      </c>
      <c r="M273" s="2">
        <f>66278/100000</f>
        <v>0.66278000000000004</v>
      </c>
      <c r="N273" s="2">
        <v>0.80511429999999995</v>
      </c>
      <c r="O273" s="3" t="s">
        <v>7217</v>
      </c>
      <c r="P273" s="7">
        <v>0.98</v>
      </c>
      <c r="Q273" s="1" t="s">
        <v>3752</v>
      </c>
      <c r="R273" s="2">
        <v>0.96199999999999997</v>
      </c>
      <c r="S273" s="2">
        <f>100000/100000</f>
        <v>1</v>
      </c>
      <c r="T273" s="2">
        <v>0.82929589999999997</v>
      </c>
    </row>
    <row r="274" spans="1:20">
      <c r="A274" s="3" t="s">
        <v>2439</v>
      </c>
      <c r="B274" s="1" t="s">
        <v>2440</v>
      </c>
      <c r="C274" s="3" t="s">
        <v>2441</v>
      </c>
      <c r="D274" s="3" t="s">
        <v>2442</v>
      </c>
      <c r="E274" s="3" t="s">
        <v>2443</v>
      </c>
      <c r="F274" s="3" t="s">
        <v>2444</v>
      </c>
      <c r="G274" s="3" t="s">
        <v>2445</v>
      </c>
      <c r="H274" s="11" t="s">
        <v>8183</v>
      </c>
      <c r="I274" s="3" t="s">
        <v>7218</v>
      </c>
      <c r="J274" s="7">
        <v>0.67</v>
      </c>
      <c r="K274" s="1" t="s">
        <v>7219</v>
      </c>
      <c r="L274" s="2">
        <v>0.42799999999999999</v>
      </c>
      <c r="M274" s="2">
        <f>52903/100000</f>
        <v>0.52903</v>
      </c>
      <c r="N274" s="2">
        <v>0.74478149999999999</v>
      </c>
      <c r="O274" s="3" t="s">
        <v>7220</v>
      </c>
      <c r="P274" s="7">
        <v>0.87</v>
      </c>
      <c r="Q274" s="1" t="s">
        <v>7221</v>
      </c>
      <c r="R274" s="2">
        <v>0.78800000000000003</v>
      </c>
      <c r="S274" s="2">
        <f>82333/100000</f>
        <v>0.82333000000000001</v>
      </c>
      <c r="T274" s="2">
        <v>0.82929589999999997</v>
      </c>
    </row>
    <row r="275" spans="1:20">
      <c r="A275" s="3" t="s">
        <v>2449</v>
      </c>
      <c r="B275" s="1" t="s">
        <v>2440</v>
      </c>
      <c r="C275" s="3" t="s">
        <v>2441</v>
      </c>
      <c r="D275" s="3" t="s">
        <v>2450</v>
      </c>
      <c r="E275" s="3" t="s">
        <v>2451</v>
      </c>
      <c r="F275" s="3" t="s">
        <v>2444</v>
      </c>
      <c r="G275" s="3" t="s">
        <v>2445</v>
      </c>
      <c r="H275" s="11" t="s">
        <v>8184</v>
      </c>
      <c r="I275" s="3" t="s">
        <v>7222</v>
      </c>
      <c r="J275" s="7">
        <v>1.1499999999999999</v>
      </c>
      <c r="K275" s="1" t="s">
        <v>7223</v>
      </c>
      <c r="L275" s="2">
        <v>0.622</v>
      </c>
      <c r="M275" s="2">
        <f>64688/100000</f>
        <v>0.64688000000000001</v>
      </c>
      <c r="N275" s="2">
        <v>0.80017939999999999</v>
      </c>
      <c r="O275" s="3" t="s">
        <v>7224</v>
      </c>
      <c r="P275" s="7">
        <v>1.51</v>
      </c>
      <c r="Q275" s="1" t="s">
        <v>7225</v>
      </c>
      <c r="R275" s="2">
        <v>0.124</v>
      </c>
      <c r="S275" s="2">
        <f>14463/100000</f>
        <v>0.14463000000000001</v>
      </c>
      <c r="T275" s="2">
        <v>0.41642899999999999</v>
      </c>
    </row>
    <row r="276" spans="1:20">
      <c r="A276" s="3" t="s">
        <v>2456</v>
      </c>
      <c r="B276" s="1" t="s">
        <v>2457</v>
      </c>
      <c r="C276" s="3" t="s">
        <v>2458</v>
      </c>
      <c r="D276" s="3" t="s">
        <v>2432</v>
      </c>
      <c r="E276" s="3" t="s">
        <v>2433</v>
      </c>
      <c r="F276" s="3" t="s">
        <v>2434</v>
      </c>
      <c r="G276" s="3" t="s">
        <v>2034</v>
      </c>
      <c r="H276" s="11" t="s">
        <v>8161</v>
      </c>
      <c r="I276" s="3" t="s">
        <v>7215</v>
      </c>
      <c r="J276" s="7">
        <v>1.1299999999999999</v>
      </c>
      <c r="K276" s="1" t="s">
        <v>7216</v>
      </c>
      <c r="L276" s="2">
        <v>0.65700000000000003</v>
      </c>
      <c r="M276" s="2">
        <f>66278/100000</f>
        <v>0.66278000000000004</v>
      </c>
      <c r="N276" s="2">
        <v>0.80511429999999995</v>
      </c>
      <c r="O276" s="3" t="s">
        <v>7217</v>
      </c>
      <c r="P276" s="7">
        <v>0.98</v>
      </c>
      <c r="Q276" s="1" t="s">
        <v>3752</v>
      </c>
      <c r="R276" s="2">
        <v>0.96199999999999997</v>
      </c>
      <c r="S276" s="2">
        <f>100000/100000</f>
        <v>1</v>
      </c>
      <c r="T276" s="2">
        <v>0.82929589999999997</v>
      </c>
    </row>
    <row r="277" spans="1:20">
      <c r="A277" s="3" t="s">
        <v>2459</v>
      </c>
      <c r="B277" s="1" t="s">
        <v>2460</v>
      </c>
      <c r="C277" s="3" t="s">
        <v>2461</v>
      </c>
      <c r="D277" s="3" t="s">
        <v>2462</v>
      </c>
      <c r="E277" s="3" t="s">
        <v>2463</v>
      </c>
      <c r="F277" s="3" t="s">
        <v>2464</v>
      </c>
      <c r="G277" s="3" t="s">
        <v>2465</v>
      </c>
      <c r="H277" s="11" t="s">
        <v>8185</v>
      </c>
      <c r="I277" s="3" t="s">
        <v>7226</v>
      </c>
      <c r="J277" s="7">
        <v>0.53</v>
      </c>
      <c r="K277" s="1" t="s">
        <v>7227</v>
      </c>
      <c r="L277" s="2">
        <v>0.374</v>
      </c>
      <c r="M277" s="2">
        <f>44748/100000</f>
        <v>0.44747999999999999</v>
      </c>
      <c r="N277" s="2">
        <v>0.69724940000000002</v>
      </c>
      <c r="O277" s="3" t="s">
        <v>7228</v>
      </c>
      <c r="P277" s="7">
        <v>2.11</v>
      </c>
      <c r="Q277" s="1" t="s">
        <v>7229</v>
      </c>
      <c r="R277" s="2">
        <v>7.3700000000000002E-2</v>
      </c>
      <c r="S277" s="2">
        <f>7748/100000</f>
        <v>7.7479999999999993E-2</v>
      </c>
      <c r="T277" s="2">
        <v>0.31335629999999998</v>
      </c>
    </row>
    <row r="278" spans="1:20">
      <c r="A278" s="3" t="s">
        <v>2470</v>
      </c>
      <c r="B278" s="1" t="s">
        <v>2460</v>
      </c>
      <c r="C278" s="3" t="s">
        <v>2461</v>
      </c>
      <c r="D278" s="3" t="s">
        <v>2471</v>
      </c>
      <c r="E278" s="3" t="s">
        <v>2472</v>
      </c>
      <c r="F278" s="3" t="s">
        <v>2473</v>
      </c>
      <c r="G278" s="3" t="s">
        <v>2474</v>
      </c>
      <c r="H278" s="11" t="s">
        <v>8185</v>
      </c>
      <c r="I278" s="3" t="s">
        <v>7230</v>
      </c>
      <c r="J278" s="7">
        <v>1.05</v>
      </c>
      <c r="K278" s="1" t="s">
        <v>7231</v>
      </c>
      <c r="L278" s="2">
        <v>0.94699999999999995</v>
      </c>
      <c r="M278" s="2">
        <f>100000/100000</f>
        <v>1</v>
      </c>
      <c r="N278" s="2">
        <v>0.82929589999999997</v>
      </c>
      <c r="O278" s="3" t="s">
        <v>7232</v>
      </c>
      <c r="P278" s="7">
        <v>1.63</v>
      </c>
      <c r="Q278" s="1" t="s">
        <v>7233</v>
      </c>
      <c r="R278" s="2">
        <v>0.501</v>
      </c>
      <c r="S278" s="2">
        <f>63644/100000</f>
        <v>0.63644000000000001</v>
      </c>
      <c r="T278" s="2">
        <v>0.79869500000000004</v>
      </c>
    </row>
    <row r="279" spans="1:20">
      <c r="A279" s="3" t="s">
        <v>2479</v>
      </c>
      <c r="B279" s="1" t="s">
        <v>2480</v>
      </c>
      <c r="C279" s="3" t="s">
        <v>2481</v>
      </c>
      <c r="D279" s="3" t="s">
        <v>2482</v>
      </c>
      <c r="E279" s="3" t="s">
        <v>2483</v>
      </c>
      <c r="F279" s="3" t="s">
        <v>2484</v>
      </c>
      <c r="G279" s="3" t="s">
        <v>2485</v>
      </c>
      <c r="H279" s="11" t="s">
        <v>8186</v>
      </c>
      <c r="I279" s="3" t="s">
        <v>7234</v>
      </c>
      <c r="J279" s="7">
        <v>1.88</v>
      </c>
      <c r="K279" s="1" t="s">
        <v>7235</v>
      </c>
      <c r="L279" s="2">
        <v>1.7899999999999999E-2</v>
      </c>
      <c r="M279" s="2">
        <f>2243/100000</f>
        <v>2.2429999999999999E-2</v>
      </c>
      <c r="N279" s="2">
        <v>0.14822679999999999</v>
      </c>
      <c r="O279" s="3" t="s">
        <v>7236</v>
      </c>
      <c r="P279" s="7">
        <v>1.02</v>
      </c>
      <c r="Q279" s="1" t="s">
        <v>7237</v>
      </c>
      <c r="R279" s="2">
        <v>0.95399999999999996</v>
      </c>
      <c r="S279" s="2">
        <f>100000/100000</f>
        <v>1</v>
      </c>
      <c r="T279" s="2">
        <v>0.82929589999999997</v>
      </c>
    </row>
    <row r="280" spans="1:20">
      <c r="A280" s="3" t="s">
        <v>2490</v>
      </c>
      <c r="B280" s="1" t="s">
        <v>2491</v>
      </c>
      <c r="C280" s="3" t="s">
        <v>2492</v>
      </c>
      <c r="D280" s="3" t="s">
        <v>2493</v>
      </c>
      <c r="E280" s="3" t="s">
        <v>2494</v>
      </c>
      <c r="F280" s="3" t="s">
        <v>2495</v>
      </c>
      <c r="G280" s="3" t="s">
        <v>2496</v>
      </c>
      <c r="H280" s="11" t="s">
        <v>8187</v>
      </c>
      <c r="I280" s="3" t="s">
        <v>7238</v>
      </c>
      <c r="J280" s="7">
        <v>0.92</v>
      </c>
      <c r="K280" s="1" t="s">
        <v>7239</v>
      </c>
      <c r="L280" s="2">
        <v>0.80200000000000005</v>
      </c>
      <c r="M280" s="2">
        <f>87275/100000</f>
        <v>0.87275000000000003</v>
      </c>
      <c r="N280" s="2">
        <v>0.82929589999999997</v>
      </c>
      <c r="O280" s="3" t="s">
        <v>7240</v>
      </c>
      <c r="P280" s="7">
        <v>1</v>
      </c>
      <c r="Q280" s="1" t="s">
        <v>7241</v>
      </c>
      <c r="R280" s="2">
        <v>0.99299999999999999</v>
      </c>
      <c r="S280" s="2">
        <f>100000/100000</f>
        <v>1</v>
      </c>
      <c r="T280" s="2">
        <v>0.82929589999999997</v>
      </c>
    </row>
    <row r="281" spans="1:20">
      <c r="A281" s="3" t="s">
        <v>2501</v>
      </c>
      <c r="B281" s="1" t="s">
        <v>2502</v>
      </c>
      <c r="C281" s="3" t="s">
        <v>2503</v>
      </c>
      <c r="D281" s="3" t="s">
        <v>2504</v>
      </c>
      <c r="E281" s="3" t="s">
        <v>2505</v>
      </c>
      <c r="F281" s="3" t="s">
        <v>2506</v>
      </c>
      <c r="G281" s="3" t="s">
        <v>2507</v>
      </c>
      <c r="H281" s="11" t="s">
        <v>8092</v>
      </c>
      <c r="I281" s="3" t="s">
        <v>7242</v>
      </c>
      <c r="J281" s="7">
        <v>1.4</v>
      </c>
      <c r="K281" s="1" t="s">
        <v>7243</v>
      </c>
      <c r="L281" s="2">
        <v>2.1299999999999999E-2</v>
      </c>
      <c r="M281" s="2">
        <f>2336/100000</f>
        <v>2.3359999999999999E-2</v>
      </c>
      <c r="N281" s="2">
        <v>0.15248600000000001</v>
      </c>
      <c r="O281" s="3" t="s">
        <v>7244</v>
      </c>
      <c r="P281" s="7">
        <v>0.98</v>
      </c>
      <c r="Q281" s="1" t="s">
        <v>7245</v>
      </c>
      <c r="R281" s="2">
        <v>0.876</v>
      </c>
      <c r="S281" s="2">
        <f>93907/100000</f>
        <v>0.93906999999999996</v>
      </c>
      <c r="T281" s="2">
        <v>0.82929589999999997</v>
      </c>
    </row>
    <row r="282" spans="1:20">
      <c r="A282" s="3" t="s">
        <v>2512</v>
      </c>
      <c r="B282" s="1" t="s">
        <v>2502</v>
      </c>
      <c r="C282" s="3" t="s">
        <v>2503</v>
      </c>
      <c r="D282" s="3" t="s">
        <v>2513</v>
      </c>
      <c r="E282" s="3" t="s">
        <v>2514</v>
      </c>
      <c r="F282" s="3" t="s">
        <v>2515</v>
      </c>
      <c r="G282" s="3" t="s">
        <v>2516</v>
      </c>
      <c r="H282" s="11" t="s">
        <v>8092</v>
      </c>
      <c r="I282" s="3" t="s">
        <v>7246</v>
      </c>
      <c r="J282" s="7">
        <v>1.74</v>
      </c>
      <c r="K282" s="1" t="s">
        <v>7247</v>
      </c>
      <c r="L282" s="2">
        <v>1.9E-6</v>
      </c>
      <c r="M282" s="2">
        <f>1/100000</f>
        <v>1.0000000000000001E-5</v>
      </c>
      <c r="N282" s="2">
        <v>3.517123E-4</v>
      </c>
      <c r="O282" s="3" t="s">
        <v>7248</v>
      </c>
      <c r="P282" s="7">
        <v>0.68</v>
      </c>
      <c r="Q282" s="1" t="s">
        <v>7249</v>
      </c>
      <c r="R282" s="2">
        <v>1.2E-2</v>
      </c>
      <c r="S282" s="2">
        <f>1334/100000</f>
        <v>1.3339999999999999E-2</v>
      </c>
      <c r="T282" s="2">
        <v>0.10410899999999999</v>
      </c>
    </row>
    <row r="283" spans="1:20">
      <c r="A283" s="3" t="s">
        <v>2521</v>
      </c>
      <c r="B283" s="1" t="s">
        <v>2522</v>
      </c>
      <c r="C283" s="3" t="s">
        <v>2523</v>
      </c>
      <c r="D283" s="3" t="s">
        <v>2524</v>
      </c>
      <c r="E283" s="3" t="s">
        <v>2525</v>
      </c>
      <c r="F283" s="3" t="s">
        <v>2526</v>
      </c>
      <c r="G283" s="3" t="s">
        <v>2527</v>
      </c>
      <c r="H283" s="11" t="s">
        <v>8188</v>
      </c>
      <c r="I283" s="3" t="s">
        <v>7250</v>
      </c>
      <c r="J283" s="7">
        <v>1.88</v>
      </c>
      <c r="K283" s="1" t="s">
        <v>7235</v>
      </c>
      <c r="L283" s="2">
        <v>1.67E-2</v>
      </c>
      <c r="M283" s="2">
        <f>2139/100000</f>
        <v>2.1389999999999999E-2</v>
      </c>
      <c r="N283" s="2">
        <v>0.14488519999999999</v>
      </c>
      <c r="O283" s="3" t="s">
        <v>7251</v>
      </c>
      <c r="P283" s="7">
        <v>1.26</v>
      </c>
      <c r="Q283" s="1" t="s">
        <v>7252</v>
      </c>
      <c r="R283" s="2">
        <v>0.501</v>
      </c>
      <c r="S283" s="2">
        <f>56713/100000</f>
        <v>0.56713000000000002</v>
      </c>
      <c r="T283" s="2">
        <v>0.76153519999999997</v>
      </c>
    </row>
    <row r="284" spans="1:20">
      <c r="A284" s="3" t="s">
        <v>2532</v>
      </c>
      <c r="B284" s="1" t="s">
        <v>2522</v>
      </c>
      <c r="C284" s="3" t="s">
        <v>2523</v>
      </c>
      <c r="D284" s="3" t="s">
        <v>2533</v>
      </c>
      <c r="E284" s="3" t="s">
        <v>2534</v>
      </c>
      <c r="F284" s="3" t="s">
        <v>2535</v>
      </c>
      <c r="G284" s="3" t="s">
        <v>2536</v>
      </c>
      <c r="H284" s="11" t="s">
        <v>8188</v>
      </c>
      <c r="I284" s="3" t="s">
        <v>7253</v>
      </c>
      <c r="J284" s="7">
        <v>2.2599999999999998</v>
      </c>
      <c r="K284" s="1" t="s">
        <v>7254</v>
      </c>
      <c r="L284" s="2">
        <v>1.3699999999999999E-3</v>
      </c>
      <c r="M284" s="2">
        <f>377/100000</f>
        <v>3.7699999999999999E-3</v>
      </c>
      <c r="N284" s="2">
        <v>4.3997609999999999E-2</v>
      </c>
      <c r="O284" s="3" t="s">
        <v>7255</v>
      </c>
      <c r="P284" s="7">
        <v>0.43</v>
      </c>
      <c r="Q284" s="1" t="s">
        <v>7256</v>
      </c>
      <c r="R284" s="2">
        <v>0.13100000000000001</v>
      </c>
      <c r="S284" s="2">
        <f>17039/100000</f>
        <v>0.17039000000000001</v>
      </c>
      <c r="T284" s="2">
        <v>0.4546615</v>
      </c>
    </row>
    <row r="285" spans="1:20">
      <c r="A285" s="3" t="s">
        <v>2541</v>
      </c>
      <c r="B285" s="1" t="s">
        <v>2522</v>
      </c>
      <c r="C285" s="3" t="s">
        <v>2523</v>
      </c>
      <c r="D285" s="3" t="s">
        <v>2542</v>
      </c>
      <c r="E285" s="3" t="s">
        <v>2543</v>
      </c>
      <c r="F285" s="3" t="s">
        <v>2544</v>
      </c>
      <c r="G285" s="3" t="s">
        <v>2545</v>
      </c>
      <c r="H285" s="11" t="s">
        <v>8188</v>
      </c>
      <c r="I285" s="3" t="s">
        <v>7257</v>
      </c>
      <c r="J285" s="7">
        <v>1.1499999999999999</v>
      </c>
      <c r="K285" s="1" t="s">
        <v>6872</v>
      </c>
      <c r="L285" s="2">
        <v>0.63200000000000001</v>
      </c>
      <c r="M285" s="2">
        <f>63026/100000</f>
        <v>0.63026000000000004</v>
      </c>
      <c r="N285" s="2">
        <v>0.79869500000000004</v>
      </c>
      <c r="O285" s="3" t="s">
        <v>7258</v>
      </c>
      <c r="P285" s="7">
        <v>1.57</v>
      </c>
      <c r="Q285" s="1" t="s">
        <v>1951</v>
      </c>
      <c r="R285" s="2">
        <v>7.7100000000000002E-2</v>
      </c>
      <c r="S285" s="2">
        <f>8008/100000</f>
        <v>8.0079999999999998E-2</v>
      </c>
      <c r="T285" s="2">
        <v>0.31914900000000002</v>
      </c>
    </row>
    <row r="286" spans="1:20">
      <c r="A286" s="3" t="s">
        <v>2550</v>
      </c>
      <c r="B286" s="1" t="s">
        <v>2551</v>
      </c>
      <c r="C286" s="3" t="s">
        <v>2552</v>
      </c>
      <c r="D286" s="3" t="s">
        <v>2553</v>
      </c>
      <c r="E286" s="3" t="s">
        <v>2554</v>
      </c>
      <c r="F286" s="3" t="s">
        <v>2555</v>
      </c>
      <c r="G286" s="3" t="s">
        <v>2045</v>
      </c>
      <c r="H286" s="11" t="s">
        <v>8189</v>
      </c>
      <c r="I286" s="3" t="s">
        <v>7259</v>
      </c>
      <c r="J286" s="7">
        <v>1.31</v>
      </c>
      <c r="K286" s="1" t="s">
        <v>7260</v>
      </c>
      <c r="L286" s="2">
        <v>8.9300000000000004E-2</v>
      </c>
      <c r="M286" s="2">
        <f>9327/100000</f>
        <v>9.3270000000000006E-2</v>
      </c>
      <c r="N286" s="2">
        <v>0.34738940000000001</v>
      </c>
      <c r="O286" s="3" t="s">
        <v>7261</v>
      </c>
      <c r="P286" s="7">
        <v>1.1200000000000001</v>
      </c>
      <c r="Q286" s="1" t="s">
        <v>7262</v>
      </c>
      <c r="R286" s="2">
        <v>0.47</v>
      </c>
      <c r="S286" s="2">
        <f>47710/100000</f>
        <v>0.47710000000000002</v>
      </c>
      <c r="T286" s="2">
        <v>0.72596179999999999</v>
      </c>
    </row>
    <row r="287" spans="1:20">
      <c r="A287" s="3" t="s">
        <v>2560</v>
      </c>
      <c r="B287" s="1" t="s">
        <v>2561</v>
      </c>
      <c r="C287" s="3" t="s">
        <v>2562</v>
      </c>
      <c r="D287" s="3" t="s">
        <v>1663</v>
      </c>
      <c r="E287" s="3" t="s">
        <v>1664</v>
      </c>
      <c r="F287" s="3" t="s">
        <v>1665</v>
      </c>
      <c r="G287" s="3" t="s">
        <v>1666</v>
      </c>
      <c r="H287" s="11" t="s">
        <v>8144</v>
      </c>
      <c r="I287" s="3" t="s">
        <v>6915</v>
      </c>
      <c r="J287" s="7">
        <v>0.76</v>
      </c>
      <c r="K287" s="1" t="s">
        <v>6916</v>
      </c>
      <c r="L287" s="2">
        <v>0.47099999999999997</v>
      </c>
      <c r="M287" s="2">
        <f>51147/100000</f>
        <v>0.51146999999999998</v>
      </c>
      <c r="N287" s="2">
        <v>0.74123870000000003</v>
      </c>
      <c r="O287" s="3" t="s">
        <v>6917</v>
      </c>
      <c r="P287" s="7">
        <v>1.0900000000000001</v>
      </c>
      <c r="Q287" s="1" t="s">
        <v>6918</v>
      </c>
      <c r="R287" s="2">
        <v>0.79400000000000004</v>
      </c>
      <c r="S287" s="2">
        <f>86703/100000</f>
        <v>0.86702999999999997</v>
      </c>
      <c r="T287" s="2">
        <v>0.82929589999999997</v>
      </c>
    </row>
    <row r="288" spans="1:20">
      <c r="A288" s="3" t="s">
        <v>2563</v>
      </c>
      <c r="B288" s="1" t="s">
        <v>2561</v>
      </c>
      <c r="C288" s="3" t="s">
        <v>2562</v>
      </c>
      <c r="D288" s="3" t="s">
        <v>1672</v>
      </c>
      <c r="E288" s="3" t="s">
        <v>1673</v>
      </c>
      <c r="F288" s="3" t="s">
        <v>1665</v>
      </c>
      <c r="G288" s="3" t="s">
        <v>1666</v>
      </c>
      <c r="H288" s="11" t="s">
        <v>8144</v>
      </c>
      <c r="I288" s="3" t="s">
        <v>6919</v>
      </c>
      <c r="J288" s="7">
        <v>0.72</v>
      </c>
      <c r="K288" s="1" t="s">
        <v>6920</v>
      </c>
      <c r="L288" s="2">
        <v>0.435</v>
      </c>
      <c r="M288" s="2">
        <f>48336/100000</f>
        <v>0.48336000000000001</v>
      </c>
      <c r="N288" s="2">
        <v>0.73033130000000002</v>
      </c>
      <c r="O288" s="3" t="s">
        <v>6921</v>
      </c>
      <c r="P288" s="7">
        <v>1.38</v>
      </c>
      <c r="Q288" s="1" t="s">
        <v>6922</v>
      </c>
      <c r="R288" s="2">
        <v>0.25700000000000001</v>
      </c>
      <c r="S288" s="2">
        <f>31709/100000</f>
        <v>0.31708999999999998</v>
      </c>
      <c r="T288" s="2">
        <v>0.6024408</v>
      </c>
    </row>
    <row r="289" spans="1:20">
      <c r="A289" s="3" t="s">
        <v>2564</v>
      </c>
      <c r="B289" s="1" t="s">
        <v>2561</v>
      </c>
      <c r="C289" s="3" t="s">
        <v>2562</v>
      </c>
      <c r="D289" s="3" t="s">
        <v>1679</v>
      </c>
      <c r="E289" s="3" t="s">
        <v>1680</v>
      </c>
      <c r="F289" s="3" t="s">
        <v>1681</v>
      </c>
      <c r="G289" s="3" t="s">
        <v>1682</v>
      </c>
      <c r="H289" s="11" t="s">
        <v>8144</v>
      </c>
      <c r="I289" s="3" t="s">
        <v>6923</v>
      </c>
      <c r="J289" s="7">
        <v>1.32</v>
      </c>
      <c r="K289" s="1" t="s">
        <v>6924</v>
      </c>
      <c r="L289" s="2">
        <v>0.32800000000000001</v>
      </c>
      <c r="M289" s="2">
        <f>32981/100000</f>
        <v>0.32980999999999999</v>
      </c>
      <c r="N289" s="2">
        <v>0.61526179999999997</v>
      </c>
      <c r="O289" s="3" t="s">
        <v>6919</v>
      </c>
      <c r="P289" s="7">
        <v>0.72</v>
      </c>
      <c r="Q289" s="1" t="s">
        <v>6920</v>
      </c>
      <c r="R289" s="2">
        <v>0.435</v>
      </c>
      <c r="S289" s="2">
        <f>48564/100000</f>
        <v>0.48564000000000002</v>
      </c>
      <c r="T289" s="2">
        <v>0.73078460000000001</v>
      </c>
    </row>
    <row r="290" spans="1:20">
      <c r="A290" s="3" t="s">
        <v>2565</v>
      </c>
      <c r="B290" s="1" t="s">
        <v>2561</v>
      </c>
      <c r="C290" s="3" t="s">
        <v>2562</v>
      </c>
      <c r="D290" s="3" t="s">
        <v>2566</v>
      </c>
      <c r="E290" s="3" t="s">
        <v>2567</v>
      </c>
      <c r="F290" s="3" t="s">
        <v>1681</v>
      </c>
      <c r="G290" s="3" t="s">
        <v>1682</v>
      </c>
      <c r="H290" s="11" t="s">
        <v>8144</v>
      </c>
      <c r="I290" s="3" t="s">
        <v>7263</v>
      </c>
      <c r="J290" s="7">
        <v>1.54</v>
      </c>
      <c r="K290" s="1" t="s">
        <v>7264</v>
      </c>
      <c r="L290" s="2">
        <v>0.10100000000000001</v>
      </c>
      <c r="M290" s="2">
        <f>10321/100000</f>
        <v>0.10321</v>
      </c>
      <c r="N290" s="2">
        <v>0.36176809999999998</v>
      </c>
      <c r="O290" s="3" t="s">
        <v>7265</v>
      </c>
      <c r="P290" s="7">
        <v>0.94</v>
      </c>
      <c r="Q290" s="1" t="s">
        <v>6301</v>
      </c>
      <c r="R290" s="2">
        <v>0.86699999999999999</v>
      </c>
      <c r="S290" s="2">
        <f>87394/100000</f>
        <v>0.87394000000000005</v>
      </c>
      <c r="T290" s="2">
        <v>0.82929589999999997</v>
      </c>
    </row>
    <row r="291" spans="1:20">
      <c r="A291" s="3" t="s">
        <v>2572</v>
      </c>
      <c r="B291" s="1" t="s">
        <v>2573</v>
      </c>
      <c r="C291" s="3" t="s">
        <v>2574</v>
      </c>
      <c r="D291" s="3" t="s">
        <v>2575</v>
      </c>
      <c r="E291" s="3" t="s">
        <v>2576</v>
      </c>
      <c r="F291" s="3" t="s">
        <v>2577</v>
      </c>
      <c r="G291" s="3" t="s">
        <v>2578</v>
      </c>
      <c r="H291" s="11" t="s">
        <v>8093</v>
      </c>
      <c r="I291" s="3" t="s">
        <v>7266</v>
      </c>
      <c r="J291" s="7">
        <v>1.81</v>
      </c>
      <c r="K291" s="1" t="s">
        <v>7267</v>
      </c>
      <c r="L291" s="2">
        <v>1.49E-2</v>
      </c>
      <c r="M291" s="2">
        <f>1856/100000</f>
        <v>1.856E-2</v>
      </c>
      <c r="N291" s="2">
        <v>0.13302369999999999</v>
      </c>
      <c r="O291" s="3" t="s">
        <v>7268</v>
      </c>
      <c r="P291" s="7">
        <v>1.23</v>
      </c>
      <c r="Q291" s="1" t="s">
        <v>6166</v>
      </c>
      <c r="R291" s="2">
        <v>0.54600000000000004</v>
      </c>
      <c r="S291" s="2">
        <f>56874/100000</f>
        <v>0.56874000000000002</v>
      </c>
      <c r="T291" s="2">
        <v>0.76247779999999998</v>
      </c>
    </row>
    <row r="292" spans="1:20">
      <c r="A292" s="3" t="s">
        <v>2583</v>
      </c>
      <c r="B292" s="1" t="s">
        <v>2584</v>
      </c>
      <c r="C292" s="3" t="s">
        <v>2585</v>
      </c>
      <c r="D292" s="3" t="s">
        <v>2586</v>
      </c>
      <c r="E292" s="3" t="s">
        <v>2587</v>
      </c>
      <c r="F292" s="3" t="s">
        <v>2588</v>
      </c>
      <c r="G292" s="3" t="s">
        <v>2589</v>
      </c>
      <c r="H292" s="11" t="s">
        <v>8190</v>
      </c>
      <c r="I292" s="3" t="s">
        <v>7269</v>
      </c>
      <c r="J292" s="7">
        <v>1.1200000000000001</v>
      </c>
      <c r="K292" s="1" t="s">
        <v>7262</v>
      </c>
      <c r="L292" s="2">
        <v>0.46300000000000002</v>
      </c>
      <c r="M292" s="2">
        <f>48126/100000</f>
        <v>0.48126000000000002</v>
      </c>
      <c r="N292" s="2">
        <v>0.72902449999999996</v>
      </c>
      <c r="O292" s="3" t="s">
        <v>7270</v>
      </c>
      <c r="P292" s="7">
        <v>1.51</v>
      </c>
      <c r="Q292" s="1" t="s">
        <v>7271</v>
      </c>
      <c r="R292" s="2">
        <v>3.9500000000000004E-3</v>
      </c>
      <c r="S292" s="2">
        <f>525/100000</f>
        <v>5.2500000000000003E-3</v>
      </c>
      <c r="T292" s="2">
        <v>5.5931019999999998E-2</v>
      </c>
    </row>
    <row r="293" spans="1:20">
      <c r="A293" s="3" t="s">
        <v>2594</v>
      </c>
      <c r="B293" s="1" t="s">
        <v>2595</v>
      </c>
      <c r="C293" s="3" t="s">
        <v>2596</v>
      </c>
      <c r="D293" s="3" t="s">
        <v>2597</v>
      </c>
      <c r="E293" s="3" t="s">
        <v>2598</v>
      </c>
      <c r="F293" s="3" t="s">
        <v>2599</v>
      </c>
      <c r="G293" s="3" t="s">
        <v>2600</v>
      </c>
      <c r="H293" s="11" t="s">
        <v>8191</v>
      </c>
      <c r="I293" s="3" t="s">
        <v>7272</v>
      </c>
      <c r="J293" s="7">
        <v>1.31</v>
      </c>
      <c r="K293" s="1" t="s">
        <v>7273</v>
      </c>
      <c r="L293" s="2">
        <v>0.23300000000000001</v>
      </c>
      <c r="M293" s="2">
        <f>24901/100000</f>
        <v>0.24901000000000001</v>
      </c>
      <c r="N293" s="2">
        <v>0.5516027</v>
      </c>
      <c r="O293" s="3" t="s">
        <v>7274</v>
      </c>
      <c r="P293" s="7">
        <v>0.83</v>
      </c>
      <c r="Q293" s="1" t="s">
        <v>7275</v>
      </c>
      <c r="R293" s="2">
        <v>0.53100000000000003</v>
      </c>
      <c r="S293" s="2">
        <f>59062/100000</f>
        <v>0.59062000000000003</v>
      </c>
      <c r="T293" s="2">
        <v>0.77707570000000004</v>
      </c>
    </row>
    <row r="294" spans="1:20">
      <c r="A294" s="3" t="s">
        <v>2605</v>
      </c>
      <c r="B294" s="1" t="s">
        <v>2595</v>
      </c>
      <c r="C294" s="3" t="s">
        <v>2596</v>
      </c>
      <c r="D294" s="3" t="s">
        <v>2606</v>
      </c>
      <c r="E294" s="3" t="s">
        <v>2607</v>
      </c>
      <c r="F294" s="3" t="s">
        <v>2608</v>
      </c>
      <c r="G294" s="3" t="s">
        <v>2609</v>
      </c>
      <c r="H294" s="11" t="s">
        <v>8191</v>
      </c>
      <c r="I294" s="3" t="s">
        <v>7276</v>
      </c>
      <c r="J294" s="7">
        <v>1.38</v>
      </c>
      <c r="K294" s="1" t="s">
        <v>7277</v>
      </c>
      <c r="L294" s="2">
        <v>5.9200000000000003E-2</v>
      </c>
      <c r="M294" s="2">
        <f>6395/100000</f>
        <v>6.3950000000000007E-2</v>
      </c>
      <c r="N294" s="2">
        <v>0.28132780000000002</v>
      </c>
      <c r="O294" s="3" t="s">
        <v>7278</v>
      </c>
      <c r="P294" s="7">
        <v>1.2</v>
      </c>
      <c r="Q294" s="1" t="s">
        <v>7279</v>
      </c>
      <c r="R294" s="2">
        <v>0.28499999999999998</v>
      </c>
      <c r="S294" s="2">
        <f>30044/100000</f>
        <v>0.30043999999999998</v>
      </c>
      <c r="T294" s="2">
        <v>0.58574139999999997</v>
      </c>
    </row>
    <row r="295" spans="1:20">
      <c r="A295" s="3" t="s">
        <v>2614</v>
      </c>
      <c r="B295" s="1" t="s">
        <v>2615</v>
      </c>
      <c r="C295" s="3" t="s">
        <v>2616</v>
      </c>
      <c r="D295" s="3" t="s">
        <v>2617</v>
      </c>
      <c r="E295" s="3" t="s">
        <v>2618</v>
      </c>
      <c r="F295" s="3" t="s">
        <v>2619</v>
      </c>
      <c r="G295" s="3" t="s">
        <v>2620</v>
      </c>
      <c r="H295" s="11" t="s">
        <v>8192</v>
      </c>
      <c r="I295" s="3" t="s">
        <v>7280</v>
      </c>
      <c r="J295" s="7">
        <v>0.64</v>
      </c>
      <c r="K295" s="1" t="s">
        <v>7161</v>
      </c>
      <c r="L295" s="2">
        <v>0.31900000000000001</v>
      </c>
      <c r="M295" s="2">
        <f>36458/100000</f>
        <v>0.36458000000000002</v>
      </c>
      <c r="N295" s="2">
        <v>0.64231249999999995</v>
      </c>
      <c r="O295" s="3" t="s">
        <v>7281</v>
      </c>
      <c r="P295" s="7">
        <v>1.39</v>
      </c>
      <c r="Q295" s="1" t="s">
        <v>6497</v>
      </c>
      <c r="R295" s="2">
        <v>0.33300000000000002</v>
      </c>
      <c r="S295" s="2">
        <f>42449/100000</f>
        <v>0.42448999999999998</v>
      </c>
      <c r="T295" s="2">
        <v>0.67996250000000003</v>
      </c>
    </row>
    <row r="296" spans="1:20">
      <c r="A296" s="3" t="s">
        <v>2625</v>
      </c>
      <c r="B296" s="1" t="s">
        <v>2615</v>
      </c>
      <c r="C296" s="3" t="s">
        <v>2616</v>
      </c>
      <c r="D296" s="3" t="s">
        <v>2626</v>
      </c>
      <c r="E296" s="3" t="s">
        <v>2627</v>
      </c>
      <c r="F296" s="3" t="s">
        <v>2619</v>
      </c>
      <c r="G296" s="3" t="s">
        <v>2620</v>
      </c>
      <c r="H296" s="11" t="s">
        <v>8072</v>
      </c>
      <c r="I296" s="3" t="s">
        <v>7282</v>
      </c>
      <c r="J296" s="7">
        <v>0.56999999999999995</v>
      </c>
      <c r="K296" s="1" t="s">
        <v>6430</v>
      </c>
      <c r="L296" s="2">
        <v>0.32700000000000001</v>
      </c>
      <c r="M296" s="2">
        <f>38472/100000</f>
        <v>0.38472000000000001</v>
      </c>
      <c r="N296" s="2">
        <v>0.65243910000000005</v>
      </c>
      <c r="O296" s="3" t="s">
        <v>7283</v>
      </c>
      <c r="P296" s="7">
        <v>1.03</v>
      </c>
      <c r="Q296" s="1" t="s">
        <v>7284</v>
      </c>
      <c r="R296" s="2">
        <v>0.94699999999999995</v>
      </c>
      <c r="S296" s="2">
        <f>100000/100000</f>
        <v>1</v>
      </c>
      <c r="T296" s="2">
        <v>0.82929589999999997</v>
      </c>
    </row>
    <row r="297" spans="1:20">
      <c r="A297" s="3" t="s">
        <v>2632</v>
      </c>
      <c r="B297" s="1" t="s">
        <v>2615</v>
      </c>
      <c r="C297" s="3" t="s">
        <v>2616</v>
      </c>
      <c r="D297" s="3" t="s">
        <v>2633</v>
      </c>
      <c r="E297" s="3" t="s">
        <v>2634</v>
      </c>
      <c r="F297" s="3" t="s">
        <v>2619</v>
      </c>
      <c r="G297" s="3" t="s">
        <v>2620</v>
      </c>
      <c r="H297" s="11" t="s">
        <v>8193</v>
      </c>
      <c r="I297" s="3" t="s">
        <v>7285</v>
      </c>
      <c r="J297" s="7">
        <v>1.1399999999999999</v>
      </c>
      <c r="K297" s="1" t="s">
        <v>7286</v>
      </c>
      <c r="L297" s="2">
        <v>0.69499999999999995</v>
      </c>
      <c r="M297" s="2">
        <f>73020/100000</f>
        <v>0.73019999999999996</v>
      </c>
      <c r="N297" s="2">
        <v>0.82137769999999999</v>
      </c>
      <c r="O297" s="3" t="s">
        <v>7287</v>
      </c>
      <c r="P297" s="7">
        <v>1.03</v>
      </c>
      <c r="Q297" s="1" t="s">
        <v>6347</v>
      </c>
      <c r="R297" s="2">
        <v>0.92400000000000004</v>
      </c>
      <c r="S297" s="2">
        <f>100000/100000</f>
        <v>1</v>
      </c>
      <c r="T297" s="2">
        <v>0.82929589999999997</v>
      </c>
    </row>
    <row r="298" spans="1:20">
      <c r="A298" s="3" t="s">
        <v>2639</v>
      </c>
      <c r="B298" s="1" t="s">
        <v>2615</v>
      </c>
      <c r="C298" s="3" t="s">
        <v>2616</v>
      </c>
      <c r="D298" s="3" t="s">
        <v>2640</v>
      </c>
      <c r="E298" s="3" t="s">
        <v>2641</v>
      </c>
      <c r="F298" s="3" t="s">
        <v>2642</v>
      </c>
      <c r="G298" s="3" t="s">
        <v>2643</v>
      </c>
      <c r="H298" s="11" t="s">
        <v>8192</v>
      </c>
      <c r="I298" s="3" t="s">
        <v>7288</v>
      </c>
      <c r="J298" s="7">
        <v>1.43</v>
      </c>
      <c r="K298" s="1" t="s">
        <v>7289</v>
      </c>
      <c r="L298" s="2">
        <v>0.22600000000000001</v>
      </c>
      <c r="M298" s="2">
        <f>29360/100000</f>
        <v>0.29360000000000003</v>
      </c>
      <c r="N298" s="2">
        <v>0.57886890000000002</v>
      </c>
      <c r="O298" s="3" t="s">
        <v>7290</v>
      </c>
      <c r="P298" s="7">
        <v>0.66</v>
      </c>
      <c r="Q298" s="1" t="s">
        <v>7291</v>
      </c>
      <c r="R298" s="2">
        <v>0.40899999999999997</v>
      </c>
      <c r="S298" s="2">
        <f>53327/100000</f>
        <v>0.53327000000000002</v>
      </c>
      <c r="T298" s="2">
        <v>0.74478149999999999</v>
      </c>
    </row>
    <row r="299" spans="1:20">
      <c r="A299" s="3" t="s">
        <v>2648</v>
      </c>
      <c r="B299" s="1" t="s">
        <v>2615</v>
      </c>
      <c r="C299" s="3" t="s">
        <v>2616</v>
      </c>
      <c r="D299" s="3" t="s">
        <v>2649</v>
      </c>
      <c r="E299" s="3" t="s">
        <v>2650</v>
      </c>
      <c r="F299" s="3" t="s">
        <v>2642</v>
      </c>
      <c r="G299" s="3" t="s">
        <v>2643</v>
      </c>
      <c r="H299" s="11" t="s">
        <v>8072</v>
      </c>
      <c r="I299" s="3" t="s">
        <v>7292</v>
      </c>
      <c r="J299" s="7">
        <v>1.03</v>
      </c>
      <c r="K299" s="1" t="s">
        <v>7293</v>
      </c>
      <c r="L299" s="2">
        <v>0.92900000000000005</v>
      </c>
      <c r="M299" s="2">
        <f>100000/100000</f>
        <v>1</v>
      </c>
      <c r="N299" s="2">
        <v>0.82929589999999997</v>
      </c>
      <c r="O299" s="3" t="s">
        <v>7294</v>
      </c>
      <c r="P299" s="7">
        <v>0.4</v>
      </c>
      <c r="Q299" s="1" t="s">
        <v>7295</v>
      </c>
      <c r="R299" s="2">
        <v>0.10100000000000001</v>
      </c>
      <c r="S299" s="2">
        <f>12879/100000</f>
        <v>0.12878999999999999</v>
      </c>
      <c r="T299" s="2">
        <v>0.3957079</v>
      </c>
    </row>
    <row r="300" spans="1:20">
      <c r="A300" s="3" t="s">
        <v>2654</v>
      </c>
      <c r="B300" s="1" t="s">
        <v>2615</v>
      </c>
      <c r="C300" s="3" t="s">
        <v>2616</v>
      </c>
      <c r="D300" s="3" t="s">
        <v>2655</v>
      </c>
      <c r="E300" s="3" t="s">
        <v>2656</v>
      </c>
      <c r="F300" s="3" t="s">
        <v>2642</v>
      </c>
      <c r="G300" s="3" t="s">
        <v>2643</v>
      </c>
      <c r="H300" s="11" t="s">
        <v>8194</v>
      </c>
      <c r="I300" s="3" t="s">
        <v>7296</v>
      </c>
      <c r="J300" s="7">
        <v>1.02</v>
      </c>
      <c r="K300" s="1" t="s">
        <v>7297</v>
      </c>
      <c r="L300" s="2">
        <v>0.95899999999999996</v>
      </c>
      <c r="M300" s="2">
        <f>100000/100000</f>
        <v>1</v>
      </c>
      <c r="N300" s="2">
        <v>0.82929589999999997</v>
      </c>
      <c r="O300" s="3" t="s">
        <v>7298</v>
      </c>
      <c r="P300" s="7">
        <v>1.48</v>
      </c>
      <c r="Q300" s="1" t="s">
        <v>7299</v>
      </c>
      <c r="R300" s="2">
        <v>0.249</v>
      </c>
      <c r="S300" s="2">
        <f>29758/100000</f>
        <v>0.29758000000000001</v>
      </c>
      <c r="T300" s="2">
        <v>0.58316690000000004</v>
      </c>
    </row>
    <row r="301" spans="1:20">
      <c r="A301" s="3" t="s">
        <v>2661</v>
      </c>
      <c r="B301" s="1" t="s">
        <v>2615</v>
      </c>
      <c r="C301" s="3" t="s">
        <v>2616</v>
      </c>
      <c r="D301" s="3" t="s">
        <v>2662</v>
      </c>
      <c r="E301" s="3" t="s">
        <v>2663</v>
      </c>
      <c r="F301" s="3" t="s">
        <v>2664</v>
      </c>
      <c r="G301" s="3" t="s">
        <v>2665</v>
      </c>
      <c r="H301" s="11" t="s">
        <v>8192</v>
      </c>
      <c r="I301" s="3" t="s">
        <v>7300</v>
      </c>
      <c r="J301" s="7">
        <v>1.59</v>
      </c>
      <c r="K301" s="1" t="s">
        <v>7301</v>
      </c>
      <c r="L301" s="2">
        <v>1.5900000000000001E-2</v>
      </c>
      <c r="M301" s="2">
        <f>1883/100000</f>
        <v>1.883E-2</v>
      </c>
      <c r="N301" s="2">
        <v>0.1340179</v>
      </c>
      <c r="O301" s="3" t="s">
        <v>7302</v>
      </c>
      <c r="P301" s="7">
        <v>1.37</v>
      </c>
      <c r="Q301" s="1" t="s">
        <v>7303</v>
      </c>
      <c r="R301" s="2">
        <v>0.129</v>
      </c>
      <c r="S301" s="2">
        <f>14981/100000</f>
        <v>0.14981</v>
      </c>
      <c r="T301" s="2">
        <v>0.42508279999999998</v>
      </c>
    </row>
    <row r="302" spans="1:20">
      <c r="A302" s="3" t="s">
        <v>2670</v>
      </c>
      <c r="B302" s="1" t="s">
        <v>2671</v>
      </c>
      <c r="C302" s="3" t="s">
        <v>2672</v>
      </c>
      <c r="D302" s="3" t="s">
        <v>2673</v>
      </c>
      <c r="E302" s="3" t="s">
        <v>2674</v>
      </c>
      <c r="F302" s="3" t="s">
        <v>2675</v>
      </c>
      <c r="G302" s="3" t="s">
        <v>2676</v>
      </c>
      <c r="H302" s="11" t="s">
        <v>8195</v>
      </c>
      <c r="I302" s="3" t="s">
        <v>7304</v>
      </c>
      <c r="J302" s="7">
        <v>0.95</v>
      </c>
      <c r="K302" s="1" t="s">
        <v>7305</v>
      </c>
      <c r="L302" s="2">
        <v>0.70199999999999996</v>
      </c>
      <c r="M302" s="2">
        <f>72279/100000</f>
        <v>0.72279000000000004</v>
      </c>
      <c r="N302" s="2">
        <v>0.82137769999999999</v>
      </c>
      <c r="O302" s="3" t="s">
        <v>7306</v>
      </c>
      <c r="P302" s="7">
        <v>0.77</v>
      </c>
      <c r="Q302" s="1" t="s">
        <v>7307</v>
      </c>
      <c r="R302" s="2">
        <v>0.105</v>
      </c>
      <c r="S302" s="2">
        <f>11348/100000</f>
        <v>0.11348</v>
      </c>
      <c r="T302" s="2">
        <v>0.37826270000000001</v>
      </c>
    </row>
    <row r="303" spans="1:20">
      <c r="A303" s="3" t="s">
        <v>2681</v>
      </c>
      <c r="B303" s="1" t="s">
        <v>2671</v>
      </c>
      <c r="C303" s="3" t="s">
        <v>2672</v>
      </c>
      <c r="D303" s="3" t="s">
        <v>2682</v>
      </c>
      <c r="E303" s="3" t="s">
        <v>2683</v>
      </c>
      <c r="F303" s="3" t="s">
        <v>2675</v>
      </c>
      <c r="G303" s="3" t="s">
        <v>2676</v>
      </c>
      <c r="H303" s="11" t="s">
        <v>8195</v>
      </c>
      <c r="I303" s="3" t="s">
        <v>7308</v>
      </c>
      <c r="J303" s="7">
        <v>1.29</v>
      </c>
      <c r="K303" s="1" t="s">
        <v>7309</v>
      </c>
      <c r="L303" s="2">
        <v>9.3100000000000002E-2</v>
      </c>
      <c r="M303" s="2">
        <f>10310/100000</f>
        <v>0.1031</v>
      </c>
      <c r="N303" s="2">
        <v>0.36176809999999998</v>
      </c>
      <c r="O303" s="3" t="s">
        <v>7310</v>
      </c>
      <c r="P303" s="7">
        <v>1.1599999999999999</v>
      </c>
      <c r="Q303" s="1" t="s">
        <v>7311</v>
      </c>
      <c r="R303" s="2">
        <v>0.28399999999999997</v>
      </c>
      <c r="S303" s="2">
        <f>31395/100000</f>
        <v>0.31395000000000001</v>
      </c>
      <c r="T303" s="2">
        <v>0.59984749999999998</v>
      </c>
    </row>
    <row r="304" spans="1:20">
      <c r="A304" s="3" t="s">
        <v>2688</v>
      </c>
      <c r="B304" s="1" t="s">
        <v>2689</v>
      </c>
      <c r="C304" s="3" t="s">
        <v>2690</v>
      </c>
      <c r="D304" s="3" t="s">
        <v>2691</v>
      </c>
      <c r="E304" s="3" t="s">
        <v>2692</v>
      </c>
      <c r="F304" s="3" t="s">
        <v>2693</v>
      </c>
      <c r="G304" s="3" t="s">
        <v>2694</v>
      </c>
      <c r="H304" s="11" t="s">
        <v>8133</v>
      </c>
      <c r="I304" s="3" t="s">
        <v>7312</v>
      </c>
      <c r="J304" s="7">
        <v>0.99</v>
      </c>
      <c r="K304" s="1" t="s">
        <v>7313</v>
      </c>
      <c r="L304" s="2">
        <v>0.96299999999999997</v>
      </c>
      <c r="M304" s="2">
        <f>100000/100000</f>
        <v>1</v>
      </c>
      <c r="N304" s="2">
        <v>0.82929589999999997</v>
      </c>
      <c r="O304" s="3" t="s">
        <v>7314</v>
      </c>
      <c r="P304" s="7">
        <v>1.93</v>
      </c>
      <c r="Q304" s="1" t="s">
        <v>7315</v>
      </c>
      <c r="R304" s="2">
        <v>1.47E-5</v>
      </c>
      <c r="S304" s="2">
        <f>4/100000</f>
        <v>4.0000000000000003E-5</v>
      </c>
      <c r="T304" s="2">
        <v>1.167045E-3</v>
      </c>
    </row>
    <row r="305" spans="1:20">
      <c r="A305" s="3" t="s">
        <v>2699</v>
      </c>
      <c r="B305" s="1" t="s">
        <v>2689</v>
      </c>
      <c r="C305" s="3" t="s">
        <v>2690</v>
      </c>
      <c r="D305" s="3" t="s">
        <v>2700</v>
      </c>
      <c r="E305" s="3" t="s">
        <v>2701</v>
      </c>
      <c r="F305" s="3" t="s">
        <v>2702</v>
      </c>
      <c r="G305" s="3" t="s">
        <v>2703</v>
      </c>
      <c r="H305" s="11" t="s">
        <v>8133</v>
      </c>
      <c r="I305" s="3" t="s">
        <v>7316</v>
      </c>
      <c r="J305" s="7">
        <v>0.93</v>
      </c>
      <c r="K305" s="1" t="s">
        <v>7317</v>
      </c>
      <c r="L305" s="2">
        <v>0.68799999999999994</v>
      </c>
      <c r="M305" s="2">
        <f>73413/100000</f>
        <v>0.73412999999999995</v>
      </c>
      <c r="N305" s="2">
        <v>0.82137769999999999</v>
      </c>
      <c r="O305" s="3" t="s">
        <v>7318</v>
      </c>
      <c r="P305" s="7">
        <v>1.49</v>
      </c>
      <c r="Q305" s="1" t="s">
        <v>7319</v>
      </c>
      <c r="R305" s="2">
        <v>1.24E-2</v>
      </c>
      <c r="S305" s="2">
        <f>1447/100000</f>
        <v>1.447E-2</v>
      </c>
      <c r="T305" s="2">
        <v>0.1112329</v>
      </c>
    </row>
    <row r="306" spans="1:20">
      <c r="A306" s="3" t="s">
        <v>2708</v>
      </c>
      <c r="B306" s="1" t="s">
        <v>2709</v>
      </c>
      <c r="C306" s="3" t="s">
        <v>2710</v>
      </c>
      <c r="D306" s="3" t="s">
        <v>2711</v>
      </c>
      <c r="E306" s="3" t="s">
        <v>2712</v>
      </c>
      <c r="F306" s="3" t="s">
        <v>2713</v>
      </c>
      <c r="G306" s="3" t="s">
        <v>2714</v>
      </c>
      <c r="H306" s="11" t="s">
        <v>8196</v>
      </c>
      <c r="I306" s="3" t="s">
        <v>7320</v>
      </c>
      <c r="J306" s="7">
        <v>2.63</v>
      </c>
      <c r="K306" s="1" t="s">
        <v>7321</v>
      </c>
      <c r="L306" s="2">
        <v>7.5699999999999995E-32</v>
      </c>
      <c r="M306" s="2" t="s">
        <v>500</v>
      </c>
      <c r="N306" s="2">
        <v>3.517123E-4</v>
      </c>
      <c r="O306" s="3" t="s">
        <v>7322</v>
      </c>
      <c r="P306" s="7">
        <v>1.1200000000000001</v>
      </c>
      <c r="Q306" s="1" t="s">
        <v>7323</v>
      </c>
      <c r="R306" s="2">
        <v>0.26500000000000001</v>
      </c>
      <c r="S306" s="2">
        <f>27583/100000</f>
        <v>0.27583000000000002</v>
      </c>
      <c r="T306" s="2">
        <v>0.56690399999999996</v>
      </c>
    </row>
    <row r="307" spans="1:20">
      <c r="A307" s="3" t="s">
        <v>2719</v>
      </c>
      <c r="B307" s="1" t="s">
        <v>2720</v>
      </c>
      <c r="C307" s="3" t="s">
        <v>2721</v>
      </c>
      <c r="D307" s="3" t="s">
        <v>2722</v>
      </c>
      <c r="E307" s="3" t="s">
        <v>2723</v>
      </c>
      <c r="F307" s="3" t="s">
        <v>2722</v>
      </c>
      <c r="G307" s="3" t="s">
        <v>2723</v>
      </c>
      <c r="H307" s="13" t="s">
        <v>2721</v>
      </c>
      <c r="I307" s="3" t="s">
        <v>2724</v>
      </c>
      <c r="J307" s="7" t="e">
        <v>#DIV/0!</v>
      </c>
      <c r="K307" s="1" t="s">
        <v>2725</v>
      </c>
      <c r="L307" s="1" t="e">
        <v>#DIV/0!</v>
      </c>
      <c r="M307" s="2" t="s">
        <v>500</v>
      </c>
      <c r="N307" s="2">
        <v>3.517123E-4</v>
      </c>
      <c r="O307" s="3" t="s">
        <v>2724</v>
      </c>
      <c r="P307" s="7" t="e">
        <v>#DIV/0!</v>
      </c>
      <c r="Q307" s="1" t="s">
        <v>2725</v>
      </c>
      <c r="R307" s="2" t="e">
        <v>#DIV/0!</v>
      </c>
      <c r="S307" s="2" t="s">
        <v>500</v>
      </c>
      <c r="T307" s="2">
        <v>3.517123E-4</v>
      </c>
    </row>
    <row r="308" spans="1:20">
      <c r="A308" s="3" t="s">
        <v>2726</v>
      </c>
      <c r="B308" s="1" t="s">
        <v>2727</v>
      </c>
      <c r="C308" s="3" t="s">
        <v>2728</v>
      </c>
      <c r="D308" s="3" t="s">
        <v>2729</v>
      </c>
      <c r="E308" s="3" t="s">
        <v>2730</v>
      </c>
      <c r="F308" s="3" t="s">
        <v>2731</v>
      </c>
      <c r="G308" s="3" t="s">
        <v>2732</v>
      </c>
      <c r="H308" s="11" t="s">
        <v>8196</v>
      </c>
      <c r="I308" s="3" t="s">
        <v>7324</v>
      </c>
      <c r="J308" s="7">
        <v>2.08</v>
      </c>
      <c r="K308" s="1" t="s">
        <v>7325</v>
      </c>
      <c r="L308" s="2">
        <v>8.6300000000000005E-17</v>
      </c>
      <c r="M308" s="2" t="s">
        <v>500</v>
      </c>
      <c r="N308" s="2">
        <v>3.517123E-4</v>
      </c>
      <c r="O308" s="3" t="s">
        <v>7326</v>
      </c>
      <c r="P308" s="7">
        <v>0.91</v>
      </c>
      <c r="Q308" s="1" t="s">
        <v>7327</v>
      </c>
      <c r="R308" s="2">
        <v>0.39500000000000002</v>
      </c>
      <c r="S308" s="2">
        <f>40263/100000</f>
        <v>0.40262999999999999</v>
      </c>
      <c r="T308" s="2">
        <v>0.66626050000000003</v>
      </c>
    </row>
    <row r="309" spans="1:20">
      <c r="A309" s="3" t="s">
        <v>2737</v>
      </c>
      <c r="B309" s="1" t="s">
        <v>2727</v>
      </c>
      <c r="C309" s="3" t="s">
        <v>2728</v>
      </c>
      <c r="D309" s="3" t="s">
        <v>2711</v>
      </c>
      <c r="E309" s="3" t="s">
        <v>2712</v>
      </c>
      <c r="F309" s="3" t="s">
        <v>2713</v>
      </c>
      <c r="G309" s="3" t="s">
        <v>2714</v>
      </c>
      <c r="H309" s="11" t="s">
        <v>8197</v>
      </c>
      <c r="I309" s="3" t="s">
        <v>7320</v>
      </c>
      <c r="J309" s="7">
        <v>2.63</v>
      </c>
      <c r="K309" s="1" t="s">
        <v>7321</v>
      </c>
      <c r="L309" s="2">
        <v>7.5699999999999995E-32</v>
      </c>
      <c r="M309" s="2" t="s">
        <v>500</v>
      </c>
      <c r="N309" s="2">
        <v>3.517123E-4</v>
      </c>
      <c r="O309" s="3" t="s">
        <v>7322</v>
      </c>
      <c r="P309" s="7">
        <v>1.1200000000000001</v>
      </c>
      <c r="Q309" s="1" t="s">
        <v>7323</v>
      </c>
      <c r="R309" s="2">
        <v>0.26500000000000001</v>
      </c>
      <c r="S309" s="2">
        <f>27583/100000</f>
        <v>0.27583000000000002</v>
      </c>
      <c r="T309" s="2">
        <v>0.56690399999999996</v>
      </c>
    </row>
    <row r="310" spans="1:20">
      <c r="A310" s="3" t="s">
        <v>2738</v>
      </c>
      <c r="B310" s="1" t="s">
        <v>2739</v>
      </c>
      <c r="C310" s="3" t="s">
        <v>2740</v>
      </c>
      <c r="D310" s="3" t="s">
        <v>2741</v>
      </c>
      <c r="E310" s="3" t="s">
        <v>2742</v>
      </c>
      <c r="F310" s="3" t="s">
        <v>2743</v>
      </c>
      <c r="G310" s="3" t="s">
        <v>2744</v>
      </c>
      <c r="H310" s="11" t="s">
        <v>8198</v>
      </c>
      <c r="I310" s="3" t="s">
        <v>7328</v>
      </c>
      <c r="J310" s="7">
        <v>1.65</v>
      </c>
      <c r="K310" s="1" t="s">
        <v>7329</v>
      </c>
      <c r="L310" s="2">
        <v>0.16800000000000001</v>
      </c>
      <c r="M310" s="2">
        <f>16404/100000</f>
        <v>0.16403999999999999</v>
      </c>
      <c r="N310" s="2">
        <v>0.44938099999999997</v>
      </c>
      <c r="O310" s="3" t="s">
        <v>7330</v>
      </c>
      <c r="P310" s="7">
        <v>1.36</v>
      </c>
      <c r="Q310" s="1" t="s">
        <v>7331</v>
      </c>
      <c r="R310" s="2">
        <v>0.43099999999999999</v>
      </c>
      <c r="S310" s="2">
        <f>49868/100000</f>
        <v>0.49868000000000001</v>
      </c>
      <c r="T310" s="2">
        <v>0.73504449999999999</v>
      </c>
    </row>
    <row r="311" spans="1:20">
      <c r="A311" s="3" t="s">
        <v>2749</v>
      </c>
      <c r="B311" s="1" t="s">
        <v>2739</v>
      </c>
      <c r="C311" s="3" t="s">
        <v>2740</v>
      </c>
      <c r="D311" s="3" t="s">
        <v>2750</v>
      </c>
      <c r="E311" s="3" t="s">
        <v>2751</v>
      </c>
      <c r="F311" s="3" t="s">
        <v>2743</v>
      </c>
      <c r="G311" s="3" t="s">
        <v>2744</v>
      </c>
      <c r="H311" s="11" t="s">
        <v>8094</v>
      </c>
      <c r="I311" s="3" t="s">
        <v>7332</v>
      </c>
      <c r="J311" s="7">
        <v>0.27</v>
      </c>
      <c r="K311" s="1" t="s">
        <v>7333</v>
      </c>
      <c r="L311" s="2">
        <v>5.1900000000000002E-2</v>
      </c>
      <c r="M311" s="2">
        <f>5271/100000</f>
        <v>5.271E-2</v>
      </c>
      <c r="N311" s="2">
        <v>0.25010579999999999</v>
      </c>
      <c r="O311" s="3" t="s">
        <v>7334</v>
      </c>
      <c r="P311" s="7">
        <v>2</v>
      </c>
      <c r="Q311" s="1" t="s">
        <v>7335</v>
      </c>
      <c r="R311" s="2">
        <v>4.1000000000000003E-3</v>
      </c>
      <c r="S311" s="2">
        <f>693/100000</f>
        <v>6.9300000000000004E-3</v>
      </c>
      <c r="T311" s="2">
        <v>6.7396880000000006E-2</v>
      </c>
    </row>
    <row r="312" spans="1:20">
      <c r="A312" s="3" t="s">
        <v>2756</v>
      </c>
      <c r="B312" s="1" t="s">
        <v>2757</v>
      </c>
      <c r="C312" s="3" t="s">
        <v>2758</v>
      </c>
      <c r="D312" s="3" t="s">
        <v>2759</v>
      </c>
      <c r="E312" s="3" t="s">
        <v>2760</v>
      </c>
      <c r="F312" s="3" t="s">
        <v>2761</v>
      </c>
      <c r="G312" s="3" t="s">
        <v>2762</v>
      </c>
      <c r="H312" s="11" t="s">
        <v>8199</v>
      </c>
      <c r="I312" s="3" t="s">
        <v>7336</v>
      </c>
      <c r="J312" s="7">
        <v>1.03</v>
      </c>
      <c r="K312" s="1" t="s">
        <v>5667</v>
      </c>
      <c r="L312" s="2">
        <v>0.96</v>
      </c>
      <c r="M312" s="2">
        <f>100000/100000</f>
        <v>1</v>
      </c>
      <c r="N312" s="2">
        <v>0.82929589999999997</v>
      </c>
      <c r="O312" s="3" t="s">
        <v>7337</v>
      </c>
      <c r="P312" s="7">
        <v>0.85</v>
      </c>
      <c r="Q312" s="1" t="s">
        <v>7338</v>
      </c>
      <c r="R312" s="2">
        <v>0.78800000000000003</v>
      </c>
      <c r="S312" s="2">
        <f>100000/100000</f>
        <v>1</v>
      </c>
      <c r="T312" s="2">
        <v>0.82929589999999997</v>
      </c>
    </row>
    <row r="313" spans="1:20">
      <c r="A313" s="3" t="s">
        <v>2767</v>
      </c>
      <c r="B313" s="1" t="s">
        <v>2757</v>
      </c>
      <c r="C313" s="3" t="s">
        <v>2758</v>
      </c>
      <c r="D313" s="3" t="s">
        <v>2768</v>
      </c>
      <c r="E313" s="3" t="s">
        <v>2769</v>
      </c>
      <c r="F313" s="3" t="s">
        <v>2770</v>
      </c>
      <c r="G313" s="3" t="s">
        <v>2771</v>
      </c>
      <c r="H313" s="11" t="s">
        <v>8199</v>
      </c>
      <c r="I313" s="3" t="s">
        <v>7339</v>
      </c>
      <c r="J313" s="7">
        <v>0.69</v>
      </c>
      <c r="K313" s="1" t="s">
        <v>7340</v>
      </c>
      <c r="L313" s="2">
        <v>0.46800000000000003</v>
      </c>
      <c r="M313" s="2">
        <f>53852/100000</f>
        <v>0.53852</v>
      </c>
      <c r="N313" s="2">
        <v>0.74478149999999999</v>
      </c>
      <c r="O313" s="3" t="s">
        <v>7341</v>
      </c>
      <c r="P313" s="7">
        <v>1.26</v>
      </c>
      <c r="Q313" s="1" t="s">
        <v>7342</v>
      </c>
      <c r="R313" s="2">
        <v>0.51600000000000001</v>
      </c>
      <c r="S313" s="2">
        <f>53693/100000</f>
        <v>0.53693000000000002</v>
      </c>
      <c r="T313" s="2">
        <v>0.74478149999999999</v>
      </c>
    </row>
    <row r="314" spans="1:20">
      <c r="A314" s="3" t="s">
        <v>2775</v>
      </c>
      <c r="B314" s="1" t="s">
        <v>2776</v>
      </c>
      <c r="C314" s="3" t="s">
        <v>2777</v>
      </c>
      <c r="D314" s="3" t="s">
        <v>2778</v>
      </c>
      <c r="E314" s="3" t="s">
        <v>2779</v>
      </c>
      <c r="F314" s="3" t="s">
        <v>2780</v>
      </c>
      <c r="G314" s="3" t="s">
        <v>2781</v>
      </c>
      <c r="H314" s="11" t="s">
        <v>8095</v>
      </c>
      <c r="I314" s="3" t="s">
        <v>7343</v>
      </c>
      <c r="J314" s="7">
        <v>4.1100000000000003</v>
      </c>
      <c r="K314" s="1" t="s">
        <v>7344</v>
      </c>
      <c r="L314" s="2">
        <v>4.4499999999999997E-5</v>
      </c>
      <c r="M314" s="2">
        <f>142/100000</f>
        <v>1.42E-3</v>
      </c>
      <c r="N314" s="2">
        <v>2.1543389999999999E-2</v>
      </c>
      <c r="O314" s="3" t="s">
        <v>7345</v>
      </c>
      <c r="P314" s="7">
        <v>0</v>
      </c>
      <c r="Q314" s="1" t="s">
        <v>774</v>
      </c>
      <c r="R314" s="2">
        <v>0.313</v>
      </c>
      <c r="S314" s="2">
        <f>62647/100000</f>
        <v>0.62646999999999997</v>
      </c>
      <c r="T314" s="2">
        <v>0.79869500000000004</v>
      </c>
    </row>
    <row r="315" spans="1:20">
      <c r="A315" s="3" t="s">
        <v>2786</v>
      </c>
      <c r="B315" s="1" t="s">
        <v>2787</v>
      </c>
      <c r="C315" s="3" t="s">
        <v>2788</v>
      </c>
      <c r="D315" s="3" t="s">
        <v>2778</v>
      </c>
      <c r="E315" s="3" t="s">
        <v>2779</v>
      </c>
      <c r="F315" s="3" t="s">
        <v>2780</v>
      </c>
      <c r="G315" s="3" t="s">
        <v>2781</v>
      </c>
      <c r="H315" s="11" t="s">
        <v>8095</v>
      </c>
      <c r="I315" s="3" t="s">
        <v>7343</v>
      </c>
      <c r="J315" s="7">
        <v>4.1100000000000003</v>
      </c>
      <c r="K315" s="1" t="s">
        <v>7344</v>
      </c>
      <c r="L315" s="2">
        <v>4.4499999999999997E-5</v>
      </c>
      <c r="M315" s="2">
        <f>142/100000</f>
        <v>1.42E-3</v>
      </c>
      <c r="N315" s="2">
        <v>2.1543389999999999E-2</v>
      </c>
      <c r="O315" s="3" t="s">
        <v>7345</v>
      </c>
      <c r="P315" s="7">
        <v>0</v>
      </c>
      <c r="Q315" s="1" t="s">
        <v>774</v>
      </c>
      <c r="R315" s="2">
        <v>0.313</v>
      </c>
      <c r="S315" s="2">
        <f>62647/100000</f>
        <v>0.62646999999999997</v>
      </c>
      <c r="T315" s="2">
        <v>0.79869500000000004</v>
      </c>
    </row>
    <row r="316" spans="1:20">
      <c r="A316" s="3" t="s">
        <v>2789</v>
      </c>
      <c r="B316" s="1" t="s">
        <v>2790</v>
      </c>
      <c r="C316" s="3" t="s">
        <v>2791</v>
      </c>
      <c r="D316" s="3" t="s">
        <v>2792</v>
      </c>
      <c r="E316" s="3" t="s">
        <v>2793</v>
      </c>
      <c r="F316" s="3" t="s">
        <v>2794</v>
      </c>
      <c r="G316" s="3" t="s">
        <v>2795</v>
      </c>
      <c r="H316" s="11" t="s">
        <v>8200</v>
      </c>
      <c r="I316" s="3" t="s">
        <v>7346</v>
      </c>
      <c r="J316" s="7">
        <v>1.48</v>
      </c>
      <c r="K316" s="1" t="s">
        <v>7347</v>
      </c>
      <c r="L316" s="2">
        <v>0.17199999999999999</v>
      </c>
      <c r="M316" s="2">
        <f>16905/100000</f>
        <v>0.16905000000000001</v>
      </c>
      <c r="N316" s="2">
        <v>0.45435340000000002</v>
      </c>
      <c r="O316" s="3" t="s">
        <v>7348</v>
      </c>
      <c r="P316" s="7">
        <v>1.89</v>
      </c>
      <c r="Q316" s="1" t="s">
        <v>7349</v>
      </c>
      <c r="R316" s="2">
        <v>2.5899999999999999E-3</v>
      </c>
      <c r="S316" s="2">
        <f>446/100000</f>
        <v>4.4600000000000004E-3</v>
      </c>
      <c r="T316" s="2">
        <v>4.9787169999999999E-2</v>
      </c>
    </row>
    <row r="317" spans="1:20">
      <c r="A317" s="3" t="s">
        <v>2799</v>
      </c>
      <c r="B317" s="1" t="s">
        <v>2790</v>
      </c>
      <c r="C317" s="3" t="s">
        <v>2791</v>
      </c>
      <c r="D317" s="3" t="s">
        <v>2800</v>
      </c>
      <c r="E317" s="3" t="s">
        <v>2801</v>
      </c>
      <c r="F317" s="3" t="s">
        <v>2794</v>
      </c>
      <c r="G317" s="3" t="s">
        <v>2795</v>
      </c>
      <c r="H317" s="11" t="s">
        <v>8201</v>
      </c>
      <c r="I317" s="3" t="s">
        <v>7350</v>
      </c>
      <c r="J317" s="7">
        <v>2.1</v>
      </c>
      <c r="K317" s="1" t="s">
        <v>7351</v>
      </c>
      <c r="L317" s="2">
        <v>5.0899999999999999E-3</v>
      </c>
      <c r="M317" s="2">
        <f>908/100000</f>
        <v>9.0799999999999995E-3</v>
      </c>
      <c r="N317" s="2">
        <v>8.1513639999999998E-2</v>
      </c>
      <c r="O317" s="3" t="s">
        <v>7352</v>
      </c>
      <c r="P317" s="7">
        <v>1.43</v>
      </c>
      <c r="Q317" s="1" t="s">
        <v>7353</v>
      </c>
      <c r="R317" s="2">
        <v>0.20899999999999999</v>
      </c>
      <c r="S317" s="2">
        <f>23526/100000</f>
        <v>0.23526</v>
      </c>
      <c r="T317" s="2">
        <v>0.53442210000000001</v>
      </c>
    </row>
    <row r="318" spans="1:20">
      <c r="A318" s="3" t="s">
        <v>2806</v>
      </c>
      <c r="B318" s="1" t="s">
        <v>2807</v>
      </c>
      <c r="C318" s="3" t="s">
        <v>2808</v>
      </c>
      <c r="D318" s="3" t="s">
        <v>2809</v>
      </c>
      <c r="E318" s="3" t="s">
        <v>2810</v>
      </c>
      <c r="F318" s="3" t="s">
        <v>2811</v>
      </c>
      <c r="G318" s="3" t="s">
        <v>2812</v>
      </c>
      <c r="H318" s="11" t="s">
        <v>8202</v>
      </c>
      <c r="I318" s="3" t="s">
        <v>7354</v>
      </c>
      <c r="J318" s="7">
        <v>0.79</v>
      </c>
      <c r="K318" s="1" t="s">
        <v>7355</v>
      </c>
      <c r="L318" s="2">
        <v>0.40899999999999997</v>
      </c>
      <c r="M318" s="2">
        <f>44734/100000</f>
        <v>0.44734000000000002</v>
      </c>
      <c r="N318" s="2">
        <v>0.69724940000000002</v>
      </c>
      <c r="O318" s="3" t="s">
        <v>7356</v>
      </c>
      <c r="P318" s="7">
        <v>0.2</v>
      </c>
      <c r="Q318" s="1" t="s">
        <v>7357</v>
      </c>
      <c r="R318" s="2">
        <v>4.4099999999999999E-4</v>
      </c>
      <c r="S318" s="2">
        <f>55/100000</f>
        <v>5.5000000000000003E-4</v>
      </c>
      <c r="T318" s="2">
        <v>1.069792E-2</v>
      </c>
    </row>
    <row r="319" spans="1:20">
      <c r="A319" s="3" t="s">
        <v>2817</v>
      </c>
      <c r="B319" s="1" t="s">
        <v>2807</v>
      </c>
      <c r="C319" s="3" t="s">
        <v>2808</v>
      </c>
      <c r="D319" s="3" t="s">
        <v>2818</v>
      </c>
      <c r="E319" s="3" t="s">
        <v>2819</v>
      </c>
      <c r="F319" s="3" t="s">
        <v>2811</v>
      </c>
      <c r="G319" s="3" t="s">
        <v>2812</v>
      </c>
      <c r="H319" s="11" t="s">
        <v>8096</v>
      </c>
      <c r="I319" s="3" t="s">
        <v>7358</v>
      </c>
      <c r="J319" s="7">
        <v>0.83</v>
      </c>
      <c r="K319" s="1" t="s">
        <v>7359</v>
      </c>
      <c r="L319" s="2">
        <v>0.43</v>
      </c>
      <c r="M319" s="2">
        <f>44207/100000</f>
        <v>0.44207000000000002</v>
      </c>
      <c r="N319" s="2">
        <v>0.69239479999999998</v>
      </c>
      <c r="O319" s="3" t="s">
        <v>7360</v>
      </c>
      <c r="P319" s="7">
        <v>0.7</v>
      </c>
      <c r="Q319" s="1" t="s">
        <v>7361</v>
      </c>
      <c r="R319" s="2">
        <v>0.21199999999999999</v>
      </c>
      <c r="S319" s="2">
        <f>22926/100000</f>
        <v>0.22925999999999999</v>
      </c>
      <c r="T319" s="2">
        <v>0.52684359999999997</v>
      </c>
    </row>
    <row r="320" spans="1:20">
      <c r="A320" s="3" t="s">
        <v>2824</v>
      </c>
      <c r="B320" s="1" t="s">
        <v>2807</v>
      </c>
      <c r="C320" s="3" t="s">
        <v>2808</v>
      </c>
      <c r="D320" s="3" t="s">
        <v>2825</v>
      </c>
      <c r="E320" s="3" t="s">
        <v>2826</v>
      </c>
      <c r="F320" s="3" t="s">
        <v>2827</v>
      </c>
      <c r="G320" s="3" t="s">
        <v>2828</v>
      </c>
      <c r="H320" s="11" t="s">
        <v>8203</v>
      </c>
      <c r="I320" s="3" t="s">
        <v>7362</v>
      </c>
      <c r="J320" s="7">
        <v>1.7</v>
      </c>
      <c r="K320" s="1" t="s">
        <v>7363</v>
      </c>
      <c r="L320" s="2">
        <v>2.8E-3</v>
      </c>
      <c r="M320" s="2">
        <f>417/100000</f>
        <v>4.1700000000000001E-3</v>
      </c>
      <c r="N320" s="2">
        <v>4.7584330000000001E-2</v>
      </c>
      <c r="O320" s="3" t="s">
        <v>7364</v>
      </c>
      <c r="P320" s="7">
        <v>0.55000000000000004</v>
      </c>
      <c r="Q320" s="1" t="s">
        <v>7365</v>
      </c>
      <c r="R320" s="2">
        <v>5.1700000000000003E-2</v>
      </c>
      <c r="S320" s="2">
        <f>5806/100000</f>
        <v>5.806E-2</v>
      </c>
      <c r="T320" s="2">
        <v>0.2640208</v>
      </c>
    </row>
    <row r="321" spans="1:20">
      <c r="A321" s="3" t="s">
        <v>2833</v>
      </c>
      <c r="B321" s="1" t="s">
        <v>2807</v>
      </c>
      <c r="C321" s="3" t="s">
        <v>2808</v>
      </c>
      <c r="D321" s="3" t="s">
        <v>2834</v>
      </c>
      <c r="E321" s="3" t="s">
        <v>2835</v>
      </c>
      <c r="F321" s="3" t="s">
        <v>2827</v>
      </c>
      <c r="G321" s="3" t="s">
        <v>2828</v>
      </c>
      <c r="H321" s="11" t="s">
        <v>8096</v>
      </c>
      <c r="I321" s="3" t="s">
        <v>7366</v>
      </c>
      <c r="J321" s="7">
        <v>0.91</v>
      </c>
      <c r="K321" s="1" t="s">
        <v>7367</v>
      </c>
      <c r="L321" s="2">
        <v>0.51700000000000002</v>
      </c>
      <c r="M321" s="2">
        <f>52310/100000</f>
        <v>0.52310000000000001</v>
      </c>
      <c r="N321" s="2">
        <v>0.74478149999999999</v>
      </c>
      <c r="O321" s="3" t="s">
        <v>7368</v>
      </c>
      <c r="P321" s="7">
        <v>0.72</v>
      </c>
      <c r="Q321" s="1" t="s">
        <v>7369</v>
      </c>
      <c r="R321" s="2">
        <v>5.4899999999999997E-2</v>
      </c>
      <c r="S321" s="2">
        <f>6409/100000</f>
        <v>6.4089999999999994E-2</v>
      </c>
      <c r="T321" s="2">
        <v>0.28132780000000002</v>
      </c>
    </row>
    <row r="322" spans="1:20">
      <c r="A322" s="3" t="s">
        <v>2840</v>
      </c>
      <c r="B322" s="1" t="s">
        <v>2841</v>
      </c>
      <c r="C322" s="3" t="s">
        <v>2842</v>
      </c>
      <c r="D322" s="3" t="s">
        <v>2800</v>
      </c>
      <c r="E322" s="3" t="s">
        <v>2801</v>
      </c>
      <c r="F322" s="3" t="s">
        <v>2794</v>
      </c>
      <c r="G322" s="3" t="s">
        <v>2795</v>
      </c>
      <c r="H322" s="11" t="s">
        <v>8201</v>
      </c>
      <c r="I322" s="3" t="s">
        <v>7350</v>
      </c>
      <c r="J322" s="7">
        <v>2.1</v>
      </c>
      <c r="K322" s="1" t="s">
        <v>7351</v>
      </c>
      <c r="L322" s="2">
        <v>5.0899999999999999E-3</v>
      </c>
      <c r="M322" s="2">
        <f>908/100000</f>
        <v>9.0799999999999995E-3</v>
      </c>
      <c r="N322" s="2">
        <v>8.1513639999999998E-2</v>
      </c>
      <c r="O322" s="3" t="s">
        <v>7352</v>
      </c>
      <c r="P322" s="7">
        <v>1.43</v>
      </c>
      <c r="Q322" s="1" t="s">
        <v>7353</v>
      </c>
      <c r="R322" s="2">
        <v>0.20899999999999999</v>
      </c>
      <c r="S322" s="2">
        <f>23526/100000</f>
        <v>0.23526</v>
      </c>
      <c r="T322" s="2">
        <v>0.53442210000000001</v>
      </c>
    </row>
    <row r="323" spans="1:20">
      <c r="A323" s="3" t="s">
        <v>2843</v>
      </c>
      <c r="B323" s="1" t="s">
        <v>2841</v>
      </c>
      <c r="C323" s="3" t="s">
        <v>2842</v>
      </c>
      <c r="D323" s="3" t="s">
        <v>2792</v>
      </c>
      <c r="E323" s="3" t="s">
        <v>2793</v>
      </c>
      <c r="F323" s="3" t="s">
        <v>2794</v>
      </c>
      <c r="G323" s="3" t="s">
        <v>2795</v>
      </c>
      <c r="H323" s="11" t="s">
        <v>8200</v>
      </c>
      <c r="I323" s="3" t="s">
        <v>7346</v>
      </c>
      <c r="J323" s="7">
        <v>1.48</v>
      </c>
      <c r="K323" s="1" t="s">
        <v>7347</v>
      </c>
      <c r="L323" s="2">
        <v>0.17199999999999999</v>
      </c>
      <c r="M323" s="2">
        <f>16905/100000</f>
        <v>0.16905000000000001</v>
      </c>
      <c r="N323" s="2">
        <v>0.45435340000000002</v>
      </c>
      <c r="O323" s="3" t="s">
        <v>7348</v>
      </c>
      <c r="P323" s="7">
        <v>1.89</v>
      </c>
      <c r="Q323" s="1" t="s">
        <v>7349</v>
      </c>
      <c r="R323" s="2">
        <v>2.5899999999999999E-3</v>
      </c>
      <c r="S323" s="2">
        <f>446/100000</f>
        <v>4.4600000000000004E-3</v>
      </c>
      <c r="T323" s="2">
        <v>4.9787169999999999E-2</v>
      </c>
    </row>
    <row r="324" spans="1:20">
      <c r="A324" s="3" t="s">
        <v>2844</v>
      </c>
      <c r="B324" s="1" t="s">
        <v>2845</v>
      </c>
      <c r="C324" s="3" t="s">
        <v>2846</v>
      </c>
      <c r="D324" s="3" t="s">
        <v>2847</v>
      </c>
      <c r="E324" s="3" t="s">
        <v>2848</v>
      </c>
      <c r="F324" s="3" t="s">
        <v>2849</v>
      </c>
      <c r="G324" s="3" t="s">
        <v>2850</v>
      </c>
      <c r="H324" s="11" t="s">
        <v>8204</v>
      </c>
      <c r="I324" s="3" t="s">
        <v>7370</v>
      </c>
      <c r="J324" s="7">
        <v>1.52</v>
      </c>
      <c r="K324" s="1" t="s">
        <v>7371</v>
      </c>
      <c r="L324" s="2">
        <v>5.6899999999999997E-3</v>
      </c>
      <c r="M324" s="2">
        <f>716/100000</f>
        <v>7.1599999999999997E-3</v>
      </c>
      <c r="N324" s="2">
        <v>6.8530300000000002E-2</v>
      </c>
      <c r="O324" s="3" t="s">
        <v>7372</v>
      </c>
      <c r="P324" s="7">
        <v>1.49</v>
      </c>
      <c r="Q324" s="1" t="s">
        <v>7373</v>
      </c>
      <c r="R324" s="2">
        <v>5.7499999999999999E-3</v>
      </c>
      <c r="S324" s="2">
        <f>641/100000</f>
        <v>6.4099999999999999E-3</v>
      </c>
      <c r="T324" s="2">
        <v>6.3543150000000007E-2</v>
      </c>
    </row>
    <row r="325" spans="1:20">
      <c r="A325" s="3" t="s">
        <v>2855</v>
      </c>
      <c r="B325" s="1" t="s">
        <v>2856</v>
      </c>
      <c r="C325" s="3" t="s">
        <v>2857</v>
      </c>
      <c r="D325" s="3" t="s">
        <v>2858</v>
      </c>
      <c r="E325" s="3" t="s">
        <v>2859</v>
      </c>
      <c r="F325" s="3" t="s">
        <v>2860</v>
      </c>
      <c r="G325" s="3" t="s">
        <v>2861</v>
      </c>
      <c r="H325" s="11" t="s">
        <v>8205</v>
      </c>
      <c r="I325" s="3" t="s">
        <v>7374</v>
      </c>
      <c r="J325" s="7">
        <v>0.87</v>
      </c>
      <c r="K325" s="1" t="s">
        <v>7375</v>
      </c>
      <c r="L325" s="2">
        <v>0.44800000000000001</v>
      </c>
      <c r="M325" s="2">
        <f>48372/100000</f>
        <v>0.48371999999999998</v>
      </c>
      <c r="N325" s="2">
        <v>0.73078460000000001</v>
      </c>
      <c r="O325" s="3" t="s">
        <v>7376</v>
      </c>
      <c r="P325" s="7">
        <v>1.37</v>
      </c>
      <c r="Q325" s="1" t="s">
        <v>7377</v>
      </c>
      <c r="R325" s="2">
        <v>9.6100000000000005E-2</v>
      </c>
      <c r="S325" s="2">
        <f>10550/100000</f>
        <v>0.1055</v>
      </c>
      <c r="T325" s="2">
        <v>0.364819</v>
      </c>
    </row>
    <row r="326" spans="1:20">
      <c r="A326" s="3" t="s">
        <v>2866</v>
      </c>
      <c r="B326" s="1" t="s">
        <v>2856</v>
      </c>
      <c r="C326" s="3" t="s">
        <v>2857</v>
      </c>
      <c r="D326" s="3" t="s">
        <v>2867</v>
      </c>
      <c r="E326" s="3" t="s">
        <v>2868</v>
      </c>
      <c r="F326" s="3" t="s">
        <v>2869</v>
      </c>
      <c r="G326" s="3" t="s">
        <v>2870</v>
      </c>
      <c r="H326" s="11" t="s">
        <v>8206</v>
      </c>
      <c r="I326" s="3" t="s">
        <v>7378</v>
      </c>
      <c r="J326" s="7">
        <v>1.22</v>
      </c>
      <c r="K326" s="1" t="s">
        <v>7379</v>
      </c>
      <c r="L326" s="2">
        <v>0.25</v>
      </c>
      <c r="M326" s="2">
        <f>25948/100000</f>
        <v>0.25947999999999999</v>
      </c>
      <c r="N326" s="2">
        <v>0.56259099999999995</v>
      </c>
      <c r="O326" s="3" t="s">
        <v>7380</v>
      </c>
      <c r="P326" s="7">
        <v>1.77</v>
      </c>
      <c r="Q326" s="1" t="s">
        <v>7381</v>
      </c>
      <c r="R326" s="2">
        <v>2.6499999999999999E-2</v>
      </c>
      <c r="S326" s="2">
        <f>3120/100000</f>
        <v>3.1199999999999999E-2</v>
      </c>
      <c r="T326" s="2">
        <v>0.1841517</v>
      </c>
    </row>
    <row r="327" spans="1:20">
      <c r="A327" s="3" t="s">
        <v>2875</v>
      </c>
      <c r="B327" s="1" t="s">
        <v>2876</v>
      </c>
      <c r="C327" s="3" t="s">
        <v>2877</v>
      </c>
      <c r="D327" s="3" t="s">
        <v>2878</v>
      </c>
      <c r="E327" s="3" t="s">
        <v>2879</v>
      </c>
      <c r="F327" s="3" t="s">
        <v>2880</v>
      </c>
      <c r="G327" s="3" t="s">
        <v>2881</v>
      </c>
      <c r="H327" s="11" t="s">
        <v>8207</v>
      </c>
      <c r="I327" s="3" t="s">
        <v>7382</v>
      </c>
      <c r="J327" s="7">
        <v>0.87</v>
      </c>
      <c r="K327" s="1" t="s">
        <v>4959</v>
      </c>
      <c r="L327" s="2">
        <v>0.64600000000000002</v>
      </c>
      <c r="M327" s="2">
        <f>67005/100000</f>
        <v>0.67005000000000003</v>
      </c>
      <c r="N327" s="2">
        <v>0.80511429999999995</v>
      </c>
      <c r="O327" s="3" t="s">
        <v>7383</v>
      </c>
      <c r="P327" s="7">
        <v>0.8</v>
      </c>
      <c r="Q327" s="1" t="s">
        <v>7384</v>
      </c>
      <c r="R327" s="2">
        <v>0.54200000000000004</v>
      </c>
      <c r="S327" s="2">
        <f>62589/100000</f>
        <v>0.62588999999999995</v>
      </c>
      <c r="T327" s="2">
        <v>0.79869500000000004</v>
      </c>
    </row>
    <row r="328" spans="1:20">
      <c r="A328" s="3" t="s">
        <v>2885</v>
      </c>
      <c r="B328" s="1" t="s">
        <v>2876</v>
      </c>
      <c r="C328" s="3" t="s">
        <v>2877</v>
      </c>
      <c r="D328" s="3" t="s">
        <v>2886</v>
      </c>
      <c r="E328" s="3" t="s">
        <v>2887</v>
      </c>
      <c r="F328" s="3" t="s">
        <v>2888</v>
      </c>
      <c r="G328" s="3" t="s">
        <v>2889</v>
      </c>
      <c r="H328" s="11" t="s">
        <v>8098</v>
      </c>
      <c r="I328" s="3" t="s">
        <v>7385</v>
      </c>
      <c r="J328" s="7">
        <v>2.4900000000000002</v>
      </c>
      <c r="K328" s="1" t="s">
        <v>7386</v>
      </c>
      <c r="L328" s="2">
        <v>4.5600000000000002E-2</v>
      </c>
      <c r="M328" s="2">
        <f>6214/100000</f>
        <v>6.2140000000000001E-2</v>
      </c>
      <c r="N328" s="2">
        <v>0.27489960000000002</v>
      </c>
      <c r="O328" s="3" t="s">
        <v>7387</v>
      </c>
      <c r="P328" s="7">
        <v>0</v>
      </c>
      <c r="Q328" s="1" t="s">
        <v>774</v>
      </c>
      <c r="R328" s="2">
        <v>0.14599999999999999</v>
      </c>
      <c r="S328" s="2">
        <f>17834/100000</f>
        <v>0.17834</v>
      </c>
      <c r="T328" s="2">
        <v>0.46586650000000002</v>
      </c>
    </row>
    <row r="329" spans="1:20">
      <c r="A329" s="3" t="s">
        <v>2894</v>
      </c>
      <c r="B329" s="1" t="s">
        <v>2876</v>
      </c>
      <c r="C329" s="3" t="s">
        <v>2877</v>
      </c>
      <c r="D329" s="3" t="s">
        <v>2895</v>
      </c>
      <c r="E329" s="3" t="s">
        <v>2896</v>
      </c>
      <c r="F329" s="3" t="s">
        <v>2897</v>
      </c>
      <c r="G329" s="3" t="s">
        <v>2898</v>
      </c>
      <c r="H329" s="11" t="s">
        <v>8098</v>
      </c>
      <c r="I329" s="3" t="s">
        <v>7388</v>
      </c>
      <c r="J329" s="7">
        <v>0</v>
      </c>
      <c r="K329" s="1" t="s">
        <v>774</v>
      </c>
      <c r="L329" s="2">
        <v>0.13100000000000001</v>
      </c>
      <c r="M329" s="2">
        <f>17258/100000</f>
        <v>0.17258000000000001</v>
      </c>
      <c r="N329" s="2">
        <v>0.46076499999999998</v>
      </c>
      <c r="O329" s="3" t="s">
        <v>7389</v>
      </c>
      <c r="P329" s="7">
        <v>0</v>
      </c>
      <c r="Q329" s="1" t="s">
        <v>774</v>
      </c>
      <c r="R329" s="2">
        <v>9.5699999999999993E-2</v>
      </c>
      <c r="S329" s="2">
        <f>11392/100000</f>
        <v>0.11391999999999999</v>
      </c>
      <c r="T329" s="2">
        <v>0.37913859999999999</v>
      </c>
    </row>
    <row r="330" spans="1:20">
      <c r="A330" s="3" t="s">
        <v>2902</v>
      </c>
      <c r="B330" s="1" t="s">
        <v>2876</v>
      </c>
      <c r="C330" s="3" t="s">
        <v>2877</v>
      </c>
      <c r="D330" s="3" t="s">
        <v>2903</v>
      </c>
      <c r="E330" s="3" t="s">
        <v>2904</v>
      </c>
      <c r="F330" s="3" t="s">
        <v>2905</v>
      </c>
      <c r="G330" s="3" t="s">
        <v>2906</v>
      </c>
      <c r="H330" s="11" t="s">
        <v>8098</v>
      </c>
      <c r="I330" s="3" t="s">
        <v>7390</v>
      </c>
      <c r="J330" s="7">
        <v>1.02</v>
      </c>
      <c r="K330" s="1" t="s">
        <v>643</v>
      </c>
      <c r="L330" s="2">
        <v>0.95699999999999996</v>
      </c>
      <c r="M330" s="2">
        <f>100000/100000</f>
        <v>1</v>
      </c>
      <c r="N330" s="2">
        <v>0.82929589999999997</v>
      </c>
      <c r="O330" s="3" t="s">
        <v>7391</v>
      </c>
      <c r="P330" s="7">
        <v>1.54</v>
      </c>
      <c r="Q330" s="1" t="s">
        <v>7392</v>
      </c>
      <c r="R330" s="2">
        <v>7.8799999999999995E-2</v>
      </c>
      <c r="S330" s="2">
        <f>9863/100000</f>
        <v>9.8629999999999995E-2</v>
      </c>
      <c r="T330" s="2">
        <v>0.3565972</v>
      </c>
    </row>
    <row r="331" spans="1:20">
      <c r="A331" s="3" t="s">
        <v>2911</v>
      </c>
      <c r="B331" s="1" t="s">
        <v>2876</v>
      </c>
      <c r="C331" s="3" t="s">
        <v>2877</v>
      </c>
      <c r="D331" s="3" t="s">
        <v>2912</v>
      </c>
      <c r="E331" s="3" t="s">
        <v>2913</v>
      </c>
      <c r="F331" s="3" t="s">
        <v>2905</v>
      </c>
      <c r="G331" s="3" t="s">
        <v>2906</v>
      </c>
      <c r="H331" s="11" t="s">
        <v>8207</v>
      </c>
      <c r="I331" s="3" t="s">
        <v>7393</v>
      </c>
      <c r="J331" s="7">
        <v>0.99</v>
      </c>
      <c r="K331" s="1" t="s">
        <v>7394</v>
      </c>
      <c r="L331" s="2">
        <v>0.96199999999999997</v>
      </c>
      <c r="M331" s="2">
        <f>100000/100000</f>
        <v>1</v>
      </c>
      <c r="N331" s="2">
        <v>0.82929589999999997</v>
      </c>
      <c r="O331" s="3" t="s">
        <v>7395</v>
      </c>
      <c r="P331" s="7">
        <v>0.84</v>
      </c>
      <c r="Q331" s="1" t="s">
        <v>7396</v>
      </c>
      <c r="R331" s="2">
        <v>0.52800000000000002</v>
      </c>
      <c r="S331" s="2">
        <f>60895/100000</f>
        <v>0.60894999999999999</v>
      </c>
      <c r="T331" s="2">
        <v>0.78810860000000005</v>
      </c>
    </row>
    <row r="332" spans="1:20">
      <c r="A332" s="3" t="s">
        <v>2918</v>
      </c>
      <c r="B332" s="1" t="s">
        <v>2876</v>
      </c>
      <c r="C332" s="3" t="s">
        <v>2877</v>
      </c>
      <c r="D332" s="3" t="s">
        <v>2919</v>
      </c>
      <c r="E332" s="3" t="s">
        <v>2920</v>
      </c>
      <c r="F332" s="3" t="s">
        <v>2897</v>
      </c>
      <c r="G332" s="3" t="s">
        <v>2898</v>
      </c>
      <c r="H332" s="11" t="s">
        <v>8207</v>
      </c>
      <c r="I332" s="3" t="s">
        <v>7397</v>
      </c>
      <c r="J332" s="7">
        <v>0</v>
      </c>
      <c r="K332" s="1" t="s">
        <v>774</v>
      </c>
      <c r="L332" s="2">
        <v>6.2799999999999995E-2</v>
      </c>
      <c r="M332" s="2">
        <f>8167/100000</f>
        <v>8.1670000000000006E-2</v>
      </c>
      <c r="N332" s="2">
        <v>0.3226137</v>
      </c>
      <c r="O332" s="3" t="s">
        <v>7398</v>
      </c>
      <c r="P332" s="7">
        <v>0.59</v>
      </c>
      <c r="Q332" s="1" t="s">
        <v>7399</v>
      </c>
      <c r="R332" s="2">
        <v>0.45300000000000001</v>
      </c>
      <c r="S332" s="2">
        <f>58586/100000</f>
        <v>0.58586000000000005</v>
      </c>
      <c r="T332" s="2">
        <v>0.77594379999999996</v>
      </c>
    </row>
    <row r="333" spans="1:20">
      <c r="A333" s="3" t="s">
        <v>2924</v>
      </c>
      <c r="B333" s="1" t="s">
        <v>2876</v>
      </c>
      <c r="C333" s="3" t="s">
        <v>2877</v>
      </c>
      <c r="D333" s="3" t="s">
        <v>2925</v>
      </c>
      <c r="E333" s="3" t="s">
        <v>2926</v>
      </c>
      <c r="F333" s="3" t="s">
        <v>2888</v>
      </c>
      <c r="G333" s="3" t="s">
        <v>2889</v>
      </c>
      <c r="H333" s="11" t="s">
        <v>8207</v>
      </c>
      <c r="I333" s="3" t="s">
        <v>7400</v>
      </c>
      <c r="J333" s="7">
        <v>0.9</v>
      </c>
      <c r="K333" s="1" t="s">
        <v>7401</v>
      </c>
      <c r="L333" s="2">
        <v>0.86199999999999999</v>
      </c>
      <c r="M333" s="2">
        <f>100000/100000</f>
        <v>1</v>
      </c>
      <c r="N333" s="2">
        <v>0.82929589999999997</v>
      </c>
      <c r="O333" s="3" t="s">
        <v>7402</v>
      </c>
      <c r="P333" s="7">
        <v>0</v>
      </c>
      <c r="Q333" s="1" t="s">
        <v>774</v>
      </c>
      <c r="R333" s="2">
        <v>6.5699999999999995E-2</v>
      </c>
      <c r="S333" s="2">
        <f>7922/100000</f>
        <v>7.9219999999999999E-2</v>
      </c>
      <c r="T333" s="2">
        <v>0.31723240000000003</v>
      </c>
    </row>
    <row r="334" spans="1:20">
      <c r="A334" s="3" t="s">
        <v>2931</v>
      </c>
      <c r="B334" s="1" t="s">
        <v>2876</v>
      </c>
      <c r="C334" s="3" t="s">
        <v>2877</v>
      </c>
      <c r="D334" s="3" t="s">
        <v>2932</v>
      </c>
      <c r="E334" s="3" t="s">
        <v>2933</v>
      </c>
      <c r="F334" s="3" t="s">
        <v>2880</v>
      </c>
      <c r="G334" s="3" t="s">
        <v>2881</v>
      </c>
      <c r="H334" s="11" t="s">
        <v>8098</v>
      </c>
      <c r="I334" s="3" t="s">
        <v>7403</v>
      </c>
      <c r="J334" s="7">
        <v>1.24</v>
      </c>
      <c r="K334" s="1" t="s">
        <v>7404</v>
      </c>
      <c r="L334" s="2">
        <v>0.40799999999999997</v>
      </c>
      <c r="M334" s="2">
        <f>46971/100000</f>
        <v>0.46971000000000002</v>
      </c>
      <c r="N334" s="2">
        <v>0.71700830000000004</v>
      </c>
      <c r="O334" s="3" t="s">
        <v>7405</v>
      </c>
      <c r="P334" s="7">
        <v>1</v>
      </c>
      <c r="Q334" s="1" t="s">
        <v>7406</v>
      </c>
      <c r="R334" s="2">
        <v>0.996</v>
      </c>
      <c r="S334" s="2">
        <f>100000/100000</f>
        <v>1</v>
      </c>
      <c r="T334" s="2">
        <v>0.82929589999999997</v>
      </c>
    </row>
    <row r="335" spans="1:20">
      <c r="A335" s="3" t="s">
        <v>2938</v>
      </c>
      <c r="B335" s="1" t="s">
        <v>2939</v>
      </c>
      <c r="C335" s="3" t="s">
        <v>2940</v>
      </c>
      <c r="D335" s="3" t="s">
        <v>2941</v>
      </c>
      <c r="E335" s="3" t="s">
        <v>2942</v>
      </c>
      <c r="F335" s="3" t="s">
        <v>2943</v>
      </c>
      <c r="G335" s="3" t="s">
        <v>2944</v>
      </c>
      <c r="H335" s="11" t="s">
        <v>8208</v>
      </c>
      <c r="I335" s="3" t="s">
        <v>7407</v>
      </c>
      <c r="J335" s="7">
        <v>1.03</v>
      </c>
      <c r="K335" s="1" t="s">
        <v>7408</v>
      </c>
      <c r="L335" s="2">
        <v>0.88700000000000001</v>
      </c>
      <c r="M335" s="2">
        <f>91243/100000</f>
        <v>0.91242999999999996</v>
      </c>
      <c r="N335" s="2">
        <v>0.82929589999999997</v>
      </c>
      <c r="O335" s="3" t="s">
        <v>7409</v>
      </c>
      <c r="P335" s="7">
        <v>1.1299999999999999</v>
      </c>
      <c r="Q335" s="1" t="s">
        <v>7410</v>
      </c>
      <c r="R335" s="2">
        <v>0.61499999999999999</v>
      </c>
      <c r="S335" s="2">
        <f>61830/100000</f>
        <v>0.61829999999999996</v>
      </c>
      <c r="T335" s="2">
        <v>0.79614399999999996</v>
      </c>
    </row>
    <row r="336" spans="1:20">
      <c r="A336" s="3" t="s">
        <v>2949</v>
      </c>
      <c r="B336" s="1" t="s">
        <v>2939</v>
      </c>
      <c r="C336" s="3" t="s">
        <v>2940</v>
      </c>
      <c r="D336" s="3" t="s">
        <v>2950</v>
      </c>
      <c r="E336" s="3" t="s">
        <v>2951</v>
      </c>
      <c r="F336" s="3" t="s">
        <v>2943</v>
      </c>
      <c r="G336" s="3" t="s">
        <v>2944</v>
      </c>
      <c r="H336" s="11" t="s">
        <v>8208</v>
      </c>
      <c r="I336" s="3" t="s">
        <v>7411</v>
      </c>
      <c r="J336" s="7">
        <v>1.07</v>
      </c>
      <c r="K336" s="1" t="s">
        <v>7412</v>
      </c>
      <c r="L336" s="2">
        <v>0.71</v>
      </c>
      <c r="M336" s="2">
        <f>77556/100000</f>
        <v>0.77556000000000003</v>
      </c>
      <c r="N336" s="2">
        <v>0.82929589999999997</v>
      </c>
      <c r="O336" s="3" t="s">
        <v>7413</v>
      </c>
      <c r="P336" s="7">
        <v>1.32</v>
      </c>
      <c r="Q336" s="1" t="s">
        <v>7414</v>
      </c>
      <c r="R336" s="2">
        <v>9.3700000000000006E-2</v>
      </c>
      <c r="S336" s="2">
        <f>9371/100000</f>
        <v>9.3710000000000002E-2</v>
      </c>
      <c r="T336" s="2">
        <v>0.34738940000000001</v>
      </c>
    </row>
    <row r="337" spans="1:20">
      <c r="A337" s="3" t="s">
        <v>2956</v>
      </c>
      <c r="B337" s="1" t="s">
        <v>2957</v>
      </c>
      <c r="C337" s="3" t="s">
        <v>2958</v>
      </c>
      <c r="D337" s="3" t="s">
        <v>2959</v>
      </c>
      <c r="E337" s="3" t="s">
        <v>2960</v>
      </c>
      <c r="F337" s="3" t="s">
        <v>2961</v>
      </c>
      <c r="G337" s="3" t="s">
        <v>2962</v>
      </c>
      <c r="H337" s="11" t="s">
        <v>8195</v>
      </c>
      <c r="I337" s="3" t="s">
        <v>7415</v>
      </c>
      <c r="J337" s="7">
        <v>1.78</v>
      </c>
      <c r="K337" s="1" t="s">
        <v>7416</v>
      </c>
      <c r="L337" s="2">
        <v>1.9800000000000002E-2</v>
      </c>
      <c r="M337" s="2">
        <f>2411/100000</f>
        <v>2.4109999999999999E-2</v>
      </c>
      <c r="N337" s="2">
        <v>0.15507960000000001</v>
      </c>
      <c r="O337" s="3" t="s">
        <v>7417</v>
      </c>
      <c r="P337" s="7">
        <v>1.1499999999999999</v>
      </c>
      <c r="Q337" s="1" t="s">
        <v>7418</v>
      </c>
      <c r="R337" s="2">
        <v>0.66500000000000004</v>
      </c>
      <c r="S337" s="2">
        <f>72679/100000</f>
        <v>0.72679000000000005</v>
      </c>
      <c r="T337" s="2">
        <v>0.82137769999999999</v>
      </c>
    </row>
    <row r="338" spans="1:20">
      <c r="A338" s="3" t="s">
        <v>2967</v>
      </c>
      <c r="B338" s="1" t="s">
        <v>2968</v>
      </c>
      <c r="C338" s="3" t="s">
        <v>2969</v>
      </c>
      <c r="D338" s="3" t="s">
        <v>2970</v>
      </c>
      <c r="E338" s="3" t="s">
        <v>2971</v>
      </c>
      <c r="F338" s="3" t="s">
        <v>2972</v>
      </c>
      <c r="G338" s="3" t="s">
        <v>2973</v>
      </c>
      <c r="H338" s="11" t="s">
        <v>8072</v>
      </c>
      <c r="I338" s="3" t="s">
        <v>7419</v>
      </c>
      <c r="J338" s="7">
        <v>0.59</v>
      </c>
      <c r="K338" s="1" t="s">
        <v>7420</v>
      </c>
      <c r="L338" s="2">
        <v>0.20200000000000001</v>
      </c>
      <c r="M338" s="2">
        <f>25317/100000</f>
        <v>0.25317000000000001</v>
      </c>
      <c r="N338" s="2">
        <v>0.55424700000000005</v>
      </c>
      <c r="O338" s="3" t="s">
        <v>7421</v>
      </c>
      <c r="P338" s="7">
        <v>0.96</v>
      </c>
      <c r="Q338" s="1" t="s">
        <v>7422</v>
      </c>
      <c r="R338" s="2">
        <v>0.89800000000000002</v>
      </c>
      <c r="S338" s="2">
        <f>100000/100000</f>
        <v>1</v>
      </c>
      <c r="T338" s="2">
        <v>0.82929589999999997</v>
      </c>
    </row>
    <row r="339" spans="1:20">
      <c r="A339" s="3" t="s">
        <v>2978</v>
      </c>
      <c r="B339" s="1" t="s">
        <v>2979</v>
      </c>
      <c r="C339" s="3" t="s">
        <v>2980</v>
      </c>
      <c r="D339" s="3" t="s">
        <v>2981</v>
      </c>
      <c r="E339" s="3" t="s">
        <v>2982</v>
      </c>
      <c r="F339" s="3" t="s">
        <v>2983</v>
      </c>
      <c r="G339" s="3" t="s">
        <v>2315</v>
      </c>
      <c r="H339" s="11" t="s">
        <v>8109</v>
      </c>
      <c r="I339" s="3" t="s">
        <v>7423</v>
      </c>
      <c r="J339" s="7">
        <v>1.18</v>
      </c>
      <c r="K339" s="1" t="s">
        <v>7424</v>
      </c>
      <c r="L339" s="2">
        <v>0.42199999999999999</v>
      </c>
      <c r="M339" s="2">
        <f>43351/100000</f>
        <v>0.43351000000000001</v>
      </c>
      <c r="N339" s="2">
        <v>0.68614220000000004</v>
      </c>
      <c r="O339" s="3" t="s">
        <v>7425</v>
      </c>
      <c r="P339" s="7">
        <v>1.29</v>
      </c>
      <c r="Q339" s="1" t="s">
        <v>7426</v>
      </c>
      <c r="R339" s="2">
        <v>0.20100000000000001</v>
      </c>
      <c r="S339" s="2">
        <f>21754/100000</f>
        <v>0.21754000000000001</v>
      </c>
      <c r="T339" s="2">
        <v>0.5106889</v>
      </c>
    </row>
    <row r="340" spans="1:20">
      <c r="A340" s="3" t="s">
        <v>2988</v>
      </c>
      <c r="B340" s="1" t="s">
        <v>2979</v>
      </c>
      <c r="C340" s="3" t="s">
        <v>2980</v>
      </c>
      <c r="D340" s="3" t="s">
        <v>2989</v>
      </c>
      <c r="E340" s="3" t="s">
        <v>2990</v>
      </c>
      <c r="F340" s="3" t="s">
        <v>2991</v>
      </c>
      <c r="G340" s="3" t="s">
        <v>2324</v>
      </c>
      <c r="H340" s="11" t="s">
        <v>8109</v>
      </c>
      <c r="I340" s="3" t="s">
        <v>7427</v>
      </c>
      <c r="J340" s="7">
        <v>0.86</v>
      </c>
      <c r="K340" s="1" t="s">
        <v>1942</v>
      </c>
      <c r="L340" s="2">
        <v>0.52800000000000002</v>
      </c>
      <c r="M340" s="2">
        <f>57729/100000</f>
        <v>0.57728999999999997</v>
      </c>
      <c r="N340" s="2">
        <v>0.76719190000000004</v>
      </c>
      <c r="O340" s="3" t="s">
        <v>7428</v>
      </c>
      <c r="P340" s="7">
        <v>1.45</v>
      </c>
      <c r="Q340" s="1" t="s">
        <v>7429</v>
      </c>
      <c r="R340" s="2">
        <v>4.6300000000000001E-2</v>
      </c>
      <c r="S340" s="2">
        <f>4851/100000</f>
        <v>4.8509999999999998E-2</v>
      </c>
      <c r="T340" s="2">
        <v>0.23764070000000001</v>
      </c>
    </row>
    <row r="341" spans="1:20">
      <c r="A341" s="3" t="s">
        <v>2996</v>
      </c>
      <c r="B341" s="1" t="s">
        <v>2997</v>
      </c>
      <c r="C341" s="3" t="s">
        <v>2998</v>
      </c>
      <c r="D341" s="3" t="s">
        <v>2981</v>
      </c>
      <c r="E341" s="3" t="s">
        <v>2982</v>
      </c>
      <c r="F341" s="3" t="s">
        <v>2983</v>
      </c>
      <c r="G341" s="3" t="s">
        <v>2315</v>
      </c>
      <c r="H341" s="11" t="s">
        <v>8109</v>
      </c>
      <c r="I341" s="3" t="s">
        <v>7423</v>
      </c>
      <c r="J341" s="7">
        <v>1.18</v>
      </c>
      <c r="K341" s="1" t="s">
        <v>7424</v>
      </c>
      <c r="L341" s="2">
        <v>0.42199999999999999</v>
      </c>
      <c r="M341" s="2">
        <f>43351/100000</f>
        <v>0.43351000000000001</v>
      </c>
      <c r="N341" s="2">
        <v>0.68614220000000004</v>
      </c>
      <c r="O341" s="3" t="s">
        <v>7425</v>
      </c>
      <c r="P341" s="7">
        <v>1.29</v>
      </c>
      <c r="Q341" s="1" t="s">
        <v>7426</v>
      </c>
      <c r="R341" s="2">
        <v>0.20100000000000001</v>
      </c>
      <c r="S341" s="2">
        <f>21754/100000</f>
        <v>0.21754000000000001</v>
      </c>
      <c r="T341" s="2">
        <v>0.5106889</v>
      </c>
    </row>
    <row r="342" spans="1:20">
      <c r="A342" s="3" t="s">
        <v>2999</v>
      </c>
      <c r="B342" s="1" t="s">
        <v>2997</v>
      </c>
      <c r="C342" s="3" t="s">
        <v>2998</v>
      </c>
      <c r="D342" s="3" t="s">
        <v>2989</v>
      </c>
      <c r="E342" s="3" t="s">
        <v>2990</v>
      </c>
      <c r="F342" s="3" t="s">
        <v>2991</v>
      </c>
      <c r="G342" s="3" t="s">
        <v>2324</v>
      </c>
      <c r="H342" s="11" t="s">
        <v>8109</v>
      </c>
      <c r="I342" s="3" t="s">
        <v>7427</v>
      </c>
      <c r="J342" s="7">
        <v>0.86</v>
      </c>
      <c r="K342" s="1" t="s">
        <v>1942</v>
      </c>
      <c r="L342" s="2">
        <v>0.52800000000000002</v>
      </c>
      <c r="M342" s="2">
        <f>57729/100000</f>
        <v>0.57728999999999997</v>
      </c>
      <c r="N342" s="2">
        <v>0.76719190000000004</v>
      </c>
      <c r="O342" s="3" t="s">
        <v>7428</v>
      </c>
      <c r="P342" s="7">
        <v>1.45</v>
      </c>
      <c r="Q342" s="1" t="s">
        <v>7429</v>
      </c>
      <c r="R342" s="2">
        <v>4.6300000000000001E-2</v>
      </c>
      <c r="S342" s="2">
        <f>4851/100000</f>
        <v>4.8509999999999998E-2</v>
      </c>
      <c r="T342" s="2">
        <v>0.23764070000000001</v>
      </c>
    </row>
    <row r="343" spans="1:20">
      <c r="A343" s="3" t="s">
        <v>3000</v>
      </c>
      <c r="B343" s="1" t="s">
        <v>3001</v>
      </c>
      <c r="C343" s="3" t="s">
        <v>3002</v>
      </c>
      <c r="D343" s="3" t="s">
        <v>3003</v>
      </c>
      <c r="E343" s="3" t="s">
        <v>3004</v>
      </c>
      <c r="F343" s="3" t="s">
        <v>3005</v>
      </c>
      <c r="G343" s="3" t="s">
        <v>3006</v>
      </c>
      <c r="H343" s="11" t="s">
        <v>8209</v>
      </c>
      <c r="I343" s="3" t="s">
        <v>7430</v>
      </c>
      <c r="J343" s="7">
        <v>1.22</v>
      </c>
      <c r="K343" s="1" t="s">
        <v>7431</v>
      </c>
      <c r="L343" s="2">
        <v>0.55400000000000005</v>
      </c>
      <c r="M343" s="2">
        <f>56826/100000</f>
        <v>0.56825999999999999</v>
      </c>
      <c r="N343" s="2">
        <v>0.76153519999999997</v>
      </c>
      <c r="O343" s="3" t="s">
        <v>7432</v>
      </c>
      <c r="P343" s="7">
        <v>1</v>
      </c>
      <c r="Q343" s="1" t="s">
        <v>7433</v>
      </c>
      <c r="R343" s="2">
        <v>1</v>
      </c>
      <c r="S343" s="2">
        <f>100000/100000</f>
        <v>1</v>
      </c>
      <c r="T343" s="2">
        <v>0.82929589999999997</v>
      </c>
    </row>
    <row r="344" spans="1:20">
      <c r="A344" s="3" t="s">
        <v>3010</v>
      </c>
      <c r="B344" s="1" t="s">
        <v>3001</v>
      </c>
      <c r="C344" s="3" t="s">
        <v>3002</v>
      </c>
      <c r="D344" s="3" t="s">
        <v>3011</v>
      </c>
      <c r="E344" s="3" t="s">
        <v>3012</v>
      </c>
      <c r="F344" s="3" t="s">
        <v>3013</v>
      </c>
      <c r="G344" s="3" t="s">
        <v>3014</v>
      </c>
      <c r="H344" s="11" t="s">
        <v>8209</v>
      </c>
      <c r="I344" s="3" t="s">
        <v>7434</v>
      </c>
      <c r="J344" s="7">
        <v>0.73</v>
      </c>
      <c r="K344" s="1" t="s">
        <v>7435</v>
      </c>
      <c r="L344" s="2">
        <v>0.443</v>
      </c>
      <c r="M344" s="2">
        <f>48666/100000</f>
        <v>0.48665999999999998</v>
      </c>
      <c r="N344" s="2">
        <v>0.73078460000000001</v>
      </c>
      <c r="O344" s="3" t="s">
        <v>7436</v>
      </c>
      <c r="P344" s="7">
        <v>0.67</v>
      </c>
      <c r="Q344" s="1" t="s">
        <v>7437</v>
      </c>
      <c r="R344" s="2">
        <v>0.17199999999999999</v>
      </c>
      <c r="S344" s="2">
        <f>17546/100000</f>
        <v>0.17546</v>
      </c>
      <c r="T344" s="2">
        <v>0.46368680000000001</v>
      </c>
    </row>
    <row r="345" spans="1:20">
      <c r="A345" s="3" t="s">
        <v>3018</v>
      </c>
      <c r="B345" s="1" t="s">
        <v>3019</v>
      </c>
      <c r="C345" s="3" t="s">
        <v>3020</v>
      </c>
      <c r="D345" s="3" t="s">
        <v>3021</v>
      </c>
      <c r="E345" s="3" t="s">
        <v>3022</v>
      </c>
      <c r="F345" s="3" t="s">
        <v>3023</v>
      </c>
      <c r="G345" s="3" t="s">
        <v>3024</v>
      </c>
      <c r="H345" s="11" t="s">
        <v>8210</v>
      </c>
      <c r="I345" s="3" t="s">
        <v>7438</v>
      </c>
      <c r="J345" s="7">
        <v>0.24</v>
      </c>
      <c r="K345" s="1" t="s">
        <v>7439</v>
      </c>
      <c r="L345" s="2">
        <v>0.126</v>
      </c>
      <c r="M345" s="2">
        <f>19254/100000</f>
        <v>0.19253999999999999</v>
      </c>
      <c r="N345" s="2">
        <v>0.48203059999999998</v>
      </c>
      <c r="O345" s="3" t="s">
        <v>7440</v>
      </c>
      <c r="P345" s="7">
        <v>2.74</v>
      </c>
      <c r="Q345" s="1" t="s">
        <v>7441</v>
      </c>
      <c r="R345" s="2">
        <v>8.3900000000000002E-2</v>
      </c>
      <c r="S345" s="2">
        <f>10904/100000</f>
        <v>0.10904</v>
      </c>
      <c r="T345" s="2">
        <v>0.37067220000000001</v>
      </c>
    </row>
    <row r="346" spans="1:20">
      <c r="A346" s="3" t="s">
        <v>3029</v>
      </c>
      <c r="B346" s="1" t="s">
        <v>3030</v>
      </c>
      <c r="C346" s="3" t="s">
        <v>3031</v>
      </c>
      <c r="D346" s="3" t="s">
        <v>3032</v>
      </c>
      <c r="E346" s="3" t="s">
        <v>3033</v>
      </c>
      <c r="F346" s="3" t="s">
        <v>3034</v>
      </c>
      <c r="G346" s="3" t="s">
        <v>3035</v>
      </c>
      <c r="H346" s="11" t="s">
        <v>8211</v>
      </c>
      <c r="I346" s="3" t="s">
        <v>7442</v>
      </c>
      <c r="J346" s="7">
        <v>1.39</v>
      </c>
      <c r="K346" s="1" t="s">
        <v>7443</v>
      </c>
      <c r="L346" s="2">
        <v>0.317</v>
      </c>
      <c r="M346" s="2">
        <f>33863/100000</f>
        <v>0.33862999999999999</v>
      </c>
      <c r="N346" s="2">
        <v>0.61526179999999997</v>
      </c>
      <c r="O346" s="3" t="s">
        <v>7444</v>
      </c>
      <c r="P346" s="7">
        <v>0.94</v>
      </c>
      <c r="Q346" s="1" t="s">
        <v>7445</v>
      </c>
      <c r="R346" s="2">
        <v>0.85699999999999998</v>
      </c>
      <c r="S346" s="2">
        <f>86635/100000</f>
        <v>0.86634999999999995</v>
      </c>
      <c r="T346" s="2">
        <v>0.82929589999999997</v>
      </c>
    </row>
    <row r="347" spans="1:20">
      <c r="A347" s="3" t="s">
        <v>3040</v>
      </c>
      <c r="B347" s="1" t="s">
        <v>3041</v>
      </c>
      <c r="C347" s="3" t="s">
        <v>3042</v>
      </c>
      <c r="D347" s="3" t="s">
        <v>3043</v>
      </c>
      <c r="E347" s="3" t="s">
        <v>3044</v>
      </c>
      <c r="F347" s="3" t="s">
        <v>3045</v>
      </c>
      <c r="G347" s="3" t="s">
        <v>3046</v>
      </c>
      <c r="H347" s="11" t="s">
        <v>8078</v>
      </c>
      <c r="I347" s="3" t="s">
        <v>7446</v>
      </c>
      <c r="J347" s="7">
        <v>1.72</v>
      </c>
      <c r="K347" s="1" t="s">
        <v>7447</v>
      </c>
      <c r="L347" s="2">
        <v>0.16600000000000001</v>
      </c>
      <c r="M347" s="2">
        <f>20251/100000</f>
        <v>0.20251</v>
      </c>
      <c r="N347" s="2">
        <v>0.49123699999999998</v>
      </c>
      <c r="O347" s="3" t="s">
        <v>7448</v>
      </c>
      <c r="P347" s="7">
        <v>0.23</v>
      </c>
      <c r="Q347" s="1" t="s">
        <v>6683</v>
      </c>
      <c r="R347" s="2">
        <v>0.111</v>
      </c>
      <c r="S347" s="2">
        <f>13039/100000</f>
        <v>0.13039000000000001</v>
      </c>
      <c r="T347" s="2">
        <v>0.39640740000000002</v>
      </c>
    </row>
    <row r="348" spans="1:20">
      <c r="A348" s="3" t="s">
        <v>3051</v>
      </c>
      <c r="B348" s="1" t="s">
        <v>3052</v>
      </c>
      <c r="C348" s="3" t="s">
        <v>3053</v>
      </c>
      <c r="D348" s="3" t="s">
        <v>3043</v>
      </c>
      <c r="E348" s="3" t="s">
        <v>3044</v>
      </c>
      <c r="F348" s="3" t="s">
        <v>3045</v>
      </c>
      <c r="G348" s="3" t="s">
        <v>3046</v>
      </c>
      <c r="H348" s="11" t="s">
        <v>8078</v>
      </c>
      <c r="I348" s="3" t="s">
        <v>7446</v>
      </c>
      <c r="J348" s="7">
        <v>1.72</v>
      </c>
      <c r="K348" s="1" t="s">
        <v>7447</v>
      </c>
      <c r="L348" s="2">
        <v>0.16600000000000001</v>
      </c>
      <c r="M348" s="2">
        <f>20251/100000</f>
        <v>0.20251</v>
      </c>
      <c r="N348" s="2">
        <v>0.49123699999999998</v>
      </c>
      <c r="O348" s="3" t="s">
        <v>7448</v>
      </c>
      <c r="P348" s="7">
        <v>0.23</v>
      </c>
      <c r="Q348" s="1" t="s">
        <v>6683</v>
      </c>
      <c r="R348" s="2">
        <v>0.111</v>
      </c>
      <c r="S348" s="2">
        <f>13039/100000</f>
        <v>0.13039000000000001</v>
      </c>
      <c r="T348" s="2">
        <v>0.39640740000000002</v>
      </c>
    </row>
    <row r="349" spans="1:20">
      <c r="A349" s="3" t="s">
        <v>3054</v>
      </c>
      <c r="B349" s="1" t="s">
        <v>3055</v>
      </c>
      <c r="C349" s="3" t="s">
        <v>3056</v>
      </c>
      <c r="D349" s="3" t="s">
        <v>3057</v>
      </c>
      <c r="E349" s="3" t="s">
        <v>3058</v>
      </c>
      <c r="F349" s="3" t="s">
        <v>3059</v>
      </c>
      <c r="G349" s="3" t="s">
        <v>3060</v>
      </c>
      <c r="H349" s="11" t="s">
        <v>8212</v>
      </c>
      <c r="I349" s="3" t="s">
        <v>7449</v>
      </c>
      <c r="J349" s="7">
        <v>1.06</v>
      </c>
      <c r="K349" s="1" t="s">
        <v>5244</v>
      </c>
      <c r="L349" s="2">
        <v>0.86499999999999999</v>
      </c>
      <c r="M349" s="2">
        <f>100000/100000</f>
        <v>1</v>
      </c>
      <c r="N349" s="2">
        <v>0.82929589999999997</v>
      </c>
      <c r="O349" s="3" t="s">
        <v>7450</v>
      </c>
      <c r="P349" s="7">
        <v>1</v>
      </c>
      <c r="Q349" s="1" t="s">
        <v>6285</v>
      </c>
      <c r="R349" s="2">
        <v>0.99199999999999999</v>
      </c>
      <c r="S349" s="2">
        <f>100000/100000</f>
        <v>1</v>
      </c>
      <c r="T349" s="2">
        <v>0.82929589999999997</v>
      </c>
    </row>
    <row r="350" spans="1:20">
      <c r="A350" s="3" t="s">
        <v>3065</v>
      </c>
      <c r="B350" s="1" t="s">
        <v>3066</v>
      </c>
      <c r="C350" s="3" t="s">
        <v>3067</v>
      </c>
      <c r="D350" s="3" t="s">
        <v>3057</v>
      </c>
      <c r="E350" s="3" t="s">
        <v>3058</v>
      </c>
      <c r="F350" s="3" t="s">
        <v>3059</v>
      </c>
      <c r="G350" s="3" t="s">
        <v>3060</v>
      </c>
      <c r="H350" s="11" t="s">
        <v>8212</v>
      </c>
      <c r="I350" s="3" t="s">
        <v>7449</v>
      </c>
      <c r="J350" s="7">
        <v>1.06</v>
      </c>
      <c r="K350" s="1" t="s">
        <v>5244</v>
      </c>
      <c r="L350" s="2">
        <v>0.86499999999999999</v>
      </c>
      <c r="M350" s="2">
        <f>100000/100000</f>
        <v>1</v>
      </c>
      <c r="N350" s="2">
        <v>0.82929589999999997</v>
      </c>
      <c r="O350" s="3" t="s">
        <v>7450</v>
      </c>
      <c r="P350" s="7">
        <v>1</v>
      </c>
      <c r="Q350" s="1" t="s">
        <v>6285</v>
      </c>
      <c r="R350" s="2">
        <v>0.99199999999999999</v>
      </c>
      <c r="S350" s="2">
        <f>100000/100000</f>
        <v>1</v>
      </c>
      <c r="T350" s="2">
        <v>0.82929589999999997</v>
      </c>
    </row>
    <row r="351" spans="1:20">
      <c r="A351" s="3" t="s">
        <v>3068</v>
      </c>
      <c r="B351" s="1" t="s">
        <v>3069</v>
      </c>
      <c r="C351" s="3" t="s">
        <v>3070</v>
      </c>
      <c r="D351" s="3" t="s">
        <v>3071</v>
      </c>
      <c r="E351" s="3" t="s">
        <v>3072</v>
      </c>
      <c r="F351" s="3" t="s">
        <v>3073</v>
      </c>
      <c r="G351" s="3" t="s">
        <v>3074</v>
      </c>
      <c r="H351" s="11" t="s">
        <v>8100</v>
      </c>
      <c r="I351" s="3" t="s">
        <v>7451</v>
      </c>
      <c r="J351" s="7">
        <v>1.52</v>
      </c>
      <c r="K351" s="1" t="s">
        <v>7452</v>
      </c>
      <c r="L351" s="2">
        <v>3.1800000000000002E-2</v>
      </c>
      <c r="M351" s="2">
        <f>3469/100000</f>
        <v>3.4689999999999999E-2</v>
      </c>
      <c r="N351" s="2">
        <v>0.1960739</v>
      </c>
      <c r="O351" s="3" t="s">
        <v>7453</v>
      </c>
      <c r="P351" s="7">
        <v>1.04</v>
      </c>
      <c r="Q351" s="1" t="s">
        <v>7454</v>
      </c>
      <c r="R351" s="2">
        <v>0.85699999999999998</v>
      </c>
      <c r="S351" s="2">
        <f>90668/100000</f>
        <v>0.90668000000000004</v>
      </c>
      <c r="T351" s="2">
        <v>0.82929589999999997</v>
      </c>
    </row>
    <row r="352" spans="1:20">
      <c r="A352" s="3" t="s">
        <v>3079</v>
      </c>
      <c r="B352" s="1" t="s">
        <v>3069</v>
      </c>
      <c r="C352" s="3" t="s">
        <v>3070</v>
      </c>
      <c r="D352" s="3" t="s">
        <v>3080</v>
      </c>
      <c r="E352" s="3" t="s">
        <v>3081</v>
      </c>
      <c r="F352" s="3" t="s">
        <v>3073</v>
      </c>
      <c r="G352" s="3" t="s">
        <v>3074</v>
      </c>
      <c r="H352" s="11" t="s">
        <v>8100</v>
      </c>
      <c r="I352" s="3" t="s">
        <v>7455</v>
      </c>
      <c r="J352" s="7">
        <v>1.46</v>
      </c>
      <c r="K352" s="1" t="s">
        <v>7456</v>
      </c>
      <c r="L352" s="2">
        <v>4.0800000000000003E-2</v>
      </c>
      <c r="M352" s="2">
        <f>4907/100000</f>
        <v>4.9070000000000003E-2</v>
      </c>
      <c r="N352" s="2">
        <v>0.23921110000000001</v>
      </c>
      <c r="O352" s="3" t="s">
        <v>7457</v>
      </c>
      <c r="P352" s="7">
        <v>1.1599999999999999</v>
      </c>
      <c r="Q352" s="1" t="s">
        <v>7458</v>
      </c>
      <c r="R352" s="2">
        <v>0.48499999999999999</v>
      </c>
      <c r="S352" s="2">
        <f>49985/100000</f>
        <v>0.49985000000000002</v>
      </c>
      <c r="T352" s="2">
        <v>0.73609519999999995</v>
      </c>
    </row>
    <row r="353" spans="1:20">
      <c r="A353" s="3" t="s">
        <v>3086</v>
      </c>
      <c r="B353" s="1" t="s">
        <v>3087</v>
      </c>
      <c r="C353" s="3" t="s">
        <v>3088</v>
      </c>
      <c r="D353" s="3" t="s">
        <v>3089</v>
      </c>
      <c r="E353" s="3" t="s">
        <v>3090</v>
      </c>
      <c r="F353" s="3" t="s">
        <v>3091</v>
      </c>
      <c r="G353" s="3" t="s">
        <v>3092</v>
      </c>
      <c r="H353" s="11" t="s">
        <v>8213</v>
      </c>
      <c r="I353" s="3" t="s">
        <v>7459</v>
      </c>
      <c r="J353" s="7">
        <v>1.04</v>
      </c>
      <c r="K353" s="1" t="s">
        <v>7460</v>
      </c>
      <c r="L353" s="2">
        <v>0.88800000000000001</v>
      </c>
      <c r="M353" s="2">
        <f>100000/100000</f>
        <v>1</v>
      </c>
      <c r="N353" s="2">
        <v>0.82929589999999997</v>
      </c>
      <c r="O353" s="3" t="s">
        <v>7461</v>
      </c>
      <c r="P353" s="7">
        <v>1.77</v>
      </c>
      <c r="Q353" s="1" t="s">
        <v>7462</v>
      </c>
      <c r="R353" s="2">
        <v>5.3600000000000002E-2</v>
      </c>
      <c r="S353" s="2">
        <f>7751/100000</f>
        <v>7.7509999999999996E-2</v>
      </c>
      <c r="T353" s="2">
        <v>0.31335629999999998</v>
      </c>
    </row>
    <row r="354" spans="1:20">
      <c r="A354" s="3" t="s">
        <v>3097</v>
      </c>
      <c r="B354" s="1" t="s">
        <v>3098</v>
      </c>
      <c r="C354" s="3" t="s">
        <v>3099</v>
      </c>
      <c r="D354" s="3" t="s">
        <v>3100</v>
      </c>
      <c r="E354" s="3" t="s">
        <v>3101</v>
      </c>
      <c r="F354" s="3" t="s">
        <v>3102</v>
      </c>
      <c r="G354" s="3" t="s">
        <v>3103</v>
      </c>
      <c r="H354" s="11" t="s">
        <v>8214</v>
      </c>
      <c r="I354" s="3" t="s">
        <v>7463</v>
      </c>
      <c r="J354" s="7">
        <v>1.07</v>
      </c>
      <c r="K354" s="1" t="s">
        <v>7464</v>
      </c>
      <c r="L354" s="2">
        <v>0.86</v>
      </c>
      <c r="M354" s="2">
        <f>100000/100000</f>
        <v>1</v>
      </c>
      <c r="N354" s="2">
        <v>0.82929589999999997</v>
      </c>
      <c r="O354" s="3" t="s">
        <v>7465</v>
      </c>
      <c r="P354" s="7">
        <v>0.56999999999999995</v>
      </c>
      <c r="Q354" s="1" t="s">
        <v>7466</v>
      </c>
      <c r="R354" s="2">
        <v>0.26400000000000001</v>
      </c>
      <c r="S354" s="2">
        <f>33156/100000</f>
        <v>0.33156000000000002</v>
      </c>
      <c r="T354" s="2">
        <v>0.61526179999999997</v>
      </c>
    </row>
    <row r="355" spans="1:20">
      <c r="A355" s="3" t="s">
        <v>3108</v>
      </c>
      <c r="B355" s="1" t="s">
        <v>3098</v>
      </c>
      <c r="C355" s="3" t="s">
        <v>3099</v>
      </c>
      <c r="D355" s="3" t="s">
        <v>3109</v>
      </c>
      <c r="E355" s="3" t="s">
        <v>3110</v>
      </c>
      <c r="F355" s="3" t="s">
        <v>3111</v>
      </c>
      <c r="G355" s="3" t="s">
        <v>3112</v>
      </c>
      <c r="H355" s="11" t="s">
        <v>8214</v>
      </c>
      <c r="I355" s="3" t="s">
        <v>7467</v>
      </c>
      <c r="J355" s="7">
        <v>1.03</v>
      </c>
      <c r="K355" s="1" t="s">
        <v>7468</v>
      </c>
      <c r="L355" s="2">
        <v>0.94</v>
      </c>
      <c r="M355" s="2">
        <f>100000/100000</f>
        <v>1</v>
      </c>
      <c r="N355" s="2">
        <v>0.82929589999999997</v>
      </c>
      <c r="O355" s="3" t="s">
        <v>7469</v>
      </c>
      <c r="P355" s="7">
        <v>0.62</v>
      </c>
      <c r="Q355" s="1" t="s">
        <v>7470</v>
      </c>
      <c r="R355" s="2">
        <v>0.24</v>
      </c>
      <c r="S355" s="2">
        <f>25443/100000</f>
        <v>0.25442999999999999</v>
      </c>
      <c r="T355" s="2">
        <v>0.55548980000000003</v>
      </c>
    </row>
    <row r="356" spans="1:20">
      <c r="A356" s="3" t="s">
        <v>3117</v>
      </c>
      <c r="B356" s="1" t="s">
        <v>3098</v>
      </c>
      <c r="C356" s="3" t="s">
        <v>3099</v>
      </c>
      <c r="D356" s="3" t="s">
        <v>3118</v>
      </c>
      <c r="E356" s="3" t="s">
        <v>3119</v>
      </c>
      <c r="F356" s="3" t="s">
        <v>3120</v>
      </c>
      <c r="G356" s="3" t="s">
        <v>3121</v>
      </c>
      <c r="H356" s="11" t="s">
        <v>8214</v>
      </c>
      <c r="I356" s="3" t="s">
        <v>7471</v>
      </c>
      <c r="J356" s="7">
        <v>0.97</v>
      </c>
      <c r="K356" s="1" t="s">
        <v>7472</v>
      </c>
      <c r="L356" s="2">
        <v>0.92800000000000005</v>
      </c>
      <c r="M356" s="2">
        <f>100000/100000</f>
        <v>1</v>
      </c>
      <c r="N356" s="2">
        <v>0.82929589999999997</v>
      </c>
      <c r="O356" s="3" t="s">
        <v>7473</v>
      </c>
      <c r="P356" s="7">
        <v>1.17</v>
      </c>
      <c r="Q356" s="1" t="s">
        <v>7474</v>
      </c>
      <c r="R356" s="2">
        <v>0.54100000000000004</v>
      </c>
      <c r="S356" s="2">
        <f>57473/100000</f>
        <v>0.57472999999999996</v>
      </c>
      <c r="T356" s="2">
        <v>0.76719190000000004</v>
      </c>
    </row>
    <row r="357" spans="1:20">
      <c r="A357" s="3" t="s">
        <v>3125</v>
      </c>
      <c r="B357" s="1" t="s">
        <v>3126</v>
      </c>
      <c r="C357" s="3" t="s">
        <v>3127</v>
      </c>
      <c r="D357" s="3" t="s">
        <v>3128</v>
      </c>
      <c r="E357" s="3" t="s">
        <v>3129</v>
      </c>
      <c r="F357" s="3" t="s">
        <v>3130</v>
      </c>
      <c r="G357" s="3" t="s">
        <v>3131</v>
      </c>
      <c r="H357" s="11" t="s">
        <v>8047</v>
      </c>
      <c r="I357" s="3" t="s">
        <v>7475</v>
      </c>
      <c r="J357" s="7">
        <v>1.38</v>
      </c>
      <c r="K357" s="1" t="s">
        <v>5121</v>
      </c>
      <c r="L357" s="2">
        <v>0.11799999999999999</v>
      </c>
      <c r="M357" s="2">
        <f>11806/100000</f>
        <v>0.11806</v>
      </c>
      <c r="N357" s="2">
        <v>0.38060929999999998</v>
      </c>
      <c r="O357" s="3" t="s">
        <v>7476</v>
      </c>
      <c r="P357" s="7">
        <v>1.07</v>
      </c>
      <c r="Q357" s="1" t="s">
        <v>5069</v>
      </c>
      <c r="R357" s="2">
        <v>0.76600000000000001</v>
      </c>
      <c r="S357" s="2">
        <f>80854/100000</f>
        <v>0.80854000000000004</v>
      </c>
      <c r="T357" s="2">
        <v>0.82929589999999997</v>
      </c>
    </row>
    <row r="358" spans="1:20">
      <c r="A358" s="3" t="s">
        <v>3136</v>
      </c>
      <c r="B358" s="1" t="s">
        <v>3126</v>
      </c>
      <c r="C358" s="3" t="s">
        <v>3127</v>
      </c>
      <c r="D358" s="3" t="s">
        <v>3137</v>
      </c>
      <c r="E358" s="3" t="s">
        <v>3138</v>
      </c>
      <c r="F358" s="3" t="s">
        <v>3130</v>
      </c>
      <c r="G358" s="3" t="s">
        <v>3131</v>
      </c>
      <c r="H358" s="11" t="s">
        <v>8177</v>
      </c>
      <c r="I358" s="3" t="s">
        <v>7477</v>
      </c>
      <c r="J358" s="7">
        <v>0.84</v>
      </c>
      <c r="K358" s="1" t="s">
        <v>6387</v>
      </c>
      <c r="L358" s="2">
        <v>0.57999999999999996</v>
      </c>
      <c r="M358" s="2">
        <f>66690/100000</f>
        <v>0.66690000000000005</v>
      </c>
      <c r="N358" s="2">
        <v>0.80511429999999995</v>
      </c>
      <c r="O358" s="3" t="s">
        <v>7478</v>
      </c>
      <c r="P358" s="7">
        <v>2.0299999999999998</v>
      </c>
      <c r="Q358" s="1" t="s">
        <v>7479</v>
      </c>
      <c r="R358" s="2">
        <v>1.4300000000000001E-4</v>
      </c>
      <c r="S358" s="2">
        <f>41/100000</f>
        <v>4.0999999999999999E-4</v>
      </c>
      <c r="T358" s="2">
        <v>8.4893150000000007E-3</v>
      </c>
    </row>
    <row r="359" spans="1:20">
      <c r="A359" s="3" t="s">
        <v>3143</v>
      </c>
      <c r="B359" s="1" t="s">
        <v>3144</v>
      </c>
      <c r="C359" s="3" t="s">
        <v>3145</v>
      </c>
      <c r="D359" s="3" t="s">
        <v>3146</v>
      </c>
      <c r="E359" s="3" t="s">
        <v>3147</v>
      </c>
      <c r="F359" s="3" t="s">
        <v>3148</v>
      </c>
      <c r="G359" s="3" t="s">
        <v>3149</v>
      </c>
      <c r="H359" s="11" t="s">
        <v>8101</v>
      </c>
      <c r="I359" s="3" t="s">
        <v>7480</v>
      </c>
      <c r="J359" s="7">
        <v>1.23</v>
      </c>
      <c r="K359" s="1" t="s">
        <v>7481</v>
      </c>
      <c r="L359" s="2">
        <v>0.59299999999999997</v>
      </c>
      <c r="M359" s="2">
        <f>66639/100000</f>
        <v>0.66639000000000004</v>
      </c>
      <c r="N359" s="2">
        <v>0.80511429999999995</v>
      </c>
      <c r="O359" s="3" t="s">
        <v>7482</v>
      </c>
      <c r="P359" s="7">
        <v>1.33</v>
      </c>
      <c r="Q359" s="1" t="s">
        <v>7483</v>
      </c>
      <c r="R359" s="2">
        <v>0.432</v>
      </c>
      <c r="S359" s="2">
        <f>53524/100000</f>
        <v>0.53524000000000005</v>
      </c>
      <c r="T359" s="2">
        <v>0.74478149999999999</v>
      </c>
    </row>
    <row r="360" spans="1:20">
      <c r="A360" s="3" t="s">
        <v>3154</v>
      </c>
      <c r="B360" s="1" t="s">
        <v>3144</v>
      </c>
      <c r="C360" s="3" t="s">
        <v>3145</v>
      </c>
      <c r="D360" s="3" t="s">
        <v>3155</v>
      </c>
      <c r="E360" s="3" t="s">
        <v>3156</v>
      </c>
      <c r="F360" s="3" t="s">
        <v>3157</v>
      </c>
      <c r="G360" s="3" t="s">
        <v>3158</v>
      </c>
      <c r="H360" s="11" t="s">
        <v>8101</v>
      </c>
      <c r="I360" s="3" t="s">
        <v>7484</v>
      </c>
      <c r="J360" s="7">
        <v>2.06</v>
      </c>
      <c r="K360" s="1" t="s">
        <v>7485</v>
      </c>
      <c r="L360" s="2">
        <v>1.17E-2</v>
      </c>
      <c r="M360" s="2">
        <f>1770/100000</f>
        <v>1.77E-2</v>
      </c>
      <c r="N360" s="2">
        <v>0.12765380000000001</v>
      </c>
      <c r="O360" s="3" t="s">
        <v>7486</v>
      </c>
      <c r="P360" s="7">
        <v>1.42</v>
      </c>
      <c r="Q360" s="1" t="s">
        <v>7487</v>
      </c>
      <c r="R360" s="2">
        <v>0.28000000000000003</v>
      </c>
      <c r="S360" s="2">
        <f>33254/100000</f>
        <v>0.33254</v>
      </c>
      <c r="T360" s="2">
        <v>0.61526179999999997</v>
      </c>
    </row>
    <row r="361" spans="1:20">
      <c r="A361" s="3" t="s">
        <v>3162</v>
      </c>
      <c r="B361" s="1" t="s">
        <v>3144</v>
      </c>
      <c r="C361" s="3" t="s">
        <v>3145</v>
      </c>
      <c r="D361" s="3" t="s">
        <v>3163</v>
      </c>
      <c r="E361" s="3" t="s">
        <v>3164</v>
      </c>
      <c r="F361" s="3" t="s">
        <v>3148</v>
      </c>
      <c r="G361" s="3" t="s">
        <v>3149</v>
      </c>
      <c r="H361" s="11" t="s">
        <v>8101</v>
      </c>
      <c r="I361" s="3" t="s">
        <v>7488</v>
      </c>
      <c r="J361" s="7">
        <v>0.82</v>
      </c>
      <c r="K361" s="1" t="s">
        <v>429</v>
      </c>
      <c r="L361" s="2">
        <v>0.65600000000000003</v>
      </c>
      <c r="M361" s="2">
        <f>69164/100000</f>
        <v>0.69164000000000003</v>
      </c>
      <c r="N361" s="2">
        <v>0.81405680000000002</v>
      </c>
      <c r="O361" s="3" t="s">
        <v>7489</v>
      </c>
      <c r="P361" s="7">
        <v>0.65</v>
      </c>
      <c r="Q361" s="1" t="s">
        <v>7490</v>
      </c>
      <c r="R361" s="2">
        <v>0.45400000000000001</v>
      </c>
      <c r="S361" s="2">
        <f>49506/100000</f>
        <v>0.49506</v>
      </c>
      <c r="T361" s="2">
        <v>0.73484130000000003</v>
      </c>
    </row>
    <row r="362" spans="1:20">
      <c r="A362" s="3" t="s">
        <v>3169</v>
      </c>
      <c r="B362" s="1" t="s">
        <v>3144</v>
      </c>
      <c r="C362" s="3" t="s">
        <v>3145</v>
      </c>
      <c r="D362" s="3" t="s">
        <v>3170</v>
      </c>
      <c r="E362" s="3" t="s">
        <v>3171</v>
      </c>
      <c r="F362" s="3" t="s">
        <v>3157</v>
      </c>
      <c r="G362" s="3" t="s">
        <v>3158</v>
      </c>
      <c r="H362" s="11" t="s">
        <v>8101</v>
      </c>
      <c r="I362" s="3" t="s">
        <v>7491</v>
      </c>
      <c r="J362" s="7">
        <v>1.49</v>
      </c>
      <c r="K362" s="1" t="s">
        <v>7492</v>
      </c>
      <c r="L362" s="2">
        <v>0.30299999999999999</v>
      </c>
      <c r="M362" s="2">
        <f>34037/100000</f>
        <v>0.34037000000000001</v>
      </c>
      <c r="N362" s="2">
        <v>0.61526179999999997</v>
      </c>
      <c r="O362" s="3" t="s">
        <v>7493</v>
      </c>
      <c r="P362" s="7">
        <v>1.1599999999999999</v>
      </c>
      <c r="Q362" s="1" t="s">
        <v>7494</v>
      </c>
      <c r="R362" s="2">
        <v>0.71799999999999997</v>
      </c>
      <c r="S362" s="2">
        <f>82210/100000</f>
        <v>0.82210000000000005</v>
      </c>
      <c r="T362" s="2">
        <v>0.82929589999999997</v>
      </c>
    </row>
    <row r="363" spans="1:20">
      <c r="A363" s="3" t="s">
        <v>3176</v>
      </c>
      <c r="B363" s="1" t="s">
        <v>3177</v>
      </c>
      <c r="C363" s="3" t="s">
        <v>3178</v>
      </c>
      <c r="D363" s="3" t="s">
        <v>3179</v>
      </c>
      <c r="E363" s="3" t="s">
        <v>3180</v>
      </c>
      <c r="F363" s="3" t="s">
        <v>3181</v>
      </c>
      <c r="G363" s="3" t="s">
        <v>3182</v>
      </c>
      <c r="H363" s="11" t="s">
        <v>8215</v>
      </c>
      <c r="I363" s="3" t="s">
        <v>7495</v>
      </c>
      <c r="J363" s="7">
        <v>1.51</v>
      </c>
      <c r="K363" s="1" t="s">
        <v>7496</v>
      </c>
      <c r="L363" s="2">
        <v>0.23100000000000001</v>
      </c>
      <c r="M363" s="2">
        <f>29369/100000</f>
        <v>0.29369000000000001</v>
      </c>
      <c r="N363" s="2">
        <v>0.57886890000000002</v>
      </c>
      <c r="O363" s="3" t="s">
        <v>7497</v>
      </c>
      <c r="P363" s="7">
        <v>0.64</v>
      </c>
      <c r="Q363" s="1" t="s">
        <v>7498</v>
      </c>
      <c r="R363" s="2">
        <v>0.32600000000000001</v>
      </c>
      <c r="S363" s="2">
        <f>36396/100000</f>
        <v>0.36396000000000001</v>
      </c>
      <c r="T363" s="2">
        <v>0.64187499999999997</v>
      </c>
    </row>
    <row r="364" spans="1:20">
      <c r="A364" s="3" t="s">
        <v>3187</v>
      </c>
      <c r="B364" s="1" t="s">
        <v>3177</v>
      </c>
      <c r="C364" s="3" t="s">
        <v>3178</v>
      </c>
      <c r="D364" s="3" t="s">
        <v>3188</v>
      </c>
      <c r="E364" s="3" t="s">
        <v>3189</v>
      </c>
      <c r="F364" s="3" t="s">
        <v>3190</v>
      </c>
      <c r="G364" s="3" t="s">
        <v>3191</v>
      </c>
      <c r="H364" s="11" t="s">
        <v>8215</v>
      </c>
      <c r="I364" s="3" t="s">
        <v>7499</v>
      </c>
      <c r="J364" s="7">
        <v>0.89</v>
      </c>
      <c r="K364" s="1" t="s">
        <v>7500</v>
      </c>
      <c r="L364" s="2">
        <v>0.80200000000000005</v>
      </c>
      <c r="M364" s="2">
        <f>83878/100000</f>
        <v>0.83877999999999997</v>
      </c>
      <c r="N364" s="2">
        <v>0.82929589999999997</v>
      </c>
      <c r="O364" s="3" t="s">
        <v>7501</v>
      </c>
      <c r="P364" s="7">
        <v>2.02</v>
      </c>
      <c r="Q364" s="1" t="s">
        <v>7502</v>
      </c>
      <c r="R364" s="2">
        <v>1.77E-2</v>
      </c>
      <c r="S364" s="2">
        <f>2454/100000</f>
        <v>2.4539999999999999E-2</v>
      </c>
      <c r="T364" s="2">
        <v>0.15725939999999999</v>
      </c>
    </row>
    <row r="365" spans="1:20">
      <c r="A365" s="3" t="s">
        <v>3196</v>
      </c>
      <c r="B365" s="1" t="s">
        <v>3197</v>
      </c>
      <c r="C365" s="3" t="s">
        <v>3198</v>
      </c>
      <c r="D365" s="3" t="s">
        <v>3199</v>
      </c>
      <c r="E365" s="3" t="s">
        <v>3200</v>
      </c>
      <c r="F365" s="3" t="s">
        <v>3201</v>
      </c>
      <c r="G365" s="3" t="s">
        <v>3202</v>
      </c>
      <c r="H365" s="11" t="s">
        <v>8216</v>
      </c>
      <c r="I365" s="3" t="s">
        <v>7503</v>
      </c>
      <c r="J365" s="7">
        <v>0.79</v>
      </c>
      <c r="K365" s="1" t="s">
        <v>7504</v>
      </c>
      <c r="L365" s="2">
        <v>0.433</v>
      </c>
      <c r="M365" s="2">
        <f>49005/100000</f>
        <v>0.49004999999999999</v>
      </c>
      <c r="N365" s="2">
        <v>0.73186450000000003</v>
      </c>
      <c r="O365" s="3" t="s">
        <v>7505</v>
      </c>
      <c r="P365" s="7">
        <v>1.56</v>
      </c>
      <c r="Q365" s="1" t="s">
        <v>7506</v>
      </c>
      <c r="R365" s="2">
        <v>5.4300000000000001E-2</v>
      </c>
      <c r="S365" s="2">
        <f>6494/100000</f>
        <v>6.4939999999999998E-2</v>
      </c>
      <c r="T365" s="2">
        <v>0.28338560000000002</v>
      </c>
    </row>
    <row r="366" spans="1:20">
      <c r="A366" s="3" t="s">
        <v>3207</v>
      </c>
      <c r="B366" s="1" t="s">
        <v>3208</v>
      </c>
      <c r="C366" s="3" t="s">
        <v>3209</v>
      </c>
      <c r="D366" s="3" t="s">
        <v>3210</v>
      </c>
      <c r="E366" s="3" t="s">
        <v>3211</v>
      </c>
      <c r="F366" s="3" t="s">
        <v>3212</v>
      </c>
      <c r="G366" s="3" t="s">
        <v>3213</v>
      </c>
      <c r="H366" s="11" t="s">
        <v>8217</v>
      </c>
      <c r="I366" s="3" t="s">
        <v>7507</v>
      </c>
      <c r="J366" s="7">
        <v>1.47</v>
      </c>
      <c r="K366" s="1" t="s">
        <v>7508</v>
      </c>
      <c r="L366" s="2">
        <v>0.215</v>
      </c>
      <c r="M366" s="2">
        <f>26129/100000</f>
        <v>0.26129000000000002</v>
      </c>
      <c r="N366" s="2">
        <v>0.56338779999999999</v>
      </c>
      <c r="O366" s="3" t="s">
        <v>7509</v>
      </c>
      <c r="P366" s="7">
        <v>1.51</v>
      </c>
      <c r="Q366" s="1" t="s">
        <v>7510</v>
      </c>
      <c r="R366" s="2">
        <v>0.16600000000000001</v>
      </c>
      <c r="S366" s="2">
        <f>20415/100000</f>
        <v>0.20415</v>
      </c>
      <c r="T366" s="2">
        <v>0.49180279999999998</v>
      </c>
    </row>
    <row r="367" spans="1:20">
      <c r="A367" s="3" t="s">
        <v>3218</v>
      </c>
      <c r="B367" s="1" t="s">
        <v>3219</v>
      </c>
      <c r="C367" s="3" t="s">
        <v>3220</v>
      </c>
      <c r="D367" s="3" t="s">
        <v>3221</v>
      </c>
      <c r="E367" s="3" t="s">
        <v>3222</v>
      </c>
      <c r="F367" s="3" t="s">
        <v>3223</v>
      </c>
      <c r="G367" s="3" t="s">
        <v>3224</v>
      </c>
      <c r="H367" s="11" t="s">
        <v>8218</v>
      </c>
      <c r="I367" s="3" t="s">
        <v>7511</v>
      </c>
      <c r="J367" s="7">
        <v>0.33</v>
      </c>
      <c r="K367" s="1" t="s">
        <v>7512</v>
      </c>
      <c r="L367" s="2">
        <v>1.9699999999999999E-2</v>
      </c>
      <c r="M367" s="2">
        <f>2215/100000</f>
        <v>2.215E-2</v>
      </c>
      <c r="N367" s="2">
        <v>0.14804809999999999</v>
      </c>
      <c r="O367" s="3" t="s">
        <v>7513</v>
      </c>
      <c r="P367" s="7">
        <v>0.93</v>
      </c>
      <c r="Q367" s="1" t="s">
        <v>7514</v>
      </c>
      <c r="R367" s="2">
        <v>0.86299999999999999</v>
      </c>
      <c r="S367" s="2">
        <f>100000/100000</f>
        <v>1</v>
      </c>
      <c r="T367" s="2">
        <v>0.82929589999999997</v>
      </c>
    </row>
    <row r="368" spans="1:20">
      <c r="A368" s="3" t="s">
        <v>3229</v>
      </c>
      <c r="B368" s="1" t="s">
        <v>3230</v>
      </c>
      <c r="C368" s="3" t="s">
        <v>3231</v>
      </c>
      <c r="D368" s="3" t="s">
        <v>3232</v>
      </c>
      <c r="E368" s="3" t="s">
        <v>3233</v>
      </c>
      <c r="F368" s="3" t="s">
        <v>3234</v>
      </c>
      <c r="G368" s="3" t="s">
        <v>3235</v>
      </c>
      <c r="H368" s="11" t="s">
        <v>8219</v>
      </c>
      <c r="I368" s="3" t="s">
        <v>7515</v>
      </c>
      <c r="J368" s="7">
        <v>2.37</v>
      </c>
      <c r="K368" s="1" t="s">
        <v>7516</v>
      </c>
      <c r="L368" s="2">
        <v>1.6299999999999999E-3</v>
      </c>
      <c r="M368" s="2">
        <f>437/100000</f>
        <v>4.3699999999999998E-3</v>
      </c>
      <c r="N368" s="2">
        <v>4.9210419999999998E-2</v>
      </c>
      <c r="O368" s="3" t="s">
        <v>7517</v>
      </c>
      <c r="P368" s="7">
        <v>0.39</v>
      </c>
      <c r="Q368" s="1" t="s">
        <v>7518</v>
      </c>
      <c r="R368" s="2">
        <v>9.4700000000000006E-2</v>
      </c>
      <c r="S368" s="2">
        <f>12769/100000</f>
        <v>0.12769</v>
      </c>
      <c r="T368" s="2">
        <v>0.39500000000000002</v>
      </c>
    </row>
    <row r="369" spans="1:20">
      <c r="A369" s="3" t="s">
        <v>3240</v>
      </c>
      <c r="B369" s="1" t="s">
        <v>3241</v>
      </c>
      <c r="C369" s="3" t="s">
        <v>3242</v>
      </c>
      <c r="D369" s="3" t="s">
        <v>3243</v>
      </c>
      <c r="E369" s="3" t="s">
        <v>3244</v>
      </c>
      <c r="F369" s="3" t="s">
        <v>3245</v>
      </c>
      <c r="G369" s="3" t="s">
        <v>3246</v>
      </c>
      <c r="H369" s="11" t="s">
        <v>8047</v>
      </c>
      <c r="I369" s="3" t="s">
        <v>7519</v>
      </c>
      <c r="J369" s="7">
        <v>1.1200000000000001</v>
      </c>
      <c r="K369" s="1" t="s">
        <v>7520</v>
      </c>
      <c r="L369" s="2">
        <v>0.215</v>
      </c>
      <c r="M369" s="2">
        <f>22010/100000</f>
        <v>0.22009999999999999</v>
      </c>
      <c r="N369" s="2">
        <v>0.51303359999999998</v>
      </c>
      <c r="O369" s="3" t="s">
        <v>7521</v>
      </c>
      <c r="P369" s="7">
        <v>1.55</v>
      </c>
      <c r="Q369" s="1" t="s">
        <v>7522</v>
      </c>
      <c r="R369" s="2">
        <v>2.9499999999999998E-7</v>
      </c>
      <c r="S369" s="2" t="s">
        <v>500</v>
      </c>
      <c r="T369" s="2">
        <v>3.517123E-4</v>
      </c>
    </row>
    <row r="370" spans="1:20">
      <c r="A370" s="3" t="s">
        <v>3251</v>
      </c>
      <c r="B370" s="1" t="s">
        <v>3252</v>
      </c>
      <c r="C370" s="3" t="s">
        <v>3253</v>
      </c>
      <c r="D370" s="3" t="s">
        <v>3254</v>
      </c>
      <c r="E370" s="3" t="s">
        <v>3255</v>
      </c>
      <c r="F370" s="3" t="s">
        <v>3256</v>
      </c>
      <c r="G370" s="3" t="s">
        <v>3257</v>
      </c>
      <c r="H370" s="11" t="s">
        <v>8109</v>
      </c>
      <c r="I370" s="3" t="s">
        <v>7523</v>
      </c>
      <c r="J370" s="7">
        <v>1.53</v>
      </c>
      <c r="K370" s="1" t="s">
        <v>7524</v>
      </c>
      <c r="L370" s="2">
        <v>7.8600000000000007E-3</v>
      </c>
      <c r="M370" s="2">
        <f>940/100000</f>
        <v>9.4000000000000004E-3</v>
      </c>
      <c r="N370" s="2">
        <v>8.3776900000000001E-2</v>
      </c>
      <c r="O370" s="3" t="s">
        <v>7525</v>
      </c>
      <c r="P370" s="7">
        <v>1.1399999999999999</v>
      </c>
      <c r="Q370" s="1" t="s">
        <v>7526</v>
      </c>
      <c r="R370" s="2">
        <v>0.47799999999999998</v>
      </c>
      <c r="S370" s="2">
        <f>50899/100000</f>
        <v>0.50899000000000005</v>
      </c>
      <c r="T370" s="2">
        <v>0.74084890000000003</v>
      </c>
    </row>
    <row r="371" spans="1:20">
      <c r="A371" s="3" t="s">
        <v>3262</v>
      </c>
      <c r="B371" s="1" t="s">
        <v>3252</v>
      </c>
      <c r="C371" s="3" t="s">
        <v>3253</v>
      </c>
      <c r="D371" s="3" t="s">
        <v>3263</v>
      </c>
      <c r="E371" s="3" t="s">
        <v>3264</v>
      </c>
      <c r="F371" s="3" t="s">
        <v>3265</v>
      </c>
      <c r="G371" s="3" t="s">
        <v>3266</v>
      </c>
      <c r="H371" s="11" t="s">
        <v>8109</v>
      </c>
      <c r="I371" s="3" t="s">
        <v>7527</v>
      </c>
      <c r="J371" s="7">
        <v>1.1499999999999999</v>
      </c>
      <c r="K371" s="1" t="s">
        <v>7528</v>
      </c>
      <c r="L371" s="2">
        <v>0.52900000000000003</v>
      </c>
      <c r="M371" s="2">
        <f>54588/100000</f>
        <v>0.54588000000000003</v>
      </c>
      <c r="N371" s="2">
        <v>0.74606439999999996</v>
      </c>
      <c r="O371" s="3" t="s">
        <v>7529</v>
      </c>
      <c r="P371" s="7">
        <v>1.24</v>
      </c>
      <c r="Q371" s="1" t="s">
        <v>2102</v>
      </c>
      <c r="R371" s="2">
        <v>0.33700000000000002</v>
      </c>
      <c r="S371" s="2">
        <f>39955/100000</f>
        <v>0.39955000000000002</v>
      </c>
      <c r="T371" s="2">
        <v>0.66515539999999995</v>
      </c>
    </row>
    <row r="372" spans="1:20">
      <c r="A372" s="3" t="s">
        <v>3271</v>
      </c>
      <c r="B372" s="1" t="s">
        <v>3272</v>
      </c>
      <c r="C372" s="3" t="s">
        <v>3273</v>
      </c>
      <c r="D372" s="3" t="s">
        <v>3263</v>
      </c>
      <c r="E372" s="3" t="s">
        <v>3264</v>
      </c>
      <c r="F372" s="3" t="s">
        <v>3265</v>
      </c>
      <c r="G372" s="3" t="s">
        <v>3266</v>
      </c>
      <c r="H372" s="11" t="s">
        <v>8109</v>
      </c>
      <c r="I372" s="3" t="s">
        <v>7527</v>
      </c>
      <c r="J372" s="7">
        <v>1.1499999999999999</v>
      </c>
      <c r="K372" s="1" t="s">
        <v>7528</v>
      </c>
      <c r="L372" s="2">
        <v>0.52900000000000003</v>
      </c>
      <c r="M372" s="2">
        <f>54588/100000</f>
        <v>0.54588000000000003</v>
      </c>
      <c r="N372" s="2">
        <v>0.74606439999999996</v>
      </c>
      <c r="O372" s="3" t="s">
        <v>7529</v>
      </c>
      <c r="P372" s="7">
        <v>1.24</v>
      </c>
      <c r="Q372" s="1" t="s">
        <v>2102</v>
      </c>
      <c r="R372" s="2">
        <v>0.33700000000000002</v>
      </c>
      <c r="S372" s="2">
        <f>39955/100000</f>
        <v>0.39955000000000002</v>
      </c>
      <c r="T372" s="2">
        <v>0.66515539999999995</v>
      </c>
    </row>
    <row r="373" spans="1:20">
      <c r="A373" s="3" t="s">
        <v>3274</v>
      </c>
      <c r="B373" s="1" t="s">
        <v>3272</v>
      </c>
      <c r="C373" s="3" t="s">
        <v>3273</v>
      </c>
      <c r="D373" s="3" t="s">
        <v>3254</v>
      </c>
      <c r="E373" s="3" t="s">
        <v>3255</v>
      </c>
      <c r="F373" s="3" t="s">
        <v>3256</v>
      </c>
      <c r="G373" s="3" t="s">
        <v>3257</v>
      </c>
      <c r="H373" s="11" t="s">
        <v>8109</v>
      </c>
      <c r="I373" s="3" t="s">
        <v>7523</v>
      </c>
      <c r="J373" s="7">
        <v>1.53</v>
      </c>
      <c r="K373" s="1" t="s">
        <v>7524</v>
      </c>
      <c r="L373" s="2">
        <v>7.8600000000000007E-3</v>
      </c>
      <c r="M373" s="2">
        <f>940/100000</f>
        <v>9.4000000000000004E-3</v>
      </c>
      <c r="N373" s="2">
        <v>8.3776900000000001E-2</v>
      </c>
      <c r="O373" s="3" t="s">
        <v>7525</v>
      </c>
      <c r="P373" s="7">
        <v>1.1399999999999999</v>
      </c>
      <c r="Q373" s="1" t="s">
        <v>7526</v>
      </c>
      <c r="R373" s="2">
        <v>0.47799999999999998</v>
      </c>
      <c r="S373" s="2">
        <f>50899/100000</f>
        <v>0.50899000000000005</v>
      </c>
      <c r="T373" s="2">
        <v>0.74084890000000003</v>
      </c>
    </row>
    <row r="374" spans="1:20">
      <c r="A374" s="3" t="s">
        <v>3275</v>
      </c>
      <c r="B374" s="1" t="s">
        <v>3276</v>
      </c>
      <c r="C374" s="3" t="s">
        <v>3277</v>
      </c>
      <c r="D374" s="3" t="s">
        <v>3278</v>
      </c>
      <c r="E374" s="3" t="s">
        <v>3090</v>
      </c>
      <c r="F374" s="3" t="s">
        <v>3279</v>
      </c>
      <c r="G374" s="3" t="s">
        <v>3092</v>
      </c>
      <c r="H374" s="11" t="s">
        <v>8213</v>
      </c>
      <c r="I374" s="3" t="s">
        <v>7530</v>
      </c>
      <c r="J374" s="7">
        <v>0.96</v>
      </c>
      <c r="K374" s="1" t="s">
        <v>7531</v>
      </c>
      <c r="L374" s="2">
        <v>0.90500000000000003</v>
      </c>
      <c r="M374" s="2">
        <f>100000/100000</f>
        <v>1</v>
      </c>
      <c r="N374" s="2">
        <v>0.82929589999999997</v>
      </c>
      <c r="O374" s="3" t="s">
        <v>7532</v>
      </c>
      <c r="P374" s="7">
        <v>1.83</v>
      </c>
      <c r="Q374" s="1" t="s">
        <v>7533</v>
      </c>
      <c r="R374" s="2">
        <v>2.4400000000000002E-2</v>
      </c>
      <c r="S374" s="2">
        <f>3341/100000</f>
        <v>3.3410000000000002E-2</v>
      </c>
      <c r="T374" s="2">
        <v>0.1905656</v>
      </c>
    </row>
    <row r="375" spans="1:20">
      <c r="A375" s="3" t="s">
        <v>3283</v>
      </c>
      <c r="B375" s="1" t="s">
        <v>3284</v>
      </c>
      <c r="C375" s="3" t="s">
        <v>3285</v>
      </c>
      <c r="D375" s="3" t="s">
        <v>3286</v>
      </c>
      <c r="E375" s="3" t="s">
        <v>3287</v>
      </c>
      <c r="F375" s="3" t="s">
        <v>3288</v>
      </c>
      <c r="G375" s="3" t="s">
        <v>3289</v>
      </c>
      <c r="H375" s="11" t="s">
        <v>8220</v>
      </c>
      <c r="I375" s="3" t="s">
        <v>7534</v>
      </c>
      <c r="J375" s="7">
        <v>0.59</v>
      </c>
      <c r="K375" s="1" t="s">
        <v>7535</v>
      </c>
      <c r="L375" s="2">
        <v>0.60199999999999998</v>
      </c>
      <c r="M375" s="2">
        <f>73152/100000</f>
        <v>0.73151999999999995</v>
      </c>
      <c r="N375" s="2">
        <v>0.82137769999999999</v>
      </c>
      <c r="O375" s="3" t="s">
        <v>7536</v>
      </c>
      <c r="P375" s="7">
        <v>0</v>
      </c>
      <c r="Q375" s="1" t="s">
        <v>774</v>
      </c>
      <c r="R375" s="2">
        <v>0.24099999999999999</v>
      </c>
      <c r="S375" s="2">
        <f>40422/100000</f>
        <v>0.40422000000000002</v>
      </c>
      <c r="T375" s="2">
        <v>0.66662600000000005</v>
      </c>
    </row>
    <row r="376" spans="1:20">
      <c r="A376" s="3" t="s">
        <v>3292</v>
      </c>
      <c r="B376" s="1" t="s">
        <v>3284</v>
      </c>
      <c r="C376" s="3" t="s">
        <v>3285</v>
      </c>
      <c r="D376" s="3" t="s">
        <v>3293</v>
      </c>
      <c r="E376" s="3" t="s">
        <v>3294</v>
      </c>
      <c r="F376" s="3" t="s">
        <v>3295</v>
      </c>
      <c r="G376" s="3" t="s">
        <v>3296</v>
      </c>
      <c r="H376" s="11" t="s">
        <v>8221</v>
      </c>
      <c r="I376" s="3" t="s">
        <v>7537</v>
      </c>
      <c r="J376" s="7">
        <v>0.65</v>
      </c>
      <c r="K376" s="1" t="s">
        <v>7538</v>
      </c>
      <c r="L376" s="2">
        <v>0.55000000000000004</v>
      </c>
      <c r="M376" s="2">
        <f>59886/100000</f>
        <v>0.59885999999999995</v>
      </c>
      <c r="N376" s="2">
        <v>0.78146979999999999</v>
      </c>
      <c r="O376" s="3" t="s">
        <v>7539</v>
      </c>
      <c r="P376" s="7">
        <v>1.1200000000000001</v>
      </c>
      <c r="Q376" s="1" t="s">
        <v>7540</v>
      </c>
      <c r="R376" s="2">
        <v>0.82099999999999995</v>
      </c>
      <c r="S376" s="2">
        <f>100000/100000</f>
        <v>1</v>
      </c>
      <c r="T376" s="2">
        <v>0.82929589999999997</v>
      </c>
    </row>
    <row r="377" spans="1:20">
      <c r="A377" s="3" t="s">
        <v>3301</v>
      </c>
      <c r="B377" s="1" t="s">
        <v>3284</v>
      </c>
      <c r="C377" s="3" t="s">
        <v>3285</v>
      </c>
      <c r="D377" s="3" t="s">
        <v>3302</v>
      </c>
      <c r="E377" s="3" t="s">
        <v>3303</v>
      </c>
      <c r="F377" s="3" t="s">
        <v>3288</v>
      </c>
      <c r="G377" s="3" t="s">
        <v>3289</v>
      </c>
      <c r="H377" s="11" t="s">
        <v>8221</v>
      </c>
      <c r="I377" s="3" t="s">
        <v>7541</v>
      </c>
      <c r="J377" s="7">
        <v>0.57999999999999996</v>
      </c>
      <c r="K377" s="1" t="s">
        <v>7542</v>
      </c>
      <c r="L377" s="2">
        <v>0.58499999999999996</v>
      </c>
      <c r="M377" s="2">
        <f>73017/100000</f>
        <v>0.73016999999999999</v>
      </c>
      <c r="N377" s="2">
        <v>0.82137769999999999</v>
      </c>
      <c r="O377" s="3" t="s">
        <v>7543</v>
      </c>
      <c r="P377" s="7">
        <v>0.71</v>
      </c>
      <c r="Q377" s="1" t="s">
        <v>7544</v>
      </c>
      <c r="R377" s="2">
        <v>0.73299999999999998</v>
      </c>
      <c r="S377" s="2">
        <f>100000/100000</f>
        <v>1</v>
      </c>
      <c r="T377" s="2">
        <v>0.82929589999999997</v>
      </c>
    </row>
    <row r="378" spans="1:20">
      <c r="A378" s="3" t="s">
        <v>3308</v>
      </c>
      <c r="B378" s="1" t="s">
        <v>3284</v>
      </c>
      <c r="C378" s="3" t="s">
        <v>3285</v>
      </c>
      <c r="D378" s="3" t="s">
        <v>3309</v>
      </c>
      <c r="E378" s="3" t="s">
        <v>3310</v>
      </c>
      <c r="F378" s="3" t="s">
        <v>3295</v>
      </c>
      <c r="G378" s="3" t="s">
        <v>3296</v>
      </c>
      <c r="H378" s="11" t="s">
        <v>8220</v>
      </c>
      <c r="I378" s="3" t="s">
        <v>7545</v>
      </c>
      <c r="J378" s="7">
        <v>0.68</v>
      </c>
      <c r="K378" s="1" t="s">
        <v>7546</v>
      </c>
      <c r="L378" s="2">
        <v>0.58899999999999997</v>
      </c>
      <c r="M378" s="2">
        <f>77036/100000</f>
        <v>0.77036000000000004</v>
      </c>
      <c r="N378" s="2">
        <v>0.82929589999999997</v>
      </c>
      <c r="O378" s="3" t="s">
        <v>7547</v>
      </c>
      <c r="P378" s="7">
        <v>0</v>
      </c>
      <c r="Q378" s="1" t="s">
        <v>774</v>
      </c>
      <c r="R378" s="2">
        <v>0.17899999999999999</v>
      </c>
      <c r="S378" s="2">
        <f>26364/100000</f>
        <v>0.26363999999999999</v>
      </c>
      <c r="T378" s="2">
        <v>0.56484999999999996</v>
      </c>
    </row>
    <row r="379" spans="1:20">
      <c r="A379" s="3" t="s">
        <v>3314</v>
      </c>
      <c r="B379" s="1" t="s">
        <v>3315</v>
      </c>
      <c r="C379" s="3" t="s">
        <v>3316</v>
      </c>
      <c r="D379" s="3" t="s">
        <v>3317</v>
      </c>
      <c r="E379" s="3" t="s">
        <v>3318</v>
      </c>
      <c r="F379" s="3" t="s">
        <v>3319</v>
      </c>
      <c r="G379" s="3" t="s">
        <v>3320</v>
      </c>
      <c r="H379" s="11" t="s">
        <v>8222</v>
      </c>
      <c r="I379" s="3" t="s">
        <v>7548</v>
      </c>
      <c r="J379" s="7">
        <v>1.04</v>
      </c>
      <c r="K379" s="1" t="s">
        <v>7549</v>
      </c>
      <c r="L379" s="2">
        <v>0.81499999999999995</v>
      </c>
      <c r="M379" s="2">
        <f>87599/100000</f>
        <v>0.87599000000000005</v>
      </c>
      <c r="N379" s="2">
        <v>0.82929589999999997</v>
      </c>
      <c r="O379" s="3" t="s">
        <v>7550</v>
      </c>
      <c r="P379" s="7">
        <v>1.17</v>
      </c>
      <c r="Q379" s="1" t="s">
        <v>7551</v>
      </c>
      <c r="R379" s="2">
        <v>0.26100000000000001</v>
      </c>
      <c r="S379" s="2">
        <f>26957/100000</f>
        <v>0.26956999999999998</v>
      </c>
      <c r="T379" s="2">
        <v>0.56620890000000001</v>
      </c>
    </row>
    <row r="380" spans="1:20">
      <c r="A380" s="3" t="s">
        <v>3325</v>
      </c>
      <c r="B380" s="1" t="s">
        <v>3315</v>
      </c>
      <c r="C380" s="3" t="s">
        <v>3316</v>
      </c>
      <c r="D380" s="3" t="s">
        <v>3326</v>
      </c>
      <c r="E380" s="3" t="s">
        <v>3327</v>
      </c>
      <c r="F380" s="3" t="s">
        <v>3319</v>
      </c>
      <c r="G380" s="3" t="s">
        <v>3320</v>
      </c>
      <c r="H380" s="11" t="s">
        <v>8223</v>
      </c>
      <c r="I380" s="3" t="s">
        <v>7552</v>
      </c>
      <c r="J380" s="7">
        <v>1.1599999999999999</v>
      </c>
      <c r="K380" s="1" t="s">
        <v>7553</v>
      </c>
      <c r="L380" s="2">
        <v>0.34100000000000003</v>
      </c>
      <c r="M380" s="2">
        <f>37264/100000</f>
        <v>0.37264000000000003</v>
      </c>
      <c r="N380" s="2">
        <v>0.64881420000000001</v>
      </c>
      <c r="O380" s="3" t="s">
        <v>7554</v>
      </c>
      <c r="P380" s="7">
        <v>1.67</v>
      </c>
      <c r="Q380" s="1" t="s">
        <v>7555</v>
      </c>
      <c r="R380" s="2">
        <v>5.8100000000000003E-5</v>
      </c>
      <c r="S380" s="2">
        <f>20/100000</f>
        <v>2.0000000000000001E-4</v>
      </c>
      <c r="T380" s="2">
        <v>4.6261260000000004E-3</v>
      </c>
    </row>
    <row r="381" spans="1:20">
      <c r="A381" s="3" t="s">
        <v>3331</v>
      </c>
      <c r="B381" s="1" t="s">
        <v>3315</v>
      </c>
      <c r="C381" s="3" t="s">
        <v>3316</v>
      </c>
      <c r="D381" s="3" t="s">
        <v>3332</v>
      </c>
      <c r="E381" s="3" t="s">
        <v>3333</v>
      </c>
      <c r="F381" s="3" t="s">
        <v>3319</v>
      </c>
      <c r="G381" s="3" t="s">
        <v>3320</v>
      </c>
      <c r="H381" s="11" t="s">
        <v>8224</v>
      </c>
      <c r="I381" s="3" t="s">
        <v>7556</v>
      </c>
      <c r="J381" s="7">
        <v>0.66</v>
      </c>
      <c r="K381" s="1" t="s">
        <v>7557</v>
      </c>
      <c r="L381" s="2">
        <v>4.9699999999999996E-3</v>
      </c>
      <c r="M381" s="2">
        <f>520/100000</f>
        <v>5.1999999999999998E-3</v>
      </c>
      <c r="N381" s="2">
        <v>5.5629169999999999E-2</v>
      </c>
      <c r="O381" s="3" t="s">
        <v>7558</v>
      </c>
      <c r="P381" s="7">
        <v>1.67</v>
      </c>
      <c r="Q381" s="1" t="s">
        <v>7559</v>
      </c>
      <c r="R381" s="2">
        <v>6.3899999999999995E-5</v>
      </c>
      <c r="S381" s="2">
        <f>10/100000</f>
        <v>1E-4</v>
      </c>
      <c r="T381" s="2">
        <v>2.542079E-3</v>
      </c>
    </row>
    <row r="382" spans="1:20">
      <c r="A382" s="3" t="s">
        <v>3338</v>
      </c>
      <c r="B382" s="1" t="s">
        <v>3315</v>
      </c>
      <c r="C382" s="3" t="s">
        <v>3316</v>
      </c>
      <c r="D382" s="3" t="s">
        <v>3339</v>
      </c>
      <c r="E382" s="3" t="s">
        <v>3340</v>
      </c>
      <c r="F382" s="3" t="s">
        <v>3319</v>
      </c>
      <c r="G382" s="3" t="s">
        <v>3320</v>
      </c>
      <c r="H382" s="11" t="s">
        <v>8225</v>
      </c>
      <c r="I382" s="3" t="s">
        <v>7560</v>
      </c>
      <c r="J382" s="7">
        <v>1.21</v>
      </c>
      <c r="K382" s="1" t="s">
        <v>7561</v>
      </c>
      <c r="L382" s="2">
        <v>0.28999999999999998</v>
      </c>
      <c r="M382" s="2">
        <f>28979/100000</f>
        <v>0.28978999999999999</v>
      </c>
      <c r="N382" s="2">
        <v>0.57823020000000003</v>
      </c>
      <c r="O382" s="3" t="s">
        <v>7562</v>
      </c>
      <c r="P382" s="7">
        <v>1.62</v>
      </c>
      <c r="Q382" s="1" t="s">
        <v>7563</v>
      </c>
      <c r="R382" s="2">
        <v>4.6699999999999997E-3</v>
      </c>
      <c r="S382" s="2">
        <f>571/100000</f>
        <v>5.7099999999999998E-3</v>
      </c>
      <c r="T382" s="2">
        <v>5.8278169999999997E-2</v>
      </c>
    </row>
    <row r="383" spans="1:20">
      <c r="A383" s="3" t="s">
        <v>3345</v>
      </c>
      <c r="B383" s="1" t="s">
        <v>3346</v>
      </c>
      <c r="C383" s="3" t="s">
        <v>3347</v>
      </c>
      <c r="D383" s="3" t="s">
        <v>3348</v>
      </c>
      <c r="E383" s="3" t="s">
        <v>3349</v>
      </c>
      <c r="F383" s="3" t="s">
        <v>3350</v>
      </c>
      <c r="G383" s="3" t="s">
        <v>3351</v>
      </c>
      <c r="H383" s="11" t="s">
        <v>8226</v>
      </c>
      <c r="I383" s="3" t="s">
        <v>7564</v>
      </c>
      <c r="J383" s="7">
        <v>0.34</v>
      </c>
      <c r="K383" s="1" t="s">
        <v>5390</v>
      </c>
      <c r="L383" s="2">
        <v>0.112</v>
      </c>
      <c r="M383" s="2">
        <f>13801/100000</f>
        <v>0.13800999999999999</v>
      </c>
      <c r="N383" s="2">
        <v>0.40585909999999997</v>
      </c>
      <c r="O383" s="3" t="s">
        <v>7565</v>
      </c>
      <c r="P383" s="7">
        <v>0.84</v>
      </c>
      <c r="Q383" s="1" t="s">
        <v>7566</v>
      </c>
      <c r="R383" s="2">
        <v>0.69799999999999995</v>
      </c>
      <c r="S383" s="2">
        <f>83792/100000</f>
        <v>0.83792</v>
      </c>
      <c r="T383" s="2">
        <v>0.82929589999999997</v>
      </c>
    </row>
    <row r="384" spans="1:20">
      <c r="A384" s="3" t="s">
        <v>3356</v>
      </c>
      <c r="B384" s="1" t="s">
        <v>3346</v>
      </c>
      <c r="C384" s="3" t="s">
        <v>3347</v>
      </c>
      <c r="D384" s="3" t="s">
        <v>3357</v>
      </c>
      <c r="E384" s="3" t="s">
        <v>3358</v>
      </c>
      <c r="F384" s="3" t="s">
        <v>3359</v>
      </c>
      <c r="G384" s="3" t="s">
        <v>3360</v>
      </c>
      <c r="H384" s="11" t="s">
        <v>8226</v>
      </c>
      <c r="I384" s="3" t="s">
        <v>7567</v>
      </c>
      <c r="J384" s="7">
        <v>1.3</v>
      </c>
      <c r="K384" s="1" t="s">
        <v>5597</v>
      </c>
      <c r="L384" s="2">
        <v>0.49099999999999999</v>
      </c>
      <c r="M384" s="2">
        <f>50544/100000</f>
        <v>0.50544</v>
      </c>
      <c r="N384" s="2">
        <v>0.73837560000000002</v>
      </c>
      <c r="O384" s="3" t="s">
        <v>7568</v>
      </c>
      <c r="P384" s="7">
        <v>0.35</v>
      </c>
      <c r="Q384" s="1" t="s">
        <v>6425</v>
      </c>
      <c r="R384" s="2">
        <v>0.126</v>
      </c>
      <c r="S384" s="2">
        <f>13470/100000</f>
        <v>0.13469999999999999</v>
      </c>
      <c r="T384" s="2">
        <v>0.40163670000000001</v>
      </c>
    </row>
    <row r="385" spans="1:20">
      <c r="A385" s="3" t="s">
        <v>3365</v>
      </c>
      <c r="B385" s="1" t="s">
        <v>3366</v>
      </c>
      <c r="C385" s="3" t="s">
        <v>3367</v>
      </c>
      <c r="D385" s="3" t="s">
        <v>3368</v>
      </c>
      <c r="E385" s="3" t="s">
        <v>3369</v>
      </c>
      <c r="F385" s="3" t="s">
        <v>3370</v>
      </c>
      <c r="G385" s="3" t="s">
        <v>3371</v>
      </c>
      <c r="H385" s="11" t="s">
        <v>8103</v>
      </c>
      <c r="I385" s="3" t="s">
        <v>7569</v>
      </c>
      <c r="J385" s="7">
        <v>1.03</v>
      </c>
      <c r="K385" s="1" t="s">
        <v>7570</v>
      </c>
      <c r="L385" s="2">
        <v>0.77400000000000002</v>
      </c>
      <c r="M385" s="2">
        <f>79637/100000</f>
        <v>0.79637000000000002</v>
      </c>
      <c r="N385" s="2">
        <v>0.82929589999999997</v>
      </c>
      <c r="O385" s="3" t="s">
        <v>7571</v>
      </c>
      <c r="P385" s="7">
        <v>1.1399999999999999</v>
      </c>
      <c r="Q385" s="1" t="s">
        <v>7572</v>
      </c>
      <c r="R385" s="2">
        <v>0.25</v>
      </c>
      <c r="S385" s="2">
        <f>26277/100000</f>
        <v>0.26277</v>
      </c>
      <c r="T385" s="2">
        <v>0.56459239999999999</v>
      </c>
    </row>
    <row r="386" spans="1:20">
      <c r="A386" s="3" t="s">
        <v>3376</v>
      </c>
      <c r="B386" s="1" t="s">
        <v>3366</v>
      </c>
      <c r="C386" s="3" t="s">
        <v>3367</v>
      </c>
      <c r="D386" s="3" t="s">
        <v>3377</v>
      </c>
      <c r="E386" s="3" t="s">
        <v>3378</v>
      </c>
      <c r="F386" s="3" t="s">
        <v>3370</v>
      </c>
      <c r="G386" s="3" t="s">
        <v>3371</v>
      </c>
      <c r="H386" s="11" t="s">
        <v>8103</v>
      </c>
      <c r="I386" s="3" t="s">
        <v>7573</v>
      </c>
      <c r="J386" s="7">
        <v>0.87</v>
      </c>
      <c r="K386" s="1" t="s">
        <v>7574</v>
      </c>
      <c r="L386" s="2">
        <v>0.113</v>
      </c>
      <c r="M386" s="2">
        <f>11809/100000</f>
        <v>0.11809</v>
      </c>
      <c r="N386" s="2">
        <v>0.38060929999999998</v>
      </c>
      <c r="O386" s="3" t="s">
        <v>7575</v>
      </c>
      <c r="P386" s="7">
        <v>1.39</v>
      </c>
      <c r="Q386" s="1" t="s">
        <v>7576</v>
      </c>
      <c r="R386" s="2">
        <v>2.03E-4</v>
      </c>
      <c r="S386" s="2">
        <f>23/100000</f>
        <v>2.3000000000000001E-4</v>
      </c>
      <c r="T386" s="2">
        <v>5.180044E-3</v>
      </c>
    </row>
    <row r="387" spans="1:20">
      <c r="A387" s="3" t="s">
        <v>3383</v>
      </c>
      <c r="B387" s="1" t="s">
        <v>3366</v>
      </c>
      <c r="C387" s="3" t="s">
        <v>3367</v>
      </c>
      <c r="D387" s="3" t="s">
        <v>3384</v>
      </c>
      <c r="E387" s="3" t="s">
        <v>3385</v>
      </c>
      <c r="F387" s="3" t="s">
        <v>3370</v>
      </c>
      <c r="G387" s="3" t="s">
        <v>3371</v>
      </c>
      <c r="H387" s="11" t="s">
        <v>8103</v>
      </c>
      <c r="I387" s="3" t="s">
        <v>7577</v>
      </c>
      <c r="J387" s="7">
        <v>1.79</v>
      </c>
      <c r="K387" s="1" t="s">
        <v>7578</v>
      </c>
      <c r="L387" s="2">
        <v>2.9E-4</v>
      </c>
      <c r="M387" s="2">
        <f>68/100000</f>
        <v>6.8000000000000005E-4</v>
      </c>
      <c r="N387" s="2">
        <v>1.2470709999999999E-2</v>
      </c>
      <c r="O387" s="3" t="s">
        <v>7579</v>
      </c>
      <c r="P387" s="7">
        <v>1.06</v>
      </c>
      <c r="Q387" s="1" t="s">
        <v>7580</v>
      </c>
      <c r="R387" s="2">
        <v>0.71799999999999997</v>
      </c>
      <c r="S387" s="2">
        <f>75193/100000</f>
        <v>0.75192999999999999</v>
      </c>
      <c r="T387" s="2">
        <v>0.82900819999999997</v>
      </c>
    </row>
    <row r="388" spans="1:20">
      <c r="A388" s="3" t="s">
        <v>3389</v>
      </c>
      <c r="B388" s="1" t="s">
        <v>3366</v>
      </c>
      <c r="C388" s="3" t="s">
        <v>3367</v>
      </c>
      <c r="D388" s="3" t="s">
        <v>3390</v>
      </c>
      <c r="E388" s="3" t="s">
        <v>3391</v>
      </c>
      <c r="F388" s="3" t="s">
        <v>3392</v>
      </c>
      <c r="G388" s="3" t="s">
        <v>3393</v>
      </c>
      <c r="H388" s="11" t="s">
        <v>8103</v>
      </c>
      <c r="I388" s="3" t="s">
        <v>7581</v>
      </c>
      <c r="J388" s="7">
        <v>1.01</v>
      </c>
      <c r="K388" s="1" t="s">
        <v>7582</v>
      </c>
      <c r="L388" s="2">
        <v>0.94599999999999995</v>
      </c>
      <c r="M388" s="2">
        <f>100000/100000</f>
        <v>1</v>
      </c>
      <c r="N388" s="2">
        <v>0.82929589999999997</v>
      </c>
      <c r="O388" s="3" t="s">
        <v>7583</v>
      </c>
      <c r="P388" s="7">
        <v>1</v>
      </c>
      <c r="Q388" s="1" t="s">
        <v>7584</v>
      </c>
      <c r="R388" s="2">
        <v>0.97699999999999998</v>
      </c>
      <c r="S388" s="2">
        <f>100000/100000</f>
        <v>1</v>
      </c>
      <c r="T388" s="2">
        <v>0.82929589999999997</v>
      </c>
    </row>
    <row r="389" spans="1:20">
      <c r="A389" s="3" t="s">
        <v>3398</v>
      </c>
      <c r="B389" s="1" t="s">
        <v>3366</v>
      </c>
      <c r="C389" s="3" t="s">
        <v>3367</v>
      </c>
      <c r="D389" s="3" t="s">
        <v>3399</v>
      </c>
      <c r="E389" s="3" t="s">
        <v>3400</v>
      </c>
      <c r="F389" s="3" t="s">
        <v>3392</v>
      </c>
      <c r="G389" s="3" t="s">
        <v>3393</v>
      </c>
      <c r="H389" s="11" t="s">
        <v>8103</v>
      </c>
      <c r="I389" s="3" t="s">
        <v>7585</v>
      </c>
      <c r="J389" s="7">
        <v>0.84</v>
      </c>
      <c r="K389" s="1" t="s">
        <v>7586</v>
      </c>
      <c r="L389" s="2">
        <v>0.156</v>
      </c>
      <c r="M389" s="2">
        <f>16364/100000</f>
        <v>0.16364000000000001</v>
      </c>
      <c r="N389" s="2">
        <v>0.44938099999999997</v>
      </c>
      <c r="O389" s="3" t="s">
        <v>7587</v>
      </c>
      <c r="P389" s="7">
        <v>1.28</v>
      </c>
      <c r="Q389" s="1" t="s">
        <v>7588</v>
      </c>
      <c r="R389" s="2">
        <v>7.3299999999999997E-3</v>
      </c>
      <c r="S389" s="2">
        <f>828/100000</f>
        <v>8.2799999999999992E-3</v>
      </c>
      <c r="T389" s="2">
        <v>7.6746930000000005E-2</v>
      </c>
    </row>
    <row r="390" spans="1:20">
      <c r="A390" s="3" t="s">
        <v>3405</v>
      </c>
      <c r="B390" s="1" t="s">
        <v>3366</v>
      </c>
      <c r="C390" s="3" t="s">
        <v>3367</v>
      </c>
      <c r="D390" s="3" t="s">
        <v>3406</v>
      </c>
      <c r="E390" s="3" t="s">
        <v>3407</v>
      </c>
      <c r="F390" s="3" t="s">
        <v>3392</v>
      </c>
      <c r="G390" s="3" t="s">
        <v>3393</v>
      </c>
      <c r="H390" s="11" t="s">
        <v>8103</v>
      </c>
      <c r="I390" s="3" t="s">
        <v>7589</v>
      </c>
      <c r="J390" s="7">
        <v>1.72</v>
      </c>
      <c r="K390" s="1" t="s">
        <v>7590</v>
      </c>
      <c r="L390" s="2">
        <v>2.0699999999999998E-3</v>
      </c>
      <c r="M390" s="2">
        <f>301/100000</f>
        <v>3.0100000000000001E-3</v>
      </c>
      <c r="N390" s="2">
        <v>3.6976910000000002E-2</v>
      </c>
      <c r="O390" s="3" t="s">
        <v>7591</v>
      </c>
      <c r="P390" s="7">
        <v>1.06</v>
      </c>
      <c r="Q390" s="1" t="s">
        <v>2131</v>
      </c>
      <c r="R390" s="2">
        <v>0.77500000000000002</v>
      </c>
      <c r="S390" s="2">
        <f>82091/100000</f>
        <v>0.82091000000000003</v>
      </c>
      <c r="T390" s="2">
        <v>0.82929589999999997</v>
      </c>
    </row>
    <row r="391" spans="1:20">
      <c r="A391" s="3" t="s">
        <v>3412</v>
      </c>
      <c r="B391" s="1" t="s">
        <v>3413</v>
      </c>
      <c r="C391" s="3" t="s">
        <v>3414</v>
      </c>
      <c r="D391" s="3" t="s">
        <v>3415</v>
      </c>
      <c r="E391" s="3" t="s">
        <v>3416</v>
      </c>
      <c r="F391" s="3" t="s">
        <v>3417</v>
      </c>
      <c r="G391" s="3" t="s">
        <v>3418</v>
      </c>
      <c r="H391" s="11" t="s">
        <v>8227</v>
      </c>
      <c r="I391" s="3" t="s">
        <v>7592</v>
      </c>
      <c r="J391" s="7">
        <v>1.49</v>
      </c>
      <c r="K391" s="1" t="s">
        <v>7593</v>
      </c>
      <c r="L391" s="2">
        <v>6.3200000000000006E-2</v>
      </c>
      <c r="M391" s="2">
        <f>6801/100000</f>
        <v>6.8010000000000001E-2</v>
      </c>
      <c r="N391" s="2">
        <v>0.29146909999999998</v>
      </c>
      <c r="O391" s="3" t="s">
        <v>7594</v>
      </c>
      <c r="P391" s="7">
        <v>1.44</v>
      </c>
      <c r="Q391" s="1" t="s">
        <v>7595</v>
      </c>
      <c r="R391" s="2">
        <v>9.9900000000000003E-2</v>
      </c>
      <c r="S391" s="2">
        <f>11776/100000</f>
        <v>0.11776</v>
      </c>
      <c r="T391" s="2">
        <v>0.38060929999999998</v>
      </c>
    </row>
    <row r="392" spans="1:20">
      <c r="A392" s="3" t="s">
        <v>3422</v>
      </c>
      <c r="B392" s="1" t="s">
        <v>3413</v>
      </c>
      <c r="C392" s="3" t="s">
        <v>3414</v>
      </c>
      <c r="D392" s="3" t="s">
        <v>3423</v>
      </c>
      <c r="E392" s="3" t="s">
        <v>3424</v>
      </c>
      <c r="F392" s="3" t="s">
        <v>3417</v>
      </c>
      <c r="G392" s="3" t="s">
        <v>3418</v>
      </c>
      <c r="H392" s="11" t="s">
        <v>8228</v>
      </c>
      <c r="I392" s="3" t="s">
        <v>7596</v>
      </c>
      <c r="J392" s="7">
        <v>0.78</v>
      </c>
      <c r="K392" s="1" t="s">
        <v>7597</v>
      </c>
      <c r="L392" s="2">
        <v>0.34100000000000003</v>
      </c>
      <c r="M392" s="2">
        <f>36156/100000</f>
        <v>0.36155999999999999</v>
      </c>
      <c r="N392" s="2">
        <v>0.6409897</v>
      </c>
      <c r="O392" s="3" t="s">
        <v>7598</v>
      </c>
      <c r="P392" s="7">
        <v>1.03</v>
      </c>
      <c r="Q392" s="1" t="s">
        <v>7599</v>
      </c>
      <c r="R392" s="2">
        <v>0.88300000000000001</v>
      </c>
      <c r="S392" s="2">
        <f>91731/100000</f>
        <v>0.91730999999999996</v>
      </c>
      <c r="T392" s="2">
        <v>0.82929589999999997</v>
      </c>
    </row>
    <row r="393" spans="1:20">
      <c r="A393" s="3" t="s">
        <v>3428</v>
      </c>
      <c r="B393" s="1" t="s">
        <v>3429</v>
      </c>
      <c r="C393" s="3" t="s">
        <v>3430</v>
      </c>
      <c r="D393" s="3" t="s">
        <v>3431</v>
      </c>
      <c r="E393" s="3" t="s">
        <v>3432</v>
      </c>
      <c r="F393" s="3" t="s">
        <v>3433</v>
      </c>
      <c r="G393" s="3" t="s">
        <v>3434</v>
      </c>
      <c r="H393" s="11" t="s">
        <v>8104</v>
      </c>
      <c r="I393" s="3" t="s">
        <v>7600</v>
      </c>
      <c r="J393" s="7">
        <v>0.68</v>
      </c>
      <c r="K393" s="1" t="s">
        <v>7601</v>
      </c>
      <c r="L393" s="2">
        <v>0.441</v>
      </c>
      <c r="M393" s="2">
        <f>53458/100000</f>
        <v>0.53458000000000006</v>
      </c>
      <c r="N393" s="2">
        <v>0.74478149999999999</v>
      </c>
      <c r="O393" s="3" t="s">
        <v>7602</v>
      </c>
      <c r="P393" s="7">
        <v>1.62</v>
      </c>
      <c r="Q393" s="1" t="s">
        <v>7603</v>
      </c>
      <c r="R393" s="2">
        <v>0.10199999999999999</v>
      </c>
      <c r="S393" s="2">
        <f>13427/100000</f>
        <v>0.13427</v>
      </c>
      <c r="T393" s="2">
        <v>0.40098479999999997</v>
      </c>
    </row>
    <row r="394" spans="1:20">
      <c r="A394" s="3" t="s">
        <v>3439</v>
      </c>
      <c r="B394" s="1" t="s">
        <v>3429</v>
      </c>
      <c r="C394" s="3" t="s">
        <v>3430</v>
      </c>
      <c r="D394" s="3" t="s">
        <v>3440</v>
      </c>
      <c r="E394" s="3" t="s">
        <v>3441</v>
      </c>
      <c r="F394" s="3" t="s">
        <v>3442</v>
      </c>
      <c r="G394" s="3" t="s">
        <v>3443</v>
      </c>
      <c r="H394" s="11" t="s">
        <v>8104</v>
      </c>
      <c r="I394" s="3" t="s">
        <v>7604</v>
      </c>
      <c r="J394" s="7">
        <v>1.21</v>
      </c>
      <c r="K394" s="1" t="s">
        <v>7605</v>
      </c>
      <c r="L394" s="2">
        <v>0.312</v>
      </c>
      <c r="M394" s="2">
        <f>31455/100000</f>
        <v>0.31455</v>
      </c>
      <c r="N394" s="2">
        <v>0.6008637</v>
      </c>
      <c r="O394" s="3" t="s">
        <v>7606</v>
      </c>
      <c r="P394" s="7">
        <v>0.47</v>
      </c>
      <c r="Q394" s="1" t="s">
        <v>255</v>
      </c>
      <c r="R394" s="2">
        <v>2.0500000000000001E-2</v>
      </c>
      <c r="S394" s="2">
        <f>2305/100000</f>
        <v>2.3050000000000001E-2</v>
      </c>
      <c r="T394" s="2">
        <v>0.15129909999999999</v>
      </c>
    </row>
    <row r="395" spans="1:20">
      <c r="A395" s="3" t="s">
        <v>3448</v>
      </c>
      <c r="B395" s="1" t="s">
        <v>3449</v>
      </c>
      <c r="C395" s="3" t="s">
        <v>3450</v>
      </c>
      <c r="D395" s="3" t="s">
        <v>3451</v>
      </c>
      <c r="E395" s="3" t="s">
        <v>3452</v>
      </c>
      <c r="F395" s="3" t="s">
        <v>3453</v>
      </c>
      <c r="G395" s="3" t="s">
        <v>3454</v>
      </c>
      <c r="H395" s="11" t="s">
        <v>8048</v>
      </c>
      <c r="I395" s="3" t="s">
        <v>7607</v>
      </c>
      <c r="J395" s="7">
        <v>1.06</v>
      </c>
      <c r="K395" s="1" t="s">
        <v>7608</v>
      </c>
      <c r="L395" s="2">
        <v>0.86299999999999999</v>
      </c>
      <c r="M395" s="2">
        <f>100000/100000</f>
        <v>1</v>
      </c>
      <c r="N395" s="2">
        <v>0.82929589999999997</v>
      </c>
      <c r="O395" s="3" t="s">
        <v>7609</v>
      </c>
      <c r="P395" s="7">
        <v>0.97</v>
      </c>
      <c r="Q395" s="1" t="s">
        <v>7610</v>
      </c>
      <c r="R395" s="2">
        <v>0.93899999999999995</v>
      </c>
      <c r="S395" s="2">
        <f>100000/100000</f>
        <v>1</v>
      </c>
      <c r="T395" s="2">
        <v>0.82929589999999997</v>
      </c>
    </row>
    <row r="396" spans="1:20">
      <c r="A396" s="3" t="s">
        <v>3458</v>
      </c>
      <c r="B396" s="1" t="s">
        <v>3449</v>
      </c>
      <c r="C396" s="3" t="s">
        <v>3450</v>
      </c>
      <c r="D396" s="3" t="s">
        <v>3459</v>
      </c>
      <c r="E396" s="3" t="s">
        <v>3460</v>
      </c>
      <c r="F396" s="3" t="s">
        <v>3453</v>
      </c>
      <c r="G396" s="3" t="s">
        <v>3454</v>
      </c>
      <c r="H396" s="11" t="s">
        <v>8229</v>
      </c>
      <c r="I396" s="3" t="s">
        <v>7611</v>
      </c>
      <c r="J396" s="7">
        <v>1.62</v>
      </c>
      <c r="K396" s="1" t="s">
        <v>7612</v>
      </c>
      <c r="L396" s="2">
        <v>0.11799999999999999</v>
      </c>
      <c r="M396" s="2">
        <f>11783/100000</f>
        <v>0.11783</v>
      </c>
      <c r="N396" s="2">
        <v>0.38060929999999998</v>
      </c>
      <c r="O396" s="3" t="s">
        <v>7613</v>
      </c>
      <c r="P396" s="7">
        <v>0.93</v>
      </c>
      <c r="Q396" s="1" t="s">
        <v>7614</v>
      </c>
      <c r="R396" s="2">
        <v>0.85399999999999998</v>
      </c>
      <c r="S396" s="2">
        <f>100000/100000</f>
        <v>1</v>
      </c>
      <c r="T396" s="2">
        <v>0.82929589999999997</v>
      </c>
    </row>
    <row r="397" spans="1:20">
      <c r="A397" s="3" t="s">
        <v>3465</v>
      </c>
      <c r="B397" s="1" t="s">
        <v>3466</v>
      </c>
      <c r="C397" s="3" t="s">
        <v>3467</v>
      </c>
      <c r="D397" s="3" t="s">
        <v>3468</v>
      </c>
      <c r="E397" s="3" t="s">
        <v>3469</v>
      </c>
      <c r="F397" s="3" t="s">
        <v>3470</v>
      </c>
      <c r="G397" s="3" t="s">
        <v>3471</v>
      </c>
      <c r="H397" s="11" t="s">
        <v>8105</v>
      </c>
      <c r="I397" s="3" t="s">
        <v>7615</v>
      </c>
      <c r="J397" s="7">
        <v>0.69</v>
      </c>
      <c r="K397" s="1" t="s">
        <v>7616</v>
      </c>
      <c r="L397" s="2">
        <v>0.36</v>
      </c>
      <c r="M397" s="2">
        <f>39283/100000</f>
        <v>0.39283000000000001</v>
      </c>
      <c r="N397" s="2">
        <v>0.65906430000000005</v>
      </c>
      <c r="O397" s="3" t="s">
        <v>7617</v>
      </c>
      <c r="P397" s="7">
        <v>1.52</v>
      </c>
      <c r="Q397" s="1" t="s">
        <v>7618</v>
      </c>
      <c r="R397" s="2">
        <v>0.252</v>
      </c>
      <c r="S397" s="2">
        <f>26249/100000</f>
        <v>0.26249</v>
      </c>
      <c r="T397" s="2">
        <v>0.56338779999999999</v>
      </c>
    </row>
    <row r="398" spans="1:20">
      <c r="A398" s="3" t="s">
        <v>3476</v>
      </c>
      <c r="B398" s="1" t="s">
        <v>3466</v>
      </c>
      <c r="C398" s="3" t="s">
        <v>3467</v>
      </c>
      <c r="D398" s="3" t="s">
        <v>3477</v>
      </c>
      <c r="E398" s="3" t="s">
        <v>3478</v>
      </c>
      <c r="F398" s="3" t="s">
        <v>3479</v>
      </c>
      <c r="G398" s="3" t="s">
        <v>3480</v>
      </c>
      <c r="H398" s="11" t="s">
        <v>8105</v>
      </c>
      <c r="I398" s="3" t="s">
        <v>7619</v>
      </c>
      <c r="J398" s="7">
        <v>1.39</v>
      </c>
      <c r="K398" s="1" t="s">
        <v>7620</v>
      </c>
      <c r="L398" s="2">
        <v>0.26400000000000001</v>
      </c>
      <c r="M398" s="2">
        <f>29526/100000</f>
        <v>0.29526000000000002</v>
      </c>
      <c r="N398" s="2">
        <v>0.58039269999999998</v>
      </c>
      <c r="O398" s="3" t="s">
        <v>7621</v>
      </c>
      <c r="P398" s="7">
        <v>1.91</v>
      </c>
      <c r="Q398" s="1" t="s">
        <v>7622</v>
      </c>
      <c r="R398" s="2">
        <v>7.3599999999999999E-2</v>
      </c>
      <c r="S398" s="2">
        <f>8233/100000</f>
        <v>8.233E-2</v>
      </c>
      <c r="T398" s="2">
        <v>0.32408779999999998</v>
      </c>
    </row>
    <row r="399" spans="1:20">
      <c r="A399" s="3" t="s">
        <v>3483</v>
      </c>
      <c r="B399" s="1" t="s">
        <v>3466</v>
      </c>
      <c r="C399" s="3" t="s">
        <v>3467</v>
      </c>
      <c r="D399" s="3" t="s">
        <v>3484</v>
      </c>
      <c r="E399" s="3" t="s">
        <v>3485</v>
      </c>
      <c r="F399" s="3" t="s">
        <v>3479</v>
      </c>
      <c r="G399" s="3" t="s">
        <v>3480</v>
      </c>
      <c r="H399" s="11" t="s">
        <v>8106</v>
      </c>
      <c r="I399" s="3" t="s">
        <v>7623</v>
      </c>
      <c r="J399" s="7">
        <v>1.43</v>
      </c>
      <c r="K399" s="1" t="s">
        <v>4787</v>
      </c>
      <c r="L399" s="2">
        <v>0.19600000000000001</v>
      </c>
      <c r="M399" s="2">
        <f>25271/100000</f>
        <v>0.25270999999999999</v>
      </c>
      <c r="N399" s="2">
        <v>0.55424700000000005</v>
      </c>
      <c r="O399" s="3" t="s">
        <v>7624</v>
      </c>
      <c r="P399" s="7">
        <v>0.75</v>
      </c>
      <c r="Q399" s="1" t="s">
        <v>7625</v>
      </c>
      <c r="R399" s="2">
        <v>0.52400000000000002</v>
      </c>
      <c r="S399" s="2">
        <f>56491/100000</f>
        <v>0.56491000000000002</v>
      </c>
      <c r="T399" s="2">
        <v>0.76069089999999995</v>
      </c>
    </row>
    <row r="400" spans="1:20">
      <c r="A400" s="3" t="s">
        <v>3488</v>
      </c>
      <c r="B400" s="1" t="s">
        <v>3489</v>
      </c>
      <c r="C400" s="3" t="s">
        <v>3490</v>
      </c>
      <c r="D400" s="3" t="s">
        <v>2741</v>
      </c>
      <c r="E400" s="3" t="s">
        <v>2742</v>
      </c>
      <c r="F400" s="3" t="s">
        <v>2743</v>
      </c>
      <c r="G400" s="3" t="s">
        <v>2744</v>
      </c>
      <c r="H400" s="11" t="s">
        <v>8198</v>
      </c>
      <c r="I400" s="3" t="s">
        <v>7328</v>
      </c>
      <c r="J400" s="7">
        <v>1.65</v>
      </c>
      <c r="K400" s="1" t="s">
        <v>7329</v>
      </c>
      <c r="L400" s="2">
        <v>0.16800000000000001</v>
      </c>
      <c r="M400" s="2">
        <f>16404/100000</f>
        <v>0.16403999999999999</v>
      </c>
      <c r="N400" s="2">
        <v>0.44938099999999997</v>
      </c>
      <c r="O400" s="3" t="s">
        <v>7330</v>
      </c>
      <c r="P400" s="7">
        <v>1.36</v>
      </c>
      <c r="Q400" s="1" t="s">
        <v>7331</v>
      </c>
      <c r="R400" s="2">
        <v>0.43099999999999999</v>
      </c>
      <c r="S400" s="2">
        <f>49868/100000</f>
        <v>0.49868000000000001</v>
      </c>
      <c r="T400" s="2">
        <v>0.73504449999999999</v>
      </c>
    </row>
    <row r="401" spans="1:20">
      <c r="A401" s="3" t="s">
        <v>3491</v>
      </c>
      <c r="B401" s="1" t="s">
        <v>3489</v>
      </c>
      <c r="C401" s="3" t="s">
        <v>3490</v>
      </c>
      <c r="D401" s="3" t="s">
        <v>2750</v>
      </c>
      <c r="E401" s="3" t="s">
        <v>2751</v>
      </c>
      <c r="F401" s="3" t="s">
        <v>2743</v>
      </c>
      <c r="G401" s="3" t="s">
        <v>2744</v>
      </c>
      <c r="H401" s="11" t="s">
        <v>8094</v>
      </c>
      <c r="I401" s="3" t="s">
        <v>7332</v>
      </c>
      <c r="J401" s="7">
        <v>0.27</v>
      </c>
      <c r="K401" s="1" t="s">
        <v>7333</v>
      </c>
      <c r="L401" s="2">
        <v>5.1900000000000002E-2</v>
      </c>
      <c r="M401" s="2">
        <f>5271/100000</f>
        <v>5.271E-2</v>
      </c>
      <c r="N401" s="2">
        <v>0.25010579999999999</v>
      </c>
      <c r="O401" s="3" t="s">
        <v>7334</v>
      </c>
      <c r="P401" s="7">
        <v>2</v>
      </c>
      <c r="Q401" s="1" t="s">
        <v>7335</v>
      </c>
      <c r="R401" s="2">
        <v>4.1000000000000003E-3</v>
      </c>
      <c r="S401" s="2">
        <f>693/100000</f>
        <v>6.9300000000000004E-3</v>
      </c>
      <c r="T401" s="2">
        <v>6.7396880000000006E-2</v>
      </c>
    </row>
    <row r="402" spans="1:20">
      <c r="A402" s="3" t="s">
        <v>3492</v>
      </c>
      <c r="B402" s="1" t="s">
        <v>3493</v>
      </c>
      <c r="C402" s="3" t="s">
        <v>3494</v>
      </c>
      <c r="D402" s="3" t="s">
        <v>3495</v>
      </c>
      <c r="E402" s="3" t="s">
        <v>3496</v>
      </c>
      <c r="F402" s="3" t="s">
        <v>3497</v>
      </c>
      <c r="G402" s="3" t="s">
        <v>3498</v>
      </c>
      <c r="H402" s="11" t="s">
        <v>8230</v>
      </c>
      <c r="I402" s="3" t="s">
        <v>7626</v>
      </c>
      <c r="J402" s="7">
        <v>1.21</v>
      </c>
      <c r="K402" s="1" t="s">
        <v>7627</v>
      </c>
      <c r="L402" s="2">
        <v>0.52100000000000002</v>
      </c>
      <c r="M402" s="2">
        <f>62875/100000</f>
        <v>0.62875000000000003</v>
      </c>
      <c r="N402" s="2">
        <v>0.79869500000000004</v>
      </c>
      <c r="O402" s="3" t="s">
        <v>7628</v>
      </c>
      <c r="P402" s="7">
        <v>1.02</v>
      </c>
      <c r="Q402" s="1" t="s">
        <v>7629</v>
      </c>
      <c r="R402" s="2">
        <v>0.93700000000000006</v>
      </c>
      <c r="S402" s="2">
        <f>100000/100000</f>
        <v>1</v>
      </c>
      <c r="T402" s="2">
        <v>0.82929589999999997</v>
      </c>
    </row>
    <row r="403" spans="1:20">
      <c r="A403" s="3" t="s">
        <v>3501</v>
      </c>
      <c r="B403" s="1" t="s">
        <v>3493</v>
      </c>
      <c r="C403" s="3" t="s">
        <v>3494</v>
      </c>
      <c r="D403" s="3" t="s">
        <v>3502</v>
      </c>
      <c r="E403" s="3" t="s">
        <v>3503</v>
      </c>
      <c r="F403" s="3" t="s">
        <v>3504</v>
      </c>
      <c r="G403" s="3" t="s">
        <v>3505</v>
      </c>
      <c r="H403" s="11" t="s">
        <v>8230</v>
      </c>
      <c r="I403" s="3" t="s">
        <v>7630</v>
      </c>
      <c r="J403" s="7">
        <v>1.84</v>
      </c>
      <c r="K403" s="1" t="s">
        <v>7631</v>
      </c>
      <c r="L403" s="2">
        <v>3.0700000000000002E-2</v>
      </c>
      <c r="M403" s="2">
        <f>3712/100000</f>
        <v>3.712E-2</v>
      </c>
      <c r="N403" s="2">
        <v>0.20452029999999999</v>
      </c>
      <c r="O403" s="3" t="s">
        <v>7632</v>
      </c>
      <c r="P403" s="7">
        <v>1.05</v>
      </c>
      <c r="Q403" s="1" t="s">
        <v>7633</v>
      </c>
      <c r="R403" s="2">
        <v>0.88300000000000001</v>
      </c>
      <c r="S403" s="2">
        <f>100000/100000</f>
        <v>1</v>
      </c>
      <c r="T403" s="2">
        <v>0.82929589999999997</v>
      </c>
    </row>
    <row r="404" spans="1:20">
      <c r="A404" s="3" t="s">
        <v>3509</v>
      </c>
      <c r="B404" s="1" t="s">
        <v>3510</v>
      </c>
      <c r="C404" s="3" t="s">
        <v>3511</v>
      </c>
      <c r="D404" s="3" t="s">
        <v>3512</v>
      </c>
      <c r="E404" s="3" t="s">
        <v>3513</v>
      </c>
      <c r="F404" s="3" t="s">
        <v>3514</v>
      </c>
      <c r="G404" s="3" t="s">
        <v>3515</v>
      </c>
      <c r="H404" s="11" t="s">
        <v>8107</v>
      </c>
      <c r="I404" s="3" t="s">
        <v>7634</v>
      </c>
      <c r="J404" s="7">
        <v>0.87</v>
      </c>
      <c r="K404" s="1" t="s">
        <v>7635</v>
      </c>
      <c r="L404" s="2">
        <v>0.47099999999999997</v>
      </c>
      <c r="M404" s="2">
        <f>52006/100000</f>
        <v>0.52005999999999997</v>
      </c>
      <c r="N404" s="2">
        <v>0.74478149999999999</v>
      </c>
      <c r="O404" s="3" t="s">
        <v>7636</v>
      </c>
      <c r="P404" s="7">
        <v>1.32</v>
      </c>
      <c r="Q404" s="1" t="s">
        <v>7637</v>
      </c>
      <c r="R404" s="2">
        <v>9.0200000000000002E-2</v>
      </c>
      <c r="S404" s="2">
        <f>10031/100000</f>
        <v>0.10031</v>
      </c>
      <c r="T404" s="2">
        <v>0.3565972</v>
      </c>
    </row>
    <row r="405" spans="1:20">
      <c r="A405" s="3" t="s">
        <v>3518</v>
      </c>
      <c r="B405" s="1" t="s">
        <v>3510</v>
      </c>
      <c r="C405" s="3" t="s">
        <v>3511</v>
      </c>
      <c r="D405" s="3" t="s">
        <v>3519</v>
      </c>
      <c r="E405" s="3" t="s">
        <v>3520</v>
      </c>
      <c r="F405" s="3" t="s">
        <v>3514</v>
      </c>
      <c r="G405" s="3" t="s">
        <v>3515</v>
      </c>
      <c r="H405" s="11" t="s">
        <v>8107</v>
      </c>
      <c r="I405" s="3" t="s">
        <v>7638</v>
      </c>
      <c r="J405" s="7">
        <v>0.84</v>
      </c>
      <c r="K405" s="1" t="s">
        <v>7639</v>
      </c>
      <c r="L405" s="2">
        <v>0.34</v>
      </c>
      <c r="M405" s="2">
        <f>34470/100000</f>
        <v>0.34470000000000001</v>
      </c>
      <c r="N405" s="2">
        <v>0.62073400000000001</v>
      </c>
      <c r="O405" s="3" t="s">
        <v>7640</v>
      </c>
      <c r="P405" s="7">
        <v>1.55</v>
      </c>
      <c r="Q405" s="1" t="s">
        <v>7641</v>
      </c>
      <c r="R405" s="2">
        <v>1.5399999999999999E-3</v>
      </c>
      <c r="S405" s="2">
        <f>208/100000</f>
        <v>2.0799999999999998E-3</v>
      </c>
      <c r="T405" s="2">
        <v>2.7814579999999998E-2</v>
      </c>
    </row>
    <row r="406" spans="1:20">
      <c r="A406" s="3" t="s">
        <v>3525</v>
      </c>
      <c r="B406" s="1" t="s">
        <v>3510</v>
      </c>
      <c r="C406" s="3" t="s">
        <v>3511</v>
      </c>
      <c r="D406" s="3" t="s">
        <v>3526</v>
      </c>
      <c r="E406" s="3" t="s">
        <v>3527</v>
      </c>
      <c r="F406" s="3" t="s">
        <v>3514</v>
      </c>
      <c r="G406" s="3" t="s">
        <v>3515</v>
      </c>
      <c r="H406" s="11" t="s">
        <v>8107</v>
      </c>
      <c r="I406" s="3" t="s">
        <v>7642</v>
      </c>
      <c r="J406" s="7">
        <v>0.61</v>
      </c>
      <c r="K406" s="1" t="s">
        <v>6086</v>
      </c>
      <c r="L406" s="2">
        <v>3.8699999999999998E-2</v>
      </c>
      <c r="M406" s="2">
        <f>3990/100000</f>
        <v>3.9899999999999998E-2</v>
      </c>
      <c r="N406" s="2">
        <v>0.21297969999999999</v>
      </c>
      <c r="O406" s="3" t="s">
        <v>7643</v>
      </c>
      <c r="P406" s="7">
        <v>1.33</v>
      </c>
      <c r="Q406" s="1" t="s">
        <v>7644</v>
      </c>
      <c r="R406" s="2">
        <v>5.1700000000000003E-2</v>
      </c>
      <c r="S406" s="2">
        <f>5941/100000</f>
        <v>5.9409999999999998E-2</v>
      </c>
      <c r="T406" s="2">
        <v>0.26799119999999998</v>
      </c>
    </row>
    <row r="407" spans="1:20">
      <c r="A407" s="3" t="s">
        <v>3532</v>
      </c>
      <c r="B407" s="1" t="s">
        <v>3533</v>
      </c>
      <c r="C407" s="3" t="s">
        <v>3534</v>
      </c>
      <c r="D407" s="3" t="s">
        <v>3535</v>
      </c>
      <c r="E407" s="3" t="s">
        <v>3536</v>
      </c>
      <c r="F407" s="3" t="s">
        <v>3537</v>
      </c>
      <c r="G407" s="3" t="s">
        <v>3538</v>
      </c>
      <c r="H407" s="11" t="s">
        <v>8078</v>
      </c>
      <c r="I407" s="3" t="s">
        <v>7645</v>
      </c>
      <c r="J407" s="7">
        <v>0.94</v>
      </c>
      <c r="K407" s="1" t="s">
        <v>7646</v>
      </c>
      <c r="L407" s="2">
        <v>0.92300000000000004</v>
      </c>
      <c r="M407" s="2">
        <f>100000/100000</f>
        <v>1</v>
      </c>
      <c r="N407" s="2">
        <v>0.82929589999999997</v>
      </c>
      <c r="O407" s="3" t="s">
        <v>7647</v>
      </c>
      <c r="P407" s="7">
        <v>0.44</v>
      </c>
      <c r="Q407" s="1" t="s">
        <v>7648</v>
      </c>
      <c r="R407" s="2">
        <v>0.24399999999999999</v>
      </c>
      <c r="S407" s="2">
        <f>33062/100000</f>
        <v>0.33062000000000002</v>
      </c>
      <c r="T407" s="2">
        <v>0.61526179999999997</v>
      </c>
    </row>
    <row r="408" spans="1:20">
      <c r="A408" s="3" t="s">
        <v>3543</v>
      </c>
      <c r="B408" s="1" t="s">
        <v>3533</v>
      </c>
      <c r="C408" s="3" t="s">
        <v>3534</v>
      </c>
      <c r="D408" s="3" t="s">
        <v>3544</v>
      </c>
      <c r="E408" s="3" t="s">
        <v>3545</v>
      </c>
      <c r="F408" s="3" t="s">
        <v>3546</v>
      </c>
      <c r="G408" s="3" t="s">
        <v>3547</v>
      </c>
      <c r="H408" s="11" t="s">
        <v>8108</v>
      </c>
      <c r="I408" s="3" t="s">
        <v>7649</v>
      </c>
      <c r="J408" s="7">
        <v>0.57999999999999996</v>
      </c>
      <c r="K408" s="1" t="s">
        <v>7650</v>
      </c>
      <c r="L408" s="2">
        <v>0.23</v>
      </c>
      <c r="M408" s="2">
        <f>28685/100000</f>
        <v>0.28684999999999999</v>
      </c>
      <c r="N408" s="2">
        <v>0.57658259999999995</v>
      </c>
      <c r="O408" s="3" t="s">
        <v>7651</v>
      </c>
      <c r="P408" s="7">
        <v>1.23</v>
      </c>
      <c r="Q408" s="1" t="s">
        <v>7652</v>
      </c>
      <c r="R408" s="2">
        <v>0.61799999999999999</v>
      </c>
      <c r="S408" s="2">
        <f>63842/100000</f>
        <v>0.63841999999999999</v>
      </c>
      <c r="T408" s="2">
        <v>0.79869500000000004</v>
      </c>
    </row>
    <row r="409" spans="1:20">
      <c r="A409" s="3" t="s">
        <v>3552</v>
      </c>
      <c r="B409" s="1" t="s">
        <v>3533</v>
      </c>
      <c r="C409" s="3" t="s">
        <v>3534</v>
      </c>
      <c r="D409" s="3" t="s">
        <v>3553</v>
      </c>
      <c r="E409" s="3" t="s">
        <v>3554</v>
      </c>
      <c r="F409" s="3" t="s">
        <v>3546</v>
      </c>
      <c r="G409" s="3" t="s">
        <v>3547</v>
      </c>
      <c r="H409" s="11" t="s">
        <v>8108</v>
      </c>
      <c r="I409" s="3" t="s">
        <v>7653</v>
      </c>
      <c r="J409" s="7">
        <v>0.85</v>
      </c>
      <c r="K409" s="1" t="s">
        <v>7654</v>
      </c>
      <c r="L409" s="2">
        <v>0.69699999999999995</v>
      </c>
      <c r="M409" s="2">
        <f>71144/100000</f>
        <v>0.71143999999999996</v>
      </c>
      <c r="N409" s="2">
        <v>0.82137769999999999</v>
      </c>
      <c r="O409" s="3" t="s">
        <v>7655</v>
      </c>
      <c r="P409" s="7">
        <v>1.69</v>
      </c>
      <c r="Q409" s="1" t="s">
        <v>7656</v>
      </c>
      <c r="R409" s="2">
        <v>6.6799999999999998E-2</v>
      </c>
      <c r="S409" s="2">
        <f>6900/100000</f>
        <v>6.9000000000000006E-2</v>
      </c>
      <c r="T409" s="2">
        <v>0.29477120000000001</v>
      </c>
    </row>
    <row r="410" spans="1:20">
      <c r="A410" s="3" t="s">
        <v>3559</v>
      </c>
      <c r="B410" s="1" t="s">
        <v>3533</v>
      </c>
      <c r="C410" s="3" t="s">
        <v>3534</v>
      </c>
      <c r="D410" s="3" t="s">
        <v>3560</v>
      </c>
      <c r="E410" s="3" t="s">
        <v>3561</v>
      </c>
      <c r="F410" s="3" t="s">
        <v>3546</v>
      </c>
      <c r="G410" s="3" t="s">
        <v>3547</v>
      </c>
      <c r="H410" s="11" t="s">
        <v>8108</v>
      </c>
      <c r="I410" s="3" t="s">
        <v>7657</v>
      </c>
      <c r="J410" s="7">
        <v>1.78</v>
      </c>
      <c r="K410" s="1" t="s">
        <v>7658</v>
      </c>
      <c r="L410" s="2">
        <v>1.44E-4</v>
      </c>
      <c r="M410" s="2">
        <f>29/100000</f>
        <v>2.9E-4</v>
      </c>
      <c r="N410" s="2">
        <v>6.3099580000000001E-3</v>
      </c>
      <c r="O410" s="3" t="s">
        <v>7659</v>
      </c>
      <c r="P410" s="7">
        <v>0.96</v>
      </c>
      <c r="Q410" s="1" t="s">
        <v>7660</v>
      </c>
      <c r="R410" s="2">
        <v>0.80300000000000005</v>
      </c>
      <c r="S410" s="2">
        <f>85645/100000</f>
        <v>0.85645000000000004</v>
      </c>
      <c r="T410" s="2">
        <v>0.82929589999999997</v>
      </c>
    </row>
    <row r="411" spans="1:20">
      <c r="A411" s="3" t="s">
        <v>3566</v>
      </c>
      <c r="B411" s="1" t="s">
        <v>3533</v>
      </c>
      <c r="C411" s="3" t="s">
        <v>3534</v>
      </c>
      <c r="D411" s="3" t="s">
        <v>3567</v>
      </c>
      <c r="E411" s="3" t="s">
        <v>3568</v>
      </c>
      <c r="F411" s="3" t="s">
        <v>3569</v>
      </c>
      <c r="G411" s="3" t="s">
        <v>3570</v>
      </c>
      <c r="H411" s="11" t="s">
        <v>8108</v>
      </c>
      <c r="I411" s="3" t="s">
        <v>7661</v>
      </c>
      <c r="J411" s="7">
        <v>0.47</v>
      </c>
      <c r="K411" s="1" t="s">
        <v>4601</v>
      </c>
      <c r="L411" s="2">
        <v>0.27600000000000002</v>
      </c>
      <c r="M411" s="2">
        <f>33330/100000</f>
        <v>0.33329999999999999</v>
      </c>
      <c r="N411" s="2">
        <v>0.61526179999999997</v>
      </c>
      <c r="O411" s="3" t="s">
        <v>7662</v>
      </c>
      <c r="P411" s="7">
        <v>2.35</v>
      </c>
      <c r="Q411" s="1" t="s">
        <v>7663</v>
      </c>
      <c r="R411" s="2">
        <v>4.0800000000000003E-2</v>
      </c>
      <c r="S411" s="2">
        <f>5364/100000</f>
        <v>5.364E-2</v>
      </c>
      <c r="T411" s="2">
        <v>0.2515868</v>
      </c>
    </row>
    <row r="412" spans="1:20">
      <c r="A412" s="3" t="s">
        <v>3575</v>
      </c>
      <c r="B412" s="1" t="s">
        <v>3533</v>
      </c>
      <c r="C412" s="3" t="s">
        <v>3534</v>
      </c>
      <c r="D412" s="3" t="s">
        <v>3576</v>
      </c>
      <c r="E412" s="3" t="s">
        <v>3577</v>
      </c>
      <c r="F412" s="3" t="s">
        <v>3569</v>
      </c>
      <c r="G412" s="3" t="s">
        <v>3570</v>
      </c>
      <c r="H412" s="11" t="s">
        <v>8108</v>
      </c>
      <c r="I412" s="3" t="s">
        <v>7664</v>
      </c>
      <c r="J412" s="7">
        <v>0.6</v>
      </c>
      <c r="K412" s="1" t="s">
        <v>4852</v>
      </c>
      <c r="L412" s="2">
        <v>0.307</v>
      </c>
      <c r="M412" s="2">
        <f>33401/100000</f>
        <v>0.33400999999999997</v>
      </c>
      <c r="N412" s="2">
        <v>0.61526179999999997</v>
      </c>
      <c r="O412" s="3" t="s">
        <v>7665</v>
      </c>
      <c r="P412" s="7">
        <v>0.67</v>
      </c>
      <c r="Q412" s="1" t="s">
        <v>7601</v>
      </c>
      <c r="R412" s="2">
        <v>0.436</v>
      </c>
      <c r="S412" s="2">
        <f>53144/100000</f>
        <v>0.53144000000000002</v>
      </c>
      <c r="T412" s="2">
        <v>0.74478149999999999</v>
      </c>
    </row>
    <row r="413" spans="1:20">
      <c r="A413" s="3" t="s">
        <v>3582</v>
      </c>
      <c r="B413" s="1" t="s">
        <v>3533</v>
      </c>
      <c r="C413" s="3" t="s">
        <v>3534</v>
      </c>
      <c r="D413" s="3" t="s">
        <v>3583</v>
      </c>
      <c r="E413" s="3" t="s">
        <v>3584</v>
      </c>
      <c r="F413" s="3" t="s">
        <v>3537</v>
      </c>
      <c r="G413" s="3" t="s">
        <v>3538</v>
      </c>
      <c r="H413" s="11" t="s">
        <v>8078</v>
      </c>
      <c r="I413" s="3" t="s">
        <v>7666</v>
      </c>
      <c r="J413" s="7">
        <v>0.41</v>
      </c>
      <c r="K413" s="1" t="s">
        <v>4523</v>
      </c>
      <c r="L413" s="2">
        <v>7.2499999999999995E-2</v>
      </c>
      <c r="M413" s="2">
        <f>8864/100000</f>
        <v>8.8639999999999997E-2</v>
      </c>
      <c r="N413" s="2">
        <v>0.33952310000000002</v>
      </c>
      <c r="O413" s="3" t="s">
        <v>7667</v>
      </c>
      <c r="P413" s="7">
        <v>0.7</v>
      </c>
      <c r="Q413" s="1" t="s">
        <v>5627</v>
      </c>
      <c r="R413" s="2">
        <v>0.29699999999999999</v>
      </c>
      <c r="S413" s="2">
        <f>31565/100000</f>
        <v>0.31564999999999999</v>
      </c>
      <c r="T413" s="2">
        <v>0.60187690000000005</v>
      </c>
    </row>
    <row r="414" spans="1:20">
      <c r="A414" s="3" t="s">
        <v>3589</v>
      </c>
      <c r="B414" s="1" t="s">
        <v>3533</v>
      </c>
      <c r="C414" s="3" t="s">
        <v>3534</v>
      </c>
      <c r="D414" s="3" t="s">
        <v>3590</v>
      </c>
      <c r="E414" s="3" t="s">
        <v>3591</v>
      </c>
      <c r="F414" s="3" t="s">
        <v>3537</v>
      </c>
      <c r="G414" s="3" t="s">
        <v>3538</v>
      </c>
      <c r="H414" s="11" t="s">
        <v>8078</v>
      </c>
      <c r="I414" s="3" t="s">
        <v>7668</v>
      </c>
      <c r="J414" s="7">
        <v>1.67</v>
      </c>
      <c r="K414" s="1" t="s">
        <v>7669</v>
      </c>
      <c r="L414" s="2">
        <v>0.26400000000000001</v>
      </c>
      <c r="M414" s="2">
        <f>37727/100000</f>
        <v>0.37726999999999999</v>
      </c>
      <c r="N414" s="2">
        <v>0.65084330000000001</v>
      </c>
      <c r="O414" s="3" t="s">
        <v>7670</v>
      </c>
      <c r="P414" s="7">
        <v>0.32</v>
      </c>
      <c r="Q414" s="1" t="s">
        <v>7671</v>
      </c>
      <c r="R414" s="2">
        <v>3.9699999999999999E-2</v>
      </c>
      <c r="S414" s="2">
        <f>3719/100000</f>
        <v>3.7190000000000001E-2</v>
      </c>
      <c r="T414" s="2">
        <v>0.20452029999999999</v>
      </c>
    </row>
    <row r="415" spans="1:20">
      <c r="A415" s="3" t="s">
        <v>3596</v>
      </c>
      <c r="B415" s="1" t="s">
        <v>3533</v>
      </c>
      <c r="C415" s="3" t="s">
        <v>3534</v>
      </c>
      <c r="D415" s="3" t="s">
        <v>3597</v>
      </c>
      <c r="E415" s="3" t="s">
        <v>3598</v>
      </c>
      <c r="F415" s="3" t="s">
        <v>3599</v>
      </c>
      <c r="G415" s="3" t="s">
        <v>3600</v>
      </c>
      <c r="H415" s="11" t="s">
        <v>8108</v>
      </c>
      <c r="I415" s="3" t="s">
        <v>7672</v>
      </c>
      <c r="J415" s="7">
        <v>1.77</v>
      </c>
      <c r="K415" s="1" t="s">
        <v>7673</v>
      </c>
      <c r="L415" s="2">
        <v>0.33400000000000002</v>
      </c>
      <c r="M415" s="2">
        <f>42211/100000</f>
        <v>0.42210999999999999</v>
      </c>
      <c r="N415" s="2">
        <v>0.67760160000000003</v>
      </c>
      <c r="O415" s="3" t="s">
        <v>7674</v>
      </c>
      <c r="P415" s="7">
        <v>1.1499999999999999</v>
      </c>
      <c r="Q415" s="1" t="s">
        <v>7675</v>
      </c>
      <c r="R415" s="2">
        <v>0.81399999999999995</v>
      </c>
      <c r="S415" s="2">
        <f>100000/100000</f>
        <v>1</v>
      </c>
      <c r="T415" s="2">
        <v>0.82929589999999997</v>
      </c>
    </row>
    <row r="416" spans="1:20">
      <c r="A416" s="3" t="s">
        <v>3605</v>
      </c>
      <c r="B416" s="1" t="s">
        <v>3533</v>
      </c>
      <c r="C416" s="3" t="s">
        <v>3534</v>
      </c>
      <c r="D416" s="3" t="s">
        <v>3606</v>
      </c>
      <c r="E416" s="3" t="s">
        <v>3607</v>
      </c>
      <c r="F416" s="3" t="s">
        <v>3599</v>
      </c>
      <c r="G416" s="3" t="s">
        <v>3600</v>
      </c>
      <c r="H416" s="11" t="s">
        <v>8108</v>
      </c>
      <c r="I416" s="3" t="s">
        <v>7676</v>
      </c>
      <c r="J416" s="7">
        <v>1.42</v>
      </c>
      <c r="K416" s="1" t="s">
        <v>7677</v>
      </c>
      <c r="L416" s="2">
        <v>0.372</v>
      </c>
      <c r="M416" s="2">
        <f>48929/100000</f>
        <v>0.48929</v>
      </c>
      <c r="N416" s="2">
        <v>0.73186450000000003</v>
      </c>
      <c r="O416" s="3" t="s">
        <v>7678</v>
      </c>
      <c r="P416" s="7">
        <v>0.21</v>
      </c>
      <c r="Q416" s="1" t="s">
        <v>7679</v>
      </c>
      <c r="R416" s="2">
        <v>8.6199999999999999E-2</v>
      </c>
      <c r="S416" s="2">
        <f>9376/100000</f>
        <v>9.3759999999999996E-2</v>
      </c>
      <c r="T416" s="2">
        <v>0.34738940000000001</v>
      </c>
    </row>
    <row r="417" spans="1:20">
      <c r="A417" s="3" t="s">
        <v>3612</v>
      </c>
      <c r="B417" s="1" t="s">
        <v>3533</v>
      </c>
      <c r="C417" s="3" t="s">
        <v>3534</v>
      </c>
      <c r="D417" s="3" t="s">
        <v>3613</v>
      </c>
      <c r="E417" s="3" t="s">
        <v>3614</v>
      </c>
      <c r="F417" s="3" t="s">
        <v>3599</v>
      </c>
      <c r="G417" s="3" t="s">
        <v>3600</v>
      </c>
      <c r="H417" s="11" t="s">
        <v>8108</v>
      </c>
      <c r="I417" s="3" t="s">
        <v>7680</v>
      </c>
      <c r="J417" s="7">
        <v>1.26</v>
      </c>
      <c r="K417" s="1" t="s">
        <v>7681</v>
      </c>
      <c r="L417" s="2">
        <v>0.17100000000000001</v>
      </c>
      <c r="M417" s="2">
        <f>19698/100000</f>
        <v>0.19697999999999999</v>
      </c>
      <c r="N417" s="2">
        <v>0.48775069999999998</v>
      </c>
      <c r="O417" s="3" t="s">
        <v>7682</v>
      </c>
      <c r="P417" s="7">
        <v>0.55000000000000004</v>
      </c>
      <c r="Q417" s="1" t="s">
        <v>7683</v>
      </c>
      <c r="R417" s="2">
        <v>3.1399999999999997E-2</v>
      </c>
      <c r="S417" s="2">
        <f>3797/100000</f>
        <v>3.7969999999999997E-2</v>
      </c>
      <c r="T417" s="2">
        <v>0.20626849999999999</v>
      </c>
    </row>
    <row r="418" spans="1:20">
      <c r="A418" s="3" t="s">
        <v>3619</v>
      </c>
      <c r="B418" s="1" t="s">
        <v>3533</v>
      </c>
      <c r="C418" s="3" t="s">
        <v>3534</v>
      </c>
      <c r="D418" s="3" t="s">
        <v>3620</v>
      </c>
      <c r="E418" s="3" t="s">
        <v>3621</v>
      </c>
      <c r="F418" s="3" t="s">
        <v>3622</v>
      </c>
      <c r="G418" s="3" t="s">
        <v>3623</v>
      </c>
      <c r="H418" s="11" t="s">
        <v>8078</v>
      </c>
      <c r="I418" s="3" t="s">
        <v>7684</v>
      </c>
      <c r="J418" s="7">
        <v>1.76</v>
      </c>
      <c r="K418" s="1" t="s">
        <v>7685</v>
      </c>
      <c r="L418" s="2">
        <v>9.8799999999999999E-2</v>
      </c>
      <c r="M418" s="2">
        <f>11239/100000</f>
        <v>0.11239</v>
      </c>
      <c r="N418" s="2">
        <v>0.37638739999999998</v>
      </c>
      <c r="O418" s="3" t="s">
        <v>7686</v>
      </c>
      <c r="P418" s="7">
        <v>0.79</v>
      </c>
      <c r="Q418" s="1" t="s">
        <v>3312</v>
      </c>
      <c r="R418" s="2">
        <v>0.64600000000000002</v>
      </c>
      <c r="S418" s="2">
        <f>67162/100000</f>
        <v>0.67161999999999999</v>
      </c>
      <c r="T418" s="2">
        <v>0.80511429999999995</v>
      </c>
    </row>
    <row r="419" spans="1:20">
      <c r="A419" s="3" t="s">
        <v>3628</v>
      </c>
      <c r="B419" s="1" t="s">
        <v>3533</v>
      </c>
      <c r="C419" s="3" t="s">
        <v>3534</v>
      </c>
      <c r="D419" s="3" t="s">
        <v>3629</v>
      </c>
      <c r="E419" s="3" t="s">
        <v>3630</v>
      </c>
      <c r="F419" s="3" t="s">
        <v>3622</v>
      </c>
      <c r="G419" s="3" t="s">
        <v>3623</v>
      </c>
      <c r="H419" s="11" t="s">
        <v>8078</v>
      </c>
      <c r="I419" s="3" t="s">
        <v>7687</v>
      </c>
      <c r="J419" s="7">
        <v>1</v>
      </c>
      <c r="K419" s="1" t="s">
        <v>7688</v>
      </c>
      <c r="L419" s="2">
        <v>0.99</v>
      </c>
      <c r="M419" s="2">
        <f>100000/100000</f>
        <v>1</v>
      </c>
      <c r="N419" s="2">
        <v>0.82929589999999997</v>
      </c>
      <c r="O419" s="3" t="s">
        <v>7689</v>
      </c>
      <c r="P419" s="7">
        <v>1.06</v>
      </c>
      <c r="Q419" s="1" t="s">
        <v>7690</v>
      </c>
      <c r="R419" s="2">
        <v>0.77800000000000002</v>
      </c>
      <c r="S419" s="2">
        <f>83901/100000</f>
        <v>0.83901000000000003</v>
      </c>
      <c r="T419" s="2">
        <v>0.82929589999999997</v>
      </c>
    </row>
    <row r="420" spans="1:20">
      <c r="A420" s="3" t="s">
        <v>3635</v>
      </c>
      <c r="B420" s="1" t="s">
        <v>3533</v>
      </c>
      <c r="C420" s="3" t="s">
        <v>3534</v>
      </c>
      <c r="D420" s="3" t="s">
        <v>3636</v>
      </c>
      <c r="E420" s="3" t="s">
        <v>3637</v>
      </c>
      <c r="F420" s="3" t="s">
        <v>3622</v>
      </c>
      <c r="G420" s="3" t="s">
        <v>3623</v>
      </c>
      <c r="H420" s="11" t="s">
        <v>8078</v>
      </c>
      <c r="I420" s="3" t="s">
        <v>7691</v>
      </c>
      <c r="J420" s="7">
        <v>1.03</v>
      </c>
      <c r="K420" s="1" t="s">
        <v>7692</v>
      </c>
      <c r="L420" s="2">
        <v>0.83399999999999996</v>
      </c>
      <c r="M420" s="2">
        <f>87532/100000</f>
        <v>0.87531999999999999</v>
      </c>
      <c r="N420" s="2">
        <v>0.82929589999999997</v>
      </c>
      <c r="O420" s="3" t="s">
        <v>7693</v>
      </c>
      <c r="P420" s="7">
        <v>1.2</v>
      </c>
      <c r="Q420" s="1" t="s">
        <v>7694</v>
      </c>
      <c r="R420" s="2">
        <v>0.20699999999999999</v>
      </c>
      <c r="S420" s="2">
        <f>22302/100000</f>
        <v>0.22302</v>
      </c>
      <c r="T420" s="2">
        <v>0.51721090000000003</v>
      </c>
    </row>
    <row r="421" spans="1:20">
      <c r="A421" s="3" t="s">
        <v>3642</v>
      </c>
      <c r="B421" s="1" t="s">
        <v>3643</v>
      </c>
      <c r="C421" s="3" t="s">
        <v>3644</v>
      </c>
      <c r="D421" s="3" t="s">
        <v>3645</v>
      </c>
      <c r="E421" s="3" t="s">
        <v>3646</v>
      </c>
      <c r="F421" s="3" t="s">
        <v>3647</v>
      </c>
      <c r="G421" s="3" t="s">
        <v>3648</v>
      </c>
      <c r="H421" s="11" t="s">
        <v>8120</v>
      </c>
      <c r="I421" s="3" t="s">
        <v>7695</v>
      </c>
      <c r="J421" s="7">
        <v>1.32</v>
      </c>
      <c r="K421" s="1" t="s">
        <v>7696</v>
      </c>
      <c r="L421" s="2">
        <v>0.107</v>
      </c>
      <c r="M421" s="2">
        <f>11397/100000</f>
        <v>0.11397</v>
      </c>
      <c r="N421" s="2">
        <v>0.37913859999999999</v>
      </c>
      <c r="O421" s="3" t="s">
        <v>7697</v>
      </c>
      <c r="P421" s="7">
        <v>0.99</v>
      </c>
      <c r="Q421" s="1" t="s">
        <v>7698</v>
      </c>
      <c r="R421" s="2">
        <v>0.93300000000000005</v>
      </c>
      <c r="S421" s="2">
        <f>94715/100000</f>
        <v>0.94715000000000005</v>
      </c>
      <c r="T421" s="2">
        <v>0.82929589999999997</v>
      </c>
    </row>
    <row r="422" spans="1:20">
      <c r="A422" s="3" t="s">
        <v>3653</v>
      </c>
      <c r="B422" s="1" t="s">
        <v>3654</v>
      </c>
      <c r="C422" s="3" t="s">
        <v>3655</v>
      </c>
      <c r="D422" s="3" t="s">
        <v>3656</v>
      </c>
      <c r="E422" s="3" t="s">
        <v>3657</v>
      </c>
      <c r="F422" s="3" t="s">
        <v>3658</v>
      </c>
      <c r="G422" s="3" t="s">
        <v>3659</v>
      </c>
      <c r="H422" s="11" t="s">
        <v>8111</v>
      </c>
      <c r="I422" s="3" t="s">
        <v>7699</v>
      </c>
      <c r="J422" s="7">
        <v>1.1499999999999999</v>
      </c>
      <c r="K422" s="1" t="s">
        <v>7700</v>
      </c>
      <c r="L422" s="2">
        <v>0.62</v>
      </c>
      <c r="M422" s="2">
        <f>65731/100000</f>
        <v>0.65730999999999995</v>
      </c>
      <c r="N422" s="2">
        <v>0.80511429999999995</v>
      </c>
      <c r="O422" s="3" t="s">
        <v>7701</v>
      </c>
      <c r="P422" s="7">
        <v>1.06</v>
      </c>
      <c r="Q422" s="1" t="s">
        <v>7702</v>
      </c>
      <c r="R422" s="2">
        <v>0.83799999999999997</v>
      </c>
      <c r="S422" s="2">
        <f>87843/100000</f>
        <v>0.87843000000000004</v>
      </c>
      <c r="T422" s="2">
        <v>0.82929589999999997</v>
      </c>
    </row>
    <row r="423" spans="1:20">
      <c r="A423" s="3" t="s">
        <v>3664</v>
      </c>
      <c r="B423" s="1" t="s">
        <v>3665</v>
      </c>
      <c r="C423" s="3" t="s">
        <v>3666</v>
      </c>
      <c r="D423" s="3" t="s">
        <v>3667</v>
      </c>
      <c r="E423" s="3" t="s">
        <v>3668</v>
      </c>
      <c r="F423" s="3" t="s">
        <v>3669</v>
      </c>
      <c r="G423" s="3" t="s">
        <v>3670</v>
      </c>
      <c r="H423" s="11" t="s">
        <v>8231</v>
      </c>
      <c r="I423" s="3" t="s">
        <v>7703</v>
      </c>
      <c r="J423" s="7">
        <v>0.91</v>
      </c>
      <c r="K423" s="1" t="s">
        <v>7704</v>
      </c>
      <c r="L423" s="2">
        <v>0.77900000000000003</v>
      </c>
      <c r="M423" s="2">
        <f>87654/100000</f>
        <v>0.87653999999999999</v>
      </c>
      <c r="N423" s="2">
        <v>0.82929589999999997</v>
      </c>
      <c r="O423" s="3" t="s">
        <v>7705</v>
      </c>
      <c r="P423" s="7">
        <v>0.87</v>
      </c>
      <c r="Q423" s="1" t="s">
        <v>7706</v>
      </c>
      <c r="R423" s="2">
        <v>0.65800000000000003</v>
      </c>
      <c r="S423" s="2">
        <f>76450/100000</f>
        <v>0.76449999999999996</v>
      </c>
      <c r="T423" s="2">
        <v>0.82929589999999997</v>
      </c>
    </row>
    <row r="424" spans="1:20">
      <c r="A424" s="3" t="s">
        <v>3675</v>
      </c>
      <c r="B424" s="1" t="s">
        <v>3665</v>
      </c>
      <c r="C424" s="3" t="s">
        <v>3666</v>
      </c>
      <c r="D424" s="3" t="s">
        <v>3676</v>
      </c>
      <c r="E424" s="3" t="s">
        <v>3677</v>
      </c>
      <c r="F424" s="3" t="s">
        <v>3669</v>
      </c>
      <c r="G424" s="3" t="s">
        <v>3670</v>
      </c>
      <c r="H424" s="11" t="s">
        <v>8231</v>
      </c>
      <c r="I424" s="3" t="s">
        <v>7707</v>
      </c>
      <c r="J424" s="7">
        <v>0.89</v>
      </c>
      <c r="K424" s="1" t="s">
        <v>6125</v>
      </c>
      <c r="L424" s="2">
        <v>0.77</v>
      </c>
      <c r="M424" s="2">
        <f>85819/100000</f>
        <v>0.85819000000000001</v>
      </c>
      <c r="N424" s="2">
        <v>0.82929589999999997</v>
      </c>
      <c r="O424" s="3" t="s">
        <v>7708</v>
      </c>
      <c r="P424" s="7">
        <v>0.65</v>
      </c>
      <c r="Q424" s="1" t="s">
        <v>7709</v>
      </c>
      <c r="R424" s="2">
        <v>0.34100000000000003</v>
      </c>
      <c r="S424" s="2">
        <f>36818/100000</f>
        <v>0.36818000000000001</v>
      </c>
      <c r="T424" s="2">
        <v>0.64362399999999997</v>
      </c>
    </row>
    <row r="425" spans="1:20">
      <c r="A425" s="3" t="s">
        <v>3682</v>
      </c>
      <c r="B425" s="1" t="s">
        <v>3665</v>
      </c>
      <c r="C425" s="3" t="s">
        <v>3666</v>
      </c>
      <c r="D425" s="3" t="s">
        <v>3683</v>
      </c>
      <c r="E425" s="3" t="s">
        <v>3684</v>
      </c>
      <c r="F425" s="3" t="s">
        <v>3685</v>
      </c>
      <c r="G425" s="3" t="s">
        <v>3686</v>
      </c>
      <c r="H425" s="11" t="s">
        <v>8231</v>
      </c>
      <c r="I425" s="3" t="s">
        <v>7710</v>
      </c>
      <c r="J425" s="7">
        <v>1.41</v>
      </c>
      <c r="K425" s="1" t="s">
        <v>7711</v>
      </c>
      <c r="L425" s="2">
        <v>0.28399999999999997</v>
      </c>
      <c r="M425" s="2">
        <f>33550/100000</f>
        <v>0.33550000000000002</v>
      </c>
      <c r="N425" s="2">
        <v>0.61526179999999997</v>
      </c>
      <c r="O425" s="3" t="s">
        <v>7712</v>
      </c>
      <c r="P425" s="7">
        <v>1.1299999999999999</v>
      </c>
      <c r="Q425" s="1" t="s">
        <v>7713</v>
      </c>
      <c r="R425" s="2">
        <v>0.75800000000000001</v>
      </c>
      <c r="S425" s="2">
        <f>83810/100000</f>
        <v>0.83809999999999996</v>
      </c>
      <c r="T425" s="2">
        <v>0.82929589999999997</v>
      </c>
    </row>
    <row r="426" spans="1:20">
      <c r="A426" s="3" t="s">
        <v>3691</v>
      </c>
      <c r="B426" s="1" t="s">
        <v>3665</v>
      </c>
      <c r="C426" s="3" t="s">
        <v>3666</v>
      </c>
      <c r="D426" s="3" t="s">
        <v>3692</v>
      </c>
      <c r="E426" s="3" t="s">
        <v>3693</v>
      </c>
      <c r="F426" s="3" t="s">
        <v>3685</v>
      </c>
      <c r="G426" s="3" t="s">
        <v>3686</v>
      </c>
      <c r="H426" s="11" t="s">
        <v>8231</v>
      </c>
      <c r="I426" s="3" t="s">
        <v>7714</v>
      </c>
      <c r="J426" s="7">
        <v>1.57</v>
      </c>
      <c r="K426" s="1" t="s">
        <v>7715</v>
      </c>
      <c r="L426" s="2">
        <v>0.182</v>
      </c>
      <c r="M426" s="2">
        <f>19998/100000</f>
        <v>0.19997999999999999</v>
      </c>
      <c r="N426" s="2">
        <v>0.48870029999999998</v>
      </c>
      <c r="O426" s="3" t="s">
        <v>7716</v>
      </c>
      <c r="P426" s="7">
        <v>1.4</v>
      </c>
      <c r="Q426" s="1" t="s">
        <v>7717</v>
      </c>
      <c r="R426" s="2">
        <v>0.35399999999999998</v>
      </c>
      <c r="S426" s="2">
        <f>39048/100000</f>
        <v>0.39047999999999999</v>
      </c>
      <c r="T426" s="2">
        <v>0.65531740000000005</v>
      </c>
    </row>
    <row r="427" spans="1:20">
      <c r="A427" s="3" t="s">
        <v>3698</v>
      </c>
      <c r="B427" s="1" t="s">
        <v>3699</v>
      </c>
      <c r="C427" s="3" t="s">
        <v>3700</v>
      </c>
      <c r="D427" s="3" t="s">
        <v>3701</v>
      </c>
      <c r="E427" s="3" t="s">
        <v>3702</v>
      </c>
      <c r="F427" s="3" t="s">
        <v>3703</v>
      </c>
      <c r="G427" s="3" t="s">
        <v>3704</v>
      </c>
      <c r="H427" s="11" t="s">
        <v>8232</v>
      </c>
      <c r="I427" s="3" t="s">
        <v>7718</v>
      </c>
      <c r="J427" s="7">
        <v>1.71</v>
      </c>
      <c r="K427" s="1" t="s">
        <v>7719</v>
      </c>
      <c r="L427" s="2">
        <v>2.5699999999999999E-7</v>
      </c>
      <c r="M427" s="2" t="s">
        <v>500</v>
      </c>
      <c r="N427" s="2">
        <v>3.517123E-4</v>
      </c>
      <c r="O427" s="3" t="s">
        <v>7720</v>
      </c>
      <c r="P427" s="7">
        <v>1.07</v>
      </c>
      <c r="Q427" s="1" t="s">
        <v>7721</v>
      </c>
      <c r="R427" s="2">
        <v>0.59299999999999997</v>
      </c>
      <c r="S427" s="2">
        <f>63389/100000</f>
        <v>0.63388999999999995</v>
      </c>
      <c r="T427" s="2">
        <v>0.79869500000000004</v>
      </c>
    </row>
    <row r="428" spans="1:20">
      <c r="A428" s="3" t="s">
        <v>3709</v>
      </c>
      <c r="B428" s="1" t="s">
        <v>3710</v>
      </c>
      <c r="C428" s="3" t="s">
        <v>3711</v>
      </c>
      <c r="D428" s="3" t="s">
        <v>3701</v>
      </c>
      <c r="E428" s="3" t="s">
        <v>3702</v>
      </c>
      <c r="F428" s="3" t="s">
        <v>3703</v>
      </c>
      <c r="G428" s="3" t="s">
        <v>3704</v>
      </c>
      <c r="H428" s="11" t="s">
        <v>8232</v>
      </c>
      <c r="I428" s="3" t="s">
        <v>7718</v>
      </c>
      <c r="J428" s="7">
        <v>1.71</v>
      </c>
      <c r="K428" s="1" t="s">
        <v>7719</v>
      </c>
      <c r="L428" s="2">
        <v>2.5699999999999999E-7</v>
      </c>
      <c r="M428" s="2" t="s">
        <v>500</v>
      </c>
      <c r="N428" s="2">
        <v>3.517123E-4</v>
      </c>
      <c r="O428" s="3" t="s">
        <v>7720</v>
      </c>
      <c r="P428" s="7">
        <v>1.07</v>
      </c>
      <c r="Q428" s="1" t="s">
        <v>7721</v>
      </c>
      <c r="R428" s="2">
        <v>0.59299999999999997</v>
      </c>
      <c r="S428" s="2">
        <f>63389/100000</f>
        <v>0.63388999999999995</v>
      </c>
      <c r="T428" s="2">
        <v>0.79869500000000004</v>
      </c>
    </row>
    <row r="429" spans="1:20">
      <c r="A429" s="3" t="s">
        <v>3712</v>
      </c>
      <c r="B429" s="1" t="s">
        <v>3713</v>
      </c>
      <c r="C429" s="3" t="s">
        <v>3714</v>
      </c>
      <c r="D429" s="3" t="s">
        <v>3715</v>
      </c>
      <c r="E429" s="3" t="s">
        <v>3716</v>
      </c>
      <c r="F429" s="3" t="s">
        <v>3717</v>
      </c>
      <c r="G429" s="3" t="s">
        <v>3718</v>
      </c>
      <c r="H429" s="11" t="s">
        <v>8233</v>
      </c>
      <c r="I429" s="3" t="s">
        <v>7722</v>
      </c>
      <c r="J429" s="7">
        <v>0.79</v>
      </c>
      <c r="K429" s="1" t="s">
        <v>7723</v>
      </c>
      <c r="L429" s="2">
        <v>0.64400000000000002</v>
      </c>
      <c r="M429" s="2">
        <f>67254/100000</f>
        <v>0.67254000000000003</v>
      </c>
      <c r="N429" s="2">
        <v>0.80518520000000005</v>
      </c>
      <c r="O429" s="3" t="s">
        <v>7724</v>
      </c>
      <c r="P429" s="7">
        <v>2.2400000000000002</v>
      </c>
      <c r="Q429" s="1" t="s">
        <v>7725</v>
      </c>
      <c r="R429" s="2">
        <v>4.15E-3</v>
      </c>
      <c r="S429" s="2">
        <f>854/100000</f>
        <v>8.5400000000000007E-3</v>
      </c>
      <c r="T429" s="2">
        <v>7.8589430000000002E-2</v>
      </c>
    </row>
    <row r="430" spans="1:20">
      <c r="A430" s="3" t="s">
        <v>3723</v>
      </c>
      <c r="B430" s="1" t="s">
        <v>3724</v>
      </c>
      <c r="C430" s="3" t="s">
        <v>3725</v>
      </c>
      <c r="D430" s="3" t="s">
        <v>3726</v>
      </c>
      <c r="E430" s="3" t="s">
        <v>3727</v>
      </c>
      <c r="F430" s="3" t="s">
        <v>3728</v>
      </c>
      <c r="G430" s="3" t="s">
        <v>3729</v>
      </c>
      <c r="H430" s="11" t="s">
        <v>8234</v>
      </c>
      <c r="I430" s="3" t="s">
        <v>7726</v>
      </c>
      <c r="J430" s="7">
        <v>1.25</v>
      </c>
      <c r="K430" s="1" t="s">
        <v>7727</v>
      </c>
      <c r="L430" s="2">
        <v>0.36499999999999999</v>
      </c>
      <c r="M430" s="2">
        <f>40233/100000</f>
        <v>0.40233000000000002</v>
      </c>
      <c r="N430" s="2">
        <v>0.66589350000000003</v>
      </c>
      <c r="O430" s="3" t="s">
        <v>7728</v>
      </c>
      <c r="P430" s="7">
        <v>1.19</v>
      </c>
      <c r="Q430" s="1" t="s">
        <v>7729</v>
      </c>
      <c r="R430" s="2">
        <v>0.52300000000000002</v>
      </c>
      <c r="S430" s="2">
        <f>54660/100000</f>
        <v>0.54659999999999997</v>
      </c>
      <c r="T430" s="2">
        <v>0.74703319999999995</v>
      </c>
    </row>
    <row r="431" spans="1:20">
      <c r="A431" s="3" t="s">
        <v>3733</v>
      </c>
      <c r="B431" s="1" t="s">
        <v>3724</v>
      </c>
      <c r="C431" s="3" t="s">
        <v>3725</v>
      </c>
      <c r="D431" s="3" t="s">
        <v>3734</v>
      </c>
      <c r="E431" s="3" t="s">
        <v>3735</v>
      </c>
      <c r="F431" s="3" t="s">
        <v>3736</v>
      </c>
      <c r="G431" s="3" t="s">
        <v>3737</v>
      </c>
      <c r="H431" s="11" t="s">
        <v>8234</v>
      </c>
      <c r="I431" s="3" t="s">
        <v>7730</v>
      </c>
      <c r="J431" s="7">
        <v>0.91</v>
      </c>
      <c r="K431" s="1" t="s">
        <v>7731</v>
      </c>
      <c r="L431" s="2">
        <v>0.79700000000000004</v>
      </c>
      <c r="M431" s="2">
        <f>86329/100000</f>
        <v>0.86329</v>
      </c>
      <c r="N431" s="2">
        <v>0.82929589999999997</v>
      </c>
      <c r="O431" s="3" t="s">
        <v>7732</v>
      </c>
      <c r="P431" s="7">
        <v>0.5</v>
      </c>
      <c r="Q431" s="1" t="s">
        <v>3364</v>
      </c>
      <c r="R431" s="2">
        <v>0.123</v>
      </c>
      <c r="S431" s="2">
        <f>13850/100000</f>
        <v>0.13850000000000001</v>
      </c>
      <c r="T431" s="2">
        <v>0.40740009999999999</v>
      </c>
    </row>
    <row r="432" spans="1:20">
      <c r="A432" s="3" t="s">
        <v>3742</v>
      </c>
      <c r="B432" s="1" t="s">
        <v>3743</v>
      </c>
      <c r="C432" s="3" t="s">
        <v>3744</v>
      </c>
      <c r="D432" s="3" t="s">
        <v>3745</v>
      </c>
      <c r="E432" s="3" t="s">
        <v>3746</v>
      </c>
      <c r="F432" s="3" t="s">
        <v>3747</v>
      </c>
      <c r="G432" s="3" t="s">
        <v>3748</v>
      </c>
      <c r="H432" s="11" t="s">
        <v>8109</v>
      </c>
      <c r="I432" s="3" t="s">
        <v>7733</v>
      </c>
      <c r="J432" s="7">
        <v>0.6</v>
      </c>
      <c r="K432" s="1" t="s">
        <v>7734</v>
      </c>
      <c r="L432" s="2">
        <v>0.255</v>
      </c>
      <c r="M432" s="2">
        <f>29337/100000</f>
        <v>0.29337000000000002</v>
      </c>
      <c r="N432" s="2">
        <v>0.57823020000000003</v>
      </c>
      <c r="O432" s="3" t="s">
        <v>7735</v>
      </c>
      <c r="P432" s="7">
        <v>1.22</v>
      </c>
      <c r="Q432" s="1" t="s">
        <v>7736</v>
      </c>
      <c r="R432" s="2">
        <v>0.61099999999999999</v>
      </c>
      <c r="S432" s="2">
        <f>66905/100000</f>
        <v>0.66905000000000003</v>
      </c>
      <c r="T432" s="2">
        <v>0.80511429999999995</v>
      </c>
    </row>
    <row r="433" spans="1:20">
      <c r="A433" s="3" t="s">
        <v>3753</v>
      </c>
      <c r="B433" s="1" t="s">
        <v>3743</v>
      </c>
      <c r="C433" s="3" t="s">
        <v>3744</v>
      </c>
      <c r="D433" s="3" t="s">
        <v>3754</v>
      </c>
      <c r="E433" s="3" t="s">
        <v>3755</v>
      </c>
      <c r="F433" s="3" t="s">
        <v>3756</v>
      </c>
      <c r="G433" s="3" t="s">
        <v>3757</v>
      </c>
      <c r="H433" s="11" t="s">
        <v>8109</v>
      </c>
      <c r="I433" s="3" t="s">
        <v>7737</v>
      </c>
      <c r="J433" s="7">
        <v>0.32</v>
      </c>
      <c r="K433" s="1" t="s">
        <v>7738</v>
      </c>
      <c r="L433" s="2">
        <v>9.2999999999999999E-2</v>
      </c>
      <c r="M433" s="2">
        <f>9872/100000</f>
        <v>9.8720000000000002E-2</v>
      </c>
      <c r="N433" s="2">
        <v>0.3565972</v>
      </c>
      <c r="O433" s="3" t="s">
        <v>7739</v>
      </c>
      <c r="P433" s="7">
        <v>1.66</v>
      </c>
      <c r="Q433" s="1" t="s">
        <v>7740</v>
      </c>
      <c r="R433" s="2">
        <v>0.114</v>
      </c>
      <c r="S433" s="2">
        <f>14536/100000</f>
        <v>0.14535999999999999</v>
      </c>
      <c r="T433" s="2">
        <v>0.41642899999999999</v>
      </c>
    </row>
    <row r="434" spans="1:20">
      <c r="A434" s="3" t="s">
        <v>3762</v>
      </c>
      <c r="B434" s="1" t="s">
        <v>3743</v>
      </c>
      <c r="C434" s="3" t="s">
        <v>3744</v>
      </c>
      <c r="D434" s="3" t="s">
        <v>3763</v>
      </c>
      <c r="E434" s="3" t="s">
        <v>3764</v>
      </c>
      <c r="F434" s="3" t="s">
        <v>3765</v>
      </c>
      <c r="G434" s="3" t="s">
        <v>3766</v>
      </c>
      <c r="H434" s="11" t="s">
        <v>8109</v>
      </c>
      <c r="I434" s="3" t="s">
        <v>7741</v>
      </c>
      <c r="J434" s="7">
        <v>1.43</v>
      </c>
      <c r="K434" s="1" t="s">
        <v>7742</v>
      </c>
      <c r="L434" s="2">
        <v>0.35499999999999998</v>
      </c>
      <c r="M434" s="2">
        <f>35508/100000</f>
        <v>0.35508000000000001</v>
      </c>
      <c r="N434" s="2">
        <v>0.63252079999999999</v>
      </c>
      <c r="O434" s="3" t="s">
        <v>7743</v>
      </c>
      <c r="P434" s="7">
        <v>0.91</v>
      </c>
      <c r="Q434" s="1" t="s">
        <v>7744</v>
      </c>
      <c r="R434" s="2">
        <v>0.84399999999999997</v>
      </c>
      <c r="S434" s="2">
        <f>100000/100000</f>
        <v>1</v>
      </c>
      <c r="T434" s="2">
        <v>0.82929589999999997</v>
      </c>
    </row>
    <row r="435" spans="1:20">
      <c r="A435" s="3" t="s">
        <v>3771</v>
      </c>
      <c r="B435" s="1" t="s">
        <v>3743</v>
      </c>
      <c r="C435" s="3" t="s">
        <v>3744</v>
      </c>
      <c r="D435" s="3" t="s">
        <v>3772</v>
      </c>
      <c r="E435" s="3" t="s">
        <v>3773</v>
      </c>
      <c r="F435" s="3" t="s">
        <v>3774</v>
      </c>
      <c r="G435" s="3" t="s">
        <v>3775</v>
      </c>
      <c r="H435" s="11" t="s">
        <v>8109</v>
      </c>
      <c r="I435" s="3" t="s">
        <v>7745</v>
      </c>
      <c r="J435" s="7">
        <v>0.96</v>
      </c>
      <c r="K435" s="1" t="s">
        <v>7746</v>
      </c>
      <c r="L435" s="2">
        <v>0.92900000000000005</v>
      </c>
      <c r="M435" s="2">
        <f>100000/100000</f>
        <v>1</v>
      </c>
      <c r="N435" s="2">
        <v>0.82929589999999997</v>
      </c>
      <c r="O435" s="3" t="s">
        <v>7747</v>
      </c>
      <c r="P435" s="7">
        <v>0.79</v>
      </c>
      <c r="Q435" s="1" t="s">
        <v>7748</v>
      </c>
      <c r="R435" s="2">
        <v>0.59699999999999998</v>
      </c>
      <c r="S435" s="2">
        <f>68923/100000</f>
        <v>0.68923000000000001</v>
      </c>
      <c r="T435" s="2">
        <v>0.81339530000000004</v>
      </c>
    </row>
    <row r="436" spans="1:20">
      <c r="A436" s="3" t="s">
        <v>3780</v>
      </c>
      <c r="B436" s="1" t="s">
        <v>3781</v>
      </c>
      <c r="C436" s="3" t="s">
        <v>3782</v>
      </c>
      <c r="D436" s="3" t="s">
        <v>3745</v>
      </c>
      <c r="E436" s="3" t="s">
        <v>3746</v>
      </c>
      <c r="F436" s="3" t="s">
        <v>3747</v>
      </c>
      <c r="G436" s="3" t="s">
        <v>3748</v>
      </c>
      <c r="H436" s="11" t="s">
        <v>8109</v>
      </c>
      <c r="I436" s="3" t="s">
        <v>7733</v>
      </c>
      <c r="J436" s="7">
        <v>0.6</v>
      </c>
      <c r="K436" s="1" t="s">
        <v>7734</v>
      </c>
      <c r="L436" s="2">
        <v>0.255</v>
      </c>
      <c r="M436" s="2">
        <f>29337/100000</f>
        <v>0.29337000000000002</v>
      </c>
      <c r="N436" s="2">
        <v>0.57823020000000003</v>
      </c>
      <c r="O436" s="3" t="s">
        <v>7735</v>
      </c>
      <c r="P436" s="7">
        <v>1.22</v>
      </c>
      <c r="Q436" s="1" t="s">
        <v>7736</v>
      </c>
      <c r="R436" s="2">
        <v>0.61099999999999999</v>
      </c>
      <c r="S436" s="2">
        <f>66905/100000</f>
        <v>0.66905000000000003</v>
      </c>
      <c r="T436" s="2">
        <v>0.80511429999999995</v>
      </c>
    </row>
    <row r="437" spans="1:20">
      <c r="A437" s="3" t="s">
        <v>3783</v>
      </c>
      <c r="B437" s="1" t="s">
        <v>3781</v>
      </c>
      <c r="C437" s="3" t="s">
        <v>3782</v>
      </c>
      <c r="D437" s="3" t="s">
        <v>3754</v>
      </c>
      <c r="E437" s="3" t="s">
        <v>3755</v>
      </c>
      <c r="F437" s="3" t="s">
        <v>3756</v>
      </c>
      <c r="G437" s="3" t="s">
        <v>3757</v>
      </c>
      <c r="H437" s="11" t="s">
        <v>8109</v>
      </c>
      <c r="I437" s="3" t="s">
        <v>7737</v>
      </c>
      <c r="J437" s="7">
        <v>0.32</v>
      </c>
      <c r="K437" s="1" t="s">
        <v>7738</v>
      </c>
      <c r="L437" s="2">
        <v>9.2999999999999999E-2</v>
      </c>
      <c r="M437" s="2">
        <f>9872/100000</f>
        <v>9.8720000000000002E-2</v>
      </c>
      <c r="N437" s="2">
        <v>0.3565972</v>
      </c>
      <c r="O437" s="3" t="s">
        <v>7739</v>
      </c>
      <c r="P437" s="7">
        <v>1.66</v>
      </c>
      <c r="Q437" s="1" t="s">
        <v>7740</v>
      </c>
      <c r="R437" s="2">
        <v>0.114</v>
      </c>
      <c r="S437" s="2">
        <f>14536/100000</f>
        <v>0.14535999999999999</v>
      </c>
      <c r="T437" s="2">
        <v>0.41642899999999999</v>
      </c>
    </row>
    <row r="438" spans="1:20">
      <c r="A438" s="3" t="s">
        <v>3784</v>
      </c>
      <c r="B438" s="1" t="s">
        <v>3781</v>
      </c>
      <c r="C438" s="3" t="s">
        <v>3782</v>
      </c>
      <c r="D438" s="3" t="s">
        <v>3763</v>
      </c>
      <c r="E438" s="3" t="s">
        <v>3764</v>
      </c>
      <c r="F438" s="3" t="s">
        <v>3765</v>
      </c>
      <c r="G438" s="3" t="s">
        <v>3766</v>
      </c>
      <c r="H438" s="11" t="s">
        <v>8109</v>
      </c>
      <c r="I438" s="3" t="s">
        <v>7741</v>
      </c>
      <c r="J438" s="7">
        <v>1.43</v>
      </c>
      <c r="K438" s="1" t="s">
        <v>7742</v>
      </c>
      <c r="L438" s="2">
        <v>0.35499999999999998</v>
      </c>
      <c r="M438" s="2">
        <f>35508/100000</f>
        <v>0.35508000000000001</v>
      </c>
      <c r="N438" s="2">
        <v>0.63252079999999999</v>
      </c>
      <c r="O438" s="3" t="s">
        <v>7743</v>
      </c>
      <c r="P438" s="7">
        <v>0.91</v>
      </c>
      <c r="Q438" s="1" t="s">
        <v>7744</v>
      </c>
      <c r="R438" s="2">
        <v>0.84399999999999997</v>
      </c>
      <c r="S438" s="2">
        <f>100000/100000</f>
        <v>1</v>
      </c>
      <c r="T438" s="2">
        <v>0.82929589999999997</v>
      </c>
    </row>
    <row r="439" spans="1:20">
      <c r="A439" s="3" t="s">
        <v>3785</v>
      </c>
      <c r="B439" s="1" t="s">
        <v>3781</v>
      </c>
      <c r="C439" s="3" t="s">
        <v>3782</v>
      </c>
      <c r="D439" s="3" t="s">
        <v>3772</v>
      </c>
      <c r="E439" s="3" t="s">
        <v>3773</v>
      </c>
      <c r="F439" s="3" t="s">
        <v>3774</v>
      </c>
      <c r="G439" s="3" t="s">
        <v>3775</v>
      </c>
      <c r="H439" s="11" t="s">
        <v>8109</v>
      </c>
      <c r="I439" s="3" t="s">
        <v>7745</v>
      </c>
      <c r="J439" s="7">
        <v>0.96</v>
      </c>
      <c r="K439" s="1" t="s">
        <v>7746</v>
      </c>
      <c r="L439" s="2">
        <v>0.92900000000000005</v>
      </c>
      <c r="M439" s="2">
        <f>100000/100000</f>
        <v>1</v>
      </c>
      <c r="N439" s="2">
        <v>0.82929589999999997</v>
      </c>
      <c r="O439" s="3" t="s">
        <v>7747</v>
      </c>
      <c r="P439" s="7">
        <v>0.79</v>
      </c>
      <c r="Q439" s="1" t="s">
        <v>7748</v>
      </c>
      <c r="R439" s="2">
        <v>0.59699999999999998</v>
      </c>
      <c r="S439" s="2">
        <f>68923/100000</f>
        <v>0.68923000000000001</v>
      </c>
      <c r="T439" s="2">
        <v>0.81339530000000004</v>
      </c>
    </row>
    <row r="440" spans="1:20">
      <c r="A440" s="3" t="s">
        <v>3786</v>
      </c>
      <c r="B440" s="1" t="s">
        <v>3787</v>
      </c>
      <c r="C440" s="3" t="s">
        <v>3788</v>
      </c>
      <c r="D440" s="3" t="s">
        <v>3789</v>
      </c>
      <c r="E440" s="3" t="s">
        <v>3790</v>
      </c>
      <c r="F440" s="3" t="s">
        <v>3791</v>
      </c>
      <c r="G440" s="3" t="s">
        <v>3792</v>
      </c>
      <c r="H440" s="11" t="s">
        <v>8159</v>
      </c>
      <c r="I440" s="3" t="s">
        <v>7749</v>
      </c>
      <c r="J440" s="7">
        <v>1.1399999999999999</v>
      </c>
      <c r="K440" s="1" t="s">
        <v>7750</v>
      </c>
      <c r="L440" s="2">
        <v>0.439</v>
      </c>
      <c r="M440" s="2">
        <f>48044/100000</f>
        <v>0.48043999999999998</v>
      </c>
      <c r="N440" s="2">
        <v>0.72836880000000004</v>
      </c>
      <c r="O440" s="3" t="s">
        <v>7751</v>
      </c>
      <c r="P440" s="7">
        <v>0.9</v>
      </c>
      <c r="Q440" s="1" t="s">
        <v>6719</v>
      </c>
      <c r="R440" s="2">
        <v>0.53400000000000003</v>
      </c>
      <c r="S440" s="2">
        <f>57446/100000</f>
        <v>0.57445999999999997</v>
      </c>
      <c r="T440" s="2">
        <v>0.76677680000000004</v>
      </c>
    </row>
    <row r="441" spans="1:20">
      <c r="A441" s="3" t="s">
        <v>3796</v>
      </c>
      <c r="B441" s="1" t="s">
        <v>3797</v>
      </c>
      <c r="C441" s="3" t="s">
        <v>3798</v>
      </c>
      <c r="D441" s="3" t="s">
        <v>3799</v>
      </c>
      <c r="E441" s="3" t="s">
        <v>3800</v>
      </c>
      <c r="F441" s="3" t="s">
        <v>3801</v>
      </c>
      <c r="G441" s="3" t="s">
        <v>3802</v>
      </c>
      <c r="H441" s="11" t="s">
        <v>8235</v>
      </c>
      <c r="I441" s="3" t="s">
        <v>7752</v>
      </c>
      <c r="J441" s="7">
        <v>0.69</v>
      </c>
      <c r="K441" s="1" t="s">
        <v>7753</v>
      </c>
      <c r="L441" s="2">
        <v>3.3599999999999998E-2</v>
      </c>
      <c r="M441" s="2">
        <f>3596/100000</f>
        <v>3.5959999999999999E-2</v>
      </c>
      <c r="N441" s="2">
        <v>0.2009348</v>
      </c>
      <c r="O441" s="3" t="s">
        <v>7754</v>
      </c>
      <c r="P441" s="7">
        <v>1.7</v>
      </c>
      <c r="Q441" s="1" t="s">
        <v>7755</v>
      </c>
      <c r="R441" s="2">
        <v>9.02E-6</v>
      </c>
      <c r="S441" s="2">
        <f>2/100000</f>
        <v>2.0000000000000002E-5</v>
      </c>
      <c r="T441" s="2">
        <v>6.5833329999999998E-4</v>
      </c>
    </row>
    <row r="442" spans="1:20">
      <c r="A442" s="3" t="s">
        <v>3807</v>
      </c>
      <c r="B442" s="1" t="s">
        <v>3808</v>
      </c>
      <c r="C442" s="3" t="s">
        <v>3809</v>
      </c>
      <c r="D442" s="3" t="s">
        <v>3810</v>
      </c>
      <c r="E442" s="3" t="s">
        <v>3811</v>
      </c>
      <c r="F442" s="3" t="s">
        <v>3812</v>
      </c>
      <c r="G442" s="3" t="s">
        <v>3813</v>
      </c>
      <c r="H442" s="11" t="s">
        <v>8236</v>
      </c>
      <c r="I442" s="3" t="s">
        <v>7756</v>
      </c>
      <c r="J442" s="7">
        <v>0.85</v>
      </c>
      <c r="K442" s="1" t="s">
        <v>7757</v>
      </c>
      <c r="L442" s="2">
        <v>0.69499999999999995</v>
      </c>
      <c r="M442" s="2">
        <f>71230/100000</f>
        <v>0.71230000000000004</v>
      </c>
      <c r="N442" s="2">
        <v>0.82137769999999999</v>
      </c>
      <c r="O442" s="3" t="s">
        <v>7758</v>
      </c>
      <c r="P442" s="7">
        <v>0.51</v>
      </c>
      <c r="Q442" s="1" t="s">
        <v>7759</v>
      </c>
      <c r="R442" s="2">
        <v>0.17199999999999999</v>
      </c>
      <c r="S442" s="2">
        <f>19733/100000</f>
        <v>0.19733000000000001</v>
      </c>
      <c r="T442" s="2">
        <v>0.48775069999999998</v>
      </c>
    </row>
    <row r="443" spans="1:20">
      <c r="A443" s="3" t="s">
        <v>3817</v>
      </c>
      <c r="B443" s="1" t="s">
        <v>3818</v>
      </c>
      <c r="C443" s="3" t="s">
        <v>3819</v>
      </c>
      <c r="D443" s="3" t="s">
        <v>3820</v>
      </c>
      <c r="E443" s="3" t="s">
        <v>3821</v>
      </c>
      <c r="F443" s="3" t="s">
        <v>3822</v>
      </c>
      <c r="G443" s="3" t="s">
        <v>3823</v>
      </c>
      <c r="H443" s="11" t="s">
        <v>8237</v>
      </c>
      <c r="I443" s="3" t="s">
        <v>7760</v>
      </c>
      <c r="J443" s="7">
        <v>0.96</v>
      </c>
      <c r="K443" s="1" t="s">
        <v>7761</v>
      </c>
      <c r="L443" s="2">
        <v>0.72899999999999998</v>
      </c>
      <c r="M443" s="2">
        <f>76751/100000</f>
        <v>0.76751000000000003</v>
      </c>
      <c r="N443" s="2">
        <v>0.82929589999999997</v>
      </c>
      <c r="O443" s="3" t="s">
        <v>7762</v>
      </c>
      <c r="P443" s="7">
        <v>1.38</v>
      </c>
      <c r="Q443" s="1" t="s">
        <v>7763</v>
      </c>
      <c r="R443" s="2">
        <v>8.4999999999999995E-4</v>
      </c>
      <c r="S443" s="2">
        <f>106/100000</f>
        <v>1.06E-3</v>
      </c>
      <c r="T443" s="2">
        <v>1.711667E-2</v>
      </c>
    </row>
    <row r="444" spans="1:20">
      <c r="A444" s="3" t="s">
        <v>3828</v>
      </c>
      <c r="B444" s="1" t="s">
        <v>3829</v>
      </c>
      <c r="C444" s="3" t="s">
        <v>3830</v>
      </c>
      <c r="D444" s="3" t="s">
        <v>3831</v>
      </c>
      <c r="E444" s="3" t="s">
        <v>3832</v>
      </c>
      <c r="F444" s="3" t="s">
        <v>3833</v>
      </c>
      <c r="G444" s="3" t="s">
        <v>3834</v>
      </c>
      <c r="H444" s="11" t="s">
        <v>8084</v>
      </c>
      <c r="I444" s="3" t="s">
        <v>7764</v>
      </c>
      <c r="J444" s="7">
        <v>0.81</v>
      </c>
      <c r="K444" s="1" t="s">
        <v>7765</v>
      </c>
      <c r="L444" s="2">
        <v>0.47399999999999998</v>
      </c>
      <c r="M444" s="2">
        <f>50973/100000</f>
        <v>0.50973000000000002</v>
      </c>
      <c r="N444" s="2">
        <v>0.74123870000000003</v>
      </c>
      <c r="O444" s="3" t="s">
        <v>7766</v>
      </c>
      <c r="P444" s="7">
        <v>2.2000000000000002</v>
      </c>
      <c r="Q444" s="1" t="s">
        <v>7767</v>
      </c>
      <c r="R444" s="2">
        <v>1.56E-3</v>
      </c>
      <c r="S444" s="2">
        <f>380/100000</f>
        <v>3.8E-3</v>
      </c>
      <c r="T444" s="2">
        <v>4.4147060000000002E-2</v>
      </c>
    </row>
    <row r="445" spans="1:20">
      <c r="A445" s="3" t="s">
        <v>3839</v>
      </c>
      <c r="B445" s="1" t="s">
        <v>3840</v>
      </c>
      <c r="C445" s="3" t="s">
        <v>3841</v>
      </c>
      <c r="D445" s="3" t="s">
        <v>3842</v>
      </c>
      <c r="E445" s="3" t="s">
        <v>3843</v>
      </c>
      <c r="F445" s="3" t="s">
        <v>3844</v>
      </c>
      <c r="G445" s="3" t="s">
        <v>3845</v>
      </c>
      <c r="H445" s="11" t="s">
        <v>8110</v>
      </c>
      <c r="I445" s="3" t="s">
        <v>7768</v>
      </c>
      <c r="J445" s="7">
        <v>1.19</v>
      </c>
      <c r="K445" s="1" t="s">
        <v>7769</v>
      </c>
      <c r="L445" s="2">
        <v>0.45900000000000002</v>
      </c>
      <c r="M445" s="2">
        <f>53151/100000</f>
        <v>0.53151000000000004</v>
      </c>
      <c r="N445" s="2">
        <v>0.74478149999999999</v>
      </c>
      <c r="O445" s="3" t="s">
        <v>7770</v>
      </c>
      <c r="P445" s="7">
        <v>1.27</v>
      </c>
      <c r="Q445" s="1" t="s">
        <v>7771</v>
      </c>
      <c r="R445" s="2">
        <v>0.29099999999999998</v>
      </c>
      <c r="S445" s="2">
        <f>31125/100000</f>
        <v>0.31125000000000003</v>
      </c>
      <c r="T445" s="2">
        <v>0.59678059999999999</v>
      </c>
    </row>
    <row r="446" spans="1:20">
      <c r="A446" s="3" t="s">
        <v>3850</v>
      </c>
      <c r="B446" s="1" t="s">
        <v>3840</v>
      </c>
      <c r="C446" s="3" t="s">
        <v>3841</v>
      </c>
      <c r="D446" s="3" t="s">
        <v>3851</v>
      </c>
      <c r="E446" s="3" t="s">
        <v>3852</v>
      </c>
      <c r="F446" s="3" t="s">
        <v>3844</v>
      </c>
      <c r="G446" s="3" t="s">
        <v>3845</v>
      </c>
      <c r="H446" s="11" t="s">
        <v>8110</v>
      </c>
      <c r="I446" s="3" t="s">
        <v>7772</v>
      </c>
      <c r="J446" s="7">
        <v>0.74</v>
      </c>
      <c r="K446" s="1" t="s">
        <v>7773</v>
      </c>
      <c r="L446" s="2">
        <v>0.55900000000000005</v>
      </c>
      <c r="M446" s="2">
        <f>66364/100000</f>
        <v>0.66364000000000001</v>
      </c>
      <c r="N446" s="2">
        <v>0.80511429999999995</v>
      </c>
      <c r="O446" s="3" t="s">
        <v>7774</v>
      </c>
      <c r="P446" s="7">
        <v>1.54</v>
      </c>
      <c r="Q446" s="1" t="s">
        <v>7775</v>
      </c>
      <c r="R446" s="2">
        <v>0.20599999999999999</v>
      </c>
      <c r="S446" s="2">
        <f>20353/100000</f>
        <v>0.20352999999999999</v>
      </c>
      <c r="T446" s="2">
        <v>0.49180279999999998</v>
      </c>
    </row>
    <row r="447" spans="1:20">
      <c r="A447" s="3" t="s">
        <v>3857</v>
      </c>
      <c r="B447" s="1" t="s">
        <v>3858</v>
      </c>
      <c r="C447" s="3" t="s">
        <v>3859</v>
      </c>
      <c r="D447" s="3" t="s">
        <v>3860</v>
      </c>
      <c r="E447" s="3" t="s">
        <v>3861</v>
      </c>
      <c r="F447" s="3" t="s">
        <v>3862</v>
      </c>
      <c r="G447" s="3" t="s">
        <v>3863</v>
      </c>
      <c r="H447" s="11" t="s">
        <v>8238</v>
      </c>
      <c r="I447" s="3" t="s">
        <v>7776</v>
      </c>
      <c r="J447" s="7">
        <v>0.93</v>
      </c>
      <c r="K447" s="1" t="s">
        <v>7514</v>
      </c>
      <c r="L447" s="2">
        <v>0.86799999999999999</v>
      </c>
      <c r="M447" s="2">
        <f>100000/100000</f>
        <v>1</v>
      </c>
      <c r="N447" s="2">
        <v>0.82929589999999997</v>
      </c>
      <c r="O447" s="3" t="s">
        <v>7777</v>
      </c>
      <c r="P447" s="7">
        <v>0.94</v>
      </c>
      <c r="Q447" s="1" t="s">
        <v>7778</v>
      </c>
      <c r="R447" s="2">
        <v>0.89100000000000001</v>
      </c>
      <c r="S447" s="2">
        <f>100000/100000</f>
        <v>1</v>
      </c>
      <c r="T447" s="2">
        <v>0.82929589999999997</v>
      </c>
    </row>
    <row r="448" spans="1:20">
      <c r="A448" s="3" t="s">
        <v>3868</v>
      </c>
      <c r="B448" s="1" t="s">
        <v>3869</v>
      </c>
      <c r="C448" s="3" t="s">
        <v>3870</v>
      </c>
      <c r="D448" s="3" t="s">
        <v>3871</v>
      </c>
      <c r="E448" s="3" t="s">
        <v>3872</v>
      </c>
      <c r="F448" s="3" t="s">
        <v>3873</v>
      </c>
      <c r="G448" s="3" t="s">
        <v>3874</v>
      </c>
      <c r="H448" s="11" t="s">
        <v>8112</v>
      </c>
      <c r="I448" s="3" t="s">
        <v>7779</v>
      </c>
      <c r="J448" s="7">
        <v>0.83</v>
      </c>
      <c r="K448" s="1" t="s">
        <v>7780</v>
      </c>
      <c r="L448" s="2">
        <v>0.45600000000000002</v>
      </c>
      <c r="M448" s="2">
        <f>48125/100000</f>
        <v>0.48125000000000001</v>
      </c>
      <c r="N448" s="2">
        <v>0.72902449999999996</v>
      </c>
      <c r="O448" s="3" t="s">
        <v>7781</v>
      </c>
      <c r="P448" s="7">
        <v>1.35</v>
      </c>
      <c r="Q448" s="1" t="s">
        <v>7782</v>
      </c>
      <c r="R448" s="2">
        <v>0.19900000000000001</v>
      </c>
      <c r="S448" s="2">
        <f>23190/100000</f>
        <v>0.2319</v>
      </c>
      <c r="T448" s="2">
        <v>0.53041850000000001</v>
      </c>
    </row>
    <row r="449" spans="1:20">
      <c r="A449" s="3" t="s">
        <v>3879</v>
      </c>
      <c r="B449" s="1" t="s">
        <v>3869</v>
      </c>
      <c r="C449" s="3" t="s">
        <v>3870</v>
      </c>
      <c r="D449" s="3" t="s">
        <v>3880</v>
      </c>
      <c r="E449" s="3" t="s">
        <v>3881</v>
      </c>
      <c r="F449" s="3" t="s">
        <v>3873</v>
      </c>
      <c r="G449" s="3" t="s">
        <v>3874</v>
      </c>
      <c r="H449" s="11" t="s">
        <v>8112</v>
      </c>
      <c r="I449" s="3" t="s">
        <v>7783</v>
      </c>
      <c r="J449" s="7">
        <v>1.06</v>
      </c>
      <c r="K449" s="1" t="s">
        <v>7784</v>
      </c>
      <c r="L449" s="2">
        <v>0.80700000000000005</v>
      </c>
      <c r="M449" s="2">
        <f>89786/100000</f>
        <v>0.89785999999999999</v>
      </c>
      <c r="N449" s="2">
        <v>0.82929589999999997</v>
      </c>
      <c r="O449" s="3" t="s">
        <v>7785</v>
      </c>
      <c r="P449" s="7">
        <v>1.52</v>
      </c>
      <c r="Q449" s="1" t="s">
        <v>7786</v>
      </c>
      <c r="R449" s="2">
        <v>1.03E-2</v>
      </c>
      <c r="S449" s="2">
        <f>1174/100000</f>
        <v>1.174E-2</v>
      </c>
      <c r="T449" s="2">
        <v>9.4168500000000002E-2</v>
      </c>
    </row>
    <row r="450" spans="1:20">
      <c r="A450" s="3" t="s">
        <v>3886</v>
      </c>
      <c r="B450" s="1" t="s">
        <v>3869</v>
      </c>
      <c r="C450" s="3" t="s">
        <v>3870</v>
      </c>
      <c r="D450" s="3" t="s">
        <v>3887</v>
      </c>
      <c r="E450" s="3" t="s">
        <v>3888</v>
      </c>
      <c r="F450" s="3" t="s">
        <v>3873</v>
      </c>
      <c r="G450" s="3" t="s">
        <v>3874</v>
      </c>
      <c r="H450" s="11" t="s">
        <v>8113</v>
      </c>
      <c r="I450" s="3" t="s">
        <v>7787</v>
      </c>
      <c r="J450" s="7">
        <v>1.25</v>
      </c>
      <c r="K450" s="1" t="s">
        <v>7788</v>
      </c>
      <c r="L450" s="2">
        <v>0.38800000000000001</v>
      </c>
      <c r="M450" s="2">
        <f>38895/100000</f>
        <v>0.38895000000000002</v>
      </c>
      <c r="N450" s="2">
        <v>0.65449380000000001</v>
      </c>
      <c r="O450" s="3" t="s">
        <v>7789</v>
      </c>
      <c r="P450" s="7">
        <v>1.86</v>
      </c>
      <c r="Q450" s="1" t="s">
        <v>7790</v>
      </c>
      <c r="R450" s="2">
        <v>1.9699999999999999E-4</v>
      </c>
      <c r="S450" s="2">
        <f>44/100000</f>
        <v>4.4000000000000002E-4</v>
      </c>
      <c r="T450" s="2">
        <v>9.0375999999999998E-3</v>
      </c>
    </row>
    <row r="451" spans="1:20">
      <c r="A451" s="3" t="s">
        <v>3893</v>
      </c>
      <c r="B451" s="1" t="s">
        <v>3869</v>
      </c>
      <c r="C451" s="3" t="s">
        <v>3870</v>
      </c>
      <c r="D451" s="3" t="s">
        <v>3894</v>
      </c>
      <c r="E451" s="3" t="s">
        <v>3895</v>
      </c>
      <c r="F451" s="3" t="s">
        <v>3873</v>
      </c>
      <c r="G451" s="3" t="s">
        <v>3874</v>
      </c>
      <c r="H451" s="11" t="s">
        <v>8113</v>
      </c>
      <c r="I451" s="3" t="s">
        <v>7791</v>
      </c>
      <c r="J451" s="7">
        <v>0.88</v>
      </c>
      <c r="K451" s="1" t="s">
        <v>7792</v>
      </c>
      <c r="L451" s="2">
        <v>0.60899999999999999</v>
      </c>
      <c r="M451" s="2">
        <f>63230/100000</f>
        <v>0.63229999999999997</v>
      </c>
      <c r="N451" s="2">
        <v>0.79869500000000004</v>
      </c>
      <c r="O451" s="3" t="s">
        <v>7793</v>
      </c>
      <c r="P451" s="7">
        <v>1.34</v>
      </c>
      <c r="Q451" s="1" t="s">
        <v>7794</v>
      </c>
      <c r="R451" s="2">
        <v>7.2800000000000004E-2</v>
      </c>
      <c r="S451" s="2">
        <f>7717/100000</f>
        <v>7.7170000000000002E-2</v>
      </c>
      <c r="T451" s="2">
        <v>0.31312950000000001</v>
      </c>
    </row>
    <row r="452" spans="1:20">
      <c r="A452" s="3" t="s">
        <v>3900</v>
      </c>
      <c r="B452" s="1" t="s">
        <v>3901</v>
      </c>
      <c r="C452" s="3" t="s">
        <v>3902</v>
      </c>
      <c r="D452" s="3" t="s">
        <v>3903</v>
      </c>
      <c r="E452" s="3" t="s">
        <v>3904</v>
      </c>
      <c r="F452" s="3" t="s">
        <v>3905</v>
      </c>
      <c r="G452" s="3" t="s">
        <v>3906</v>
      </c>
      <c r="H452" s="11" t="s">
        <v>8239</v>
      </c>
      <c r="I452" s="3" t="s">
        <v>7795</v>
      </c>
      <c r="J452" s="7">
        <v>0.87</v>
      </c>
      <c r="K452" s="1" t="s">
        <v>7796</v>
      </c>
      <c r="L452" s="2">
        <v>0.74299999999999999</v>
      </c>
      <c r="M452" s="2">
        <f>84884/100000</f>
        <v>0.84884000000000004</v>
      </c>
      <c r="N452" s="2">
        <v>0.82929589999999997</v>
      </c>
      <c r="O452" s="3" t="s">
        <v>7797</v>
      </c>
      <c r="P452" s="7">
        <v>1.53</v>
      </c>
      <c r="Q452" s="1" t="s">
        <v>7798</v>
      </c>
      <c r="R452" s="2">
        <v>0.189</v>
      </c>
      <c r="S452" s="2">
        <f>23191/100000</f>
        <v>0.23191000000000001</v>
      </c>
      <c r="T452" s="2">
        <v>0.53041850000000001</v>
      </c>
    </row>
    <row r="453" spans="1:20">
      <c r="A453" s="3" t="s">
        <v>3911</v>
      </c>
      <c r="B453" s="1" t="s">
        <v>3901</v>
      </c>
      <c r="C453" s="3" t="s">
        <v>3902</v>
      </c>
      <c r="D453" s="3" t="s">
        <v>3912</v>
      </c>
      <c r="E453" s="3" t="s">
        <v>3913</v>
      </c>
      <c r="F453" s="3" t="s">
        <v>3914</v>
      </c>
      <c r="G453" s="3" t="s">
        <v>3915</v>
      </c>
      <c r="H453" s="11" t="s">
        <v>8239</v>
      </c>
      <c r="I453" s="3" t="s">
        <v>7799</v>
      </c>
      <c r="J453" s="7">
        <v>1.58</v>
      </c>
      <c r="K453" s="1" t="s">
        <v>7800</v>
      </c>
      <c r="L453" s="2">
        <v>0.121</v>
      </c>
      <c r="M453" s="2">
        <f>13942/100000</f>
        <v>0.13941999999999999</v>
      </c>
      <c r="N453" s="2">
        <v>0.40740009999999999</v>
      </c>
      <c r="O453" s="3" t="s">
        <v>7801</v>
      </c>
      <c r="P453" s="7">
        <v>0.82</v>
      </c>
      <c r="Q453" s="1" t="s">
        <v>7802</v>
      </c>
      <c r="R453" s="2">
        <v>0.60799999999999998</v>
      </c>
      <c r="S453" s="2">
        <f>72816/100000</f>
        <v>0.72816000000000003</v>
      </c>
      <c r="T453" s="2">
        <v>0.82137769999999999</v>
      </c>
    </row>
    <row r="454" spans="1:20">
      <c r="A454" s="3" t="s">
        <v>3920</v>
      </c>
      <c r="B454" s="1" t="s">
        <v>3921</v>
      </c>
      <c r="C454" s="3" t="s">
        <v>3922</v>
      </c>
      <c r="D454" s="3" t="s">
        <v>3923</v>
      </c>
      <c r="E454" s="3" t="s">
        <v>3924</v>
      </c>
      <c r="F454" s="3" t="s">
        <v>3925</v>
      </c>
      <c r="G454" s="3" t="s">
        <v>3926</v>
      </c>
      <c r="H454" s="11" t="s">
        <v>8240</v>
      </c>
      <c r="I454" s="3" t="s">
        <v>7803</v>
      </c>
      <c r="J454" s="7">
        <v>0.83</v>
      </c>
      <c r="K454" s="1" t="s">
        <v>979</v>
      </c>
      <c r="L454" s="2">
        <v>0.70899999999999996</v>
      </c>
      <c r="M454" s="2">
        <f>82305/100000</f>
        <v>0.82304999999999995</v>
      </c>
      <c r="N454" s="2">
        <v>0.82929589999999997</v>
      </c>
      <c r="O454" s="3" t="s">
        <v>7804</v>
      </c>
      <c r="P454" s="7">
        <v>0</v>
      </c>
      <c r="Q454" s="1" t="s">
        <v>774</v>
      </c>
      <c r="R454" s="2">
        <v>0.16700000000000001</v>
      </c>
      <c r="S454" s="2">
        <f>26662/100000</f>
        <v>0.26662000000000002</v>
      </c>
      <c r="T454" s="2">
        <v>0.56620890000000001</v>
      </c>
    </row>
    <row r="455" spans="1:20">
      <c r="A455" s="3" t="s">
        <v>3930</v>
      </c>
      <c r="B455" s="1" t="s">
        <v>3931</v>
      </c>
      <c r="C455" s="3" t="s">
        <v>3932</v>
      </c>
      <c r="D455" s="3" t="s">
        <v>3933</v>
      </c>
      <c r="E455" s="3" t="s">
        <v>3934</v>
      </c>
      <c r="F455" s="3" t="s">
        <v>3935</v>
      </c>
      <c r="G455" s="3" t="s">
        <v>3936</v>
      </c>
      <c r="H455" s="11" t="s">
        <v>8241</v>
      </c>
      <c r="I455" s="3" t="s">
        <v>7805</v>
      </c>
      <c r="J455" s="7">
        <v>1.72</v>
      </c>
      <c r="K455" s="1" t="s">
        <v>7806</v>
      </c>
      <c r="L455" s="2">
        <v>3.57E-5</v>
      </c>
      <c r="M455" s="2">
        <f>6/100000</f>
        <v>6.0000000000000002E-5</v>
      </c>
      <c r="N455" s="2">
        <v>1.6564520000000001E-3</v>
      </c>
      <c r="O455" s="3" t="s">
        <v>7807</v>
      </c>
      <c r="P455" s="7">
        <v>1.03</v>
      </c>
      <c r="Q455" s="1" t="s">
        <v>7808</v>
      </c>
      <c r="R455" s="2">
        <v>0.88700000000000001</v>
      </c>
      <c r="S455" s="2">
        <f>91778/100000</f>
        <v>0.91778000000000004</v>
      </c>
      <c r="T455" s="2">
        <v>0.82929589999999997</v>
      </c>
    </row>
    <row r="456" spans="1:20">
      <c r="A456" s="3" t="s">
        <v>3941</v>
      </c>
      <c r="B456" s="1" t="s">
        <v>3942</v>
      </c>
      <c r="C456" s="3" t="s">
        <v>3943</v>
      </c>
      <c r="D456" s="3" t="s">
        <v>3944</v>
      </c>
      <c r="E456" s="3" t="s">
        <v>3945</v>
      </c>
      <c r="F456" s="3" t="s">
        <v>3946</v>
      </c>
      <c r="G456" s="5" t="s">
        <v>3947</v>
      </c>
      <c r="H456" s="14" t="s">
        <v>8067</v>
      </c>
      <c r="I456" s="3" t="s">
        <v>7809</v>
      </c>
      <c r="J456" s="7">
        <v>0.69</v>
      </c>
      <c r="K456" s="1" t="s">
        <v>7810</v>
      </c>
      <c r="L456" s="2">
        <v>4.8099999999999998E-4</v>
      </c>
      <c r="M456" s="2">
        <f>54/100000</f>
        <v>5.4000000000000001E-4</v>
      </c>
      <c r="N456" s="2">
        <v>1.058359E-2</v>
      </c>
      <c r="O456" s="3" t="s">
        <v>7811</v>
      </c>
      <c r="P456" s="7">
        <v>1.38</v>
      </c>
      <c r="Q456" s="1" t="s">
        <v>7812</v>
      </c>
      <c r="R456" s="2">
        <v>8.3600000000000005E-4</v>
      </c>
      <c r="S456" s="2">
        <f>104/100000</f>
        <v>1.0399999999999999E-3</v>
      </c>
      <c r="T456" s="2">
        <v>1.6899999999999998E-2</v>
      </c>
    </row>
    <row r="457" spans="1:20">
      <c r="A457" s="3" t="s">
        <v>3952</v>
      </c>
      <c r="B457" s="1" t="s">
        <v>3942</v>
      </c>
      <c r="C457" s="3" t="s">
        <v>3943</v>
      </c>
      <c r="D457" s="3" t="s">
        <v>3953</v>
      </c>
      <c r="E457" s="5" t="s">
        <v>3954</v>
      </c>
      <c r="F457" s="3" t="s">
        <v>3946</v>
      </c>
      <c r="G457" s="5" t="s">
        <v>3947</v>
      </c>
      <c r="H457" s="14" t="s">
        <v>8067</v>
      </c>
      <c r="I457" s="3" t="s">
        <v>7813</v>
      </c>
      <c r="J457" s="7">
        <v>1.18</v>
      </c>
      <c r="K457" s="1" t="s">
        <v>7814</v>
      </c>
      <c r="L457" s="2">
        <v>9.8000000000000004E-2</v>
      </c>
      <c r="M457" s="2">
        <f>10008/100000</f>
        <v>0.10008</v>
      </c>
      <c r="N457" s="2">
        <v>0.3565972</v>
      </c>
      <c r="O457" s="3" t="s">
        <v>7815</v>
      </c>
      <c r="P457" s="7">
        <v>0.84</v>
      </c>
      <c r="Q457" s="1" t="s">
        <v>7816</v>
      </c>
      <c r="R457" s="2">
        <v>0.109</v>
      </c>
      <c r="S457" s="2">
        <f>11530/100000</f>
        <v>0.1153</v>
      </c>
      <c r="T457" s="2">
        <v>0.38000319999999999</v>
      </c>
    </row>
    <row r="458" spans="1:20">
      <c r="A458" s="3" t="s">
        <v>3959</v>
      </c>
      <c r="B458" s="1" t="s">
        <v>3960</v>
      </c>
      <c r="C458" s="3" t="s">
        <v>3961</v>
      </c>
      <c r="D458" s="3" t="s">
        <v>3962</v>
      </c>
      <c r="E458" s="3" t="s">
        <v>3963</v>
      </c>
      <c r="F458" s="3" t="s">
        <v>3964</v>
      </c>
      <c r="G458" s="3" t="s">
        <v>3965</v>
      </c>
      <c r="H458" s="14" t="s">
        <v>8055</v>
      </c>
      <c r="I458" s="3" t="s">
        <v>7817</v>
      </c>
      <c r="J458" s="7">
        <v>0.8</v>
      </c>
      <c r="K458" s="1" t="s">
        <v>7818</v>
      </c>
      <c r="L458" s="2">
        <v>0.52100000000000002</v>
      </c>
      <c r="M458" s="2">
        <f>54330/100000</f>
        <v>0.54330000000000001</v>
      </c>
      <c r="N458" s="2">
        <v>0.74606439999999996</v>
      </c>
      <c r="O458" s="3" t="s">
        <v>7819</v>
      </c>
      <c r="P458" s="7">
        <v>1.75</v>
      </c>
      <c r="Q458" s="1" t="s">
        <v>7820</v>
      </c>
      <c r="R458" s="2">
        <v>1.6899999999999998E-2</v>
      </c>
      <c r="S458" s="2">
        <f>2395/100000</f>
        <v>2.3949999999999999E-2</v>
      </c>
      <c r="T458" s="2">
        <v>0.15482409999999999</v>
      </c>
    </row>
    <row r="459" spans="1:20">
      <c r="A459" s="3" t="s">
        <v>3970</v>
      </c>
      <c r="B459" s="1" t="s">
        <v>3960</v>
      </c>
      <c r="C459" s="3" t="s">
        <v>3961</v>
      </c>
      <c r="D459" s="3" t="s">
        <v>3971</v>
      </c>
      <c r="E459" s="3" t="s">
        <v>3972</v>
      </c>
      <c r="F459" s="3" t="s">
        <v>3973</v>
      </c>
      <c r="G459" s="3" t="s">
        <v>3974</v>
      </c>
      <c r="H459" s="11" t="s">
        <v>8056</v>
      </c>
      <c r="I459" s="3" t="s">
        <v>7821</v>
      </c>
      <c r="J459" s="7">
        <v>0.78</v>
      </c>
      <c r="K459" s="1" t="s">
        <v>7822</v>
      </c>
      <c r="L459" s="2">
        <v>0.54700000000000004</v>
      </c>
      <c r="M459" s="2">
        <f>58821/100000</f>
        <v>0.58821000000000001</v>
      </c>
      <c r="N459" s="2">
        <v>0.77707570000000004</v>
      </c>
      <c r="O459" s="3" t="s">
        <v>7823</v>
      </c>
      <c r="P459" s="7">
        <v>1.83</v>
      </c>
      <c r="Q459" s="1" t="s">
        <v>7824</v>
      </c>
      <c r="R459" s="2">
        <v>2.4500000000000001E-2</v>
      </c>
      <c r="S459" s="2">
        <f>3270/100000</f>
        <v>3.27E-2</v>
      </c>
      <c r="T459" s="2">
        <v>0.18839819999999999</v>
      </c>
    </row>
    <row r="460" spans="1:20">
      <c r="A460" s="3" t="s">
        <v>3978</v>
      </c>
      <c r="B460" s="1" t="s">
        <v>3960</v>
      </c>
      <c r="C460" s="3" t="s">
        <v>3961</v>
      </c>
      <c r="D460" s="3" t="s">
        <v>3979</v>
      </c>
      <c r="E460" s="3" t="s">
        <v>3980</v>
      </c>
      <c r="F460" s="3" t="s">
        <v>3964</v>
      </c>
      <c r="G460" s="3" t="s">
        <v>3965</v>
      </c>
      <c r="H460" s="11" t="s">
        <v>8242</v>
      </c>
      <c r="I460" s="3" t="s">
        <v>7825</v>
      </c>
      <c r="J460" s="7">
        <v>1.03</v>
      </c>
      <c r="K460" s="1" t="s">
        <v>5837</v>
      </c>
      <c r="L460" s="2">
        <v>0.92500000000000004</v>
      </c>
      <c r="M460" s="2">
        <f>100000/100000</f>
        <v>1</v>
      </c>
      <c r="N460" s="2">
        <v>0.82929589999999997</v>
      </c>
      <c r="O460" s="3" t="s">
        <v>7826</v>
      </c>
      <c r="P460" s="7">
        <v>0.64</v>
      </c>
      <c r="Q460" s="1" t="s">
        <v>7498</v>
      </c>
      <c r="R460" s="2">
        <v>0.32700000000000001</v>
      </c>
      <c r="S460" s="2">
        <f>36060/100000</f>
        <v>0.36059999999999998</v>
      </c>
      <c r="T460" s="2">
        <v>0.64054420000000001</v>
      </c>
    </row>
    <row r="461" spans="1:20">
      <c r="A461" s="3" t="s">
        <v>3985</v>
      </c>
      <c r="B461" s="1" t="s">
        <v>3960</v>
      </c>
      <c r="C461" s="3" t="s">
        <v>3961</v>
      </c>
      <c r="D461" s="3" t="s">
        <v>3986</v>
      </c>
      <c r="E461" s="3" t="s">
        <v>3987</v>
      </c>
      <c r="F461" s="3" t="s">
        <v>3964</v>
      </c>
      <c r="G461" s="3" t="s">
        <v>3965</v>
      </c>
      <c r="H461" s="11" t="s">
        <v>8243</v>
      </c>
      <c r="I461" s="3" t="s">
        <v>7827</v>
      </c>
      <c r="J461" s="7">
        <v>1.39</v>
      </c>
      <c r="K461" s="1" t="s">
        <v>7828</v>
      </c>
      <c r="L461" s="2">
        <v>3.6799999999999999E-2</v>
      </c>
      <c r="M461" s="2">
        <f>3756/100000</f>
        <v>3.7560000000000003E-2</v>
      </c>
      <c r="N461" s="2">
        <v>0.2054</v>
      </c>
      <c r="O461" s="3" t="s">
        <v>7829</v>
      </c>
      <c r="P461" s="7">
        <v>0.63</v>
      </c>
      <c r="Q461" s="1" t="s">
        <v>7830</v>
      </c>
      <c r="R461" s="2">
        <v>2.35E-2</v>
      </c>
      <c r="S461" s="2">
        <f>2652/100000</f>
        <v>2.6519999999999998E-2</v>
      </c>
      <c r="T461" s="2">
        <v>0.1663539</v>
      </c>
    </row>
    <row r="462" spans="1:20">
      <c r="A462" s="3" t="s">
        <v>3992</v>
      </c>
      <c r="B462" s="1" t="s">
        <v>3960</v>
      </c>
      <c r="C462" s="3" t="s">
        <v>3961</v>
      </c>
      <c r="D462" s="3" t="s">
        <v>3993</v>
      </c>
      <c r="E462" s="3" t="s">
        <v>3994</v>
      </c>
      <c r="F462" s="3" t="s">
        <v>3964</v>
      </c>
      <c r="G462" s="3" t="s">
        <v>3965</v>
      </c>
      <c r="H462" s="11" t="s">
        <v>8244</v>
      </c>
      <c r="I462" s="3" t="s">
        <v>7831</v>
      </c>
      <c r="J462" s="7">
        <v>1.46</v>
      </c>
      <c r="K462" s="1" t="s">
        <v>7832</v>
      </c>
      <c r="L462" s="2">
        <v>2.0500000000000001E-2</v>
      </c>
      <c r="M462" s="2">
        <f>2402/100000</f>
        <v>2.402E-2</v>
      </c>
      <c r="N462" s="2">
        <v>0.15482409999999999</v>
      </c>
      <c r="O462" s="3" t="s">
        <v>7833</v>
      </c>
      <c r="P462" s="7">
        <v>0.36</v>
      </c>
      <c r="Q462" s="1" t="s">
        <v>7834</v>
      </c>
      <c r="R462" s="2">
        <v>1.7499999999999998E-5</v>
      </c>
      <c r="S462" s="2">
        <f>3/100000</f>
        <v>3.0000000000000001E-5</v>
      </c>
      <c r="T462" s="2">
        <v>9.1696430000000003E-4</v>
      </c>
    </row>
    <row r="463" spans="1:20">
      <c r="A463" s="3" t="s">
        <v>3999</v>
      </c>
      <c r="B463" s="1" t="s">
        <v>3960</v>
      </c>
      <c r="C463" s="3" t="s">
        <v>3961</v>
      </c>
      <c r="D463" s="3" t="s">
        <v>4000</v>
      </c>
      <c r="E463" s="3" t="s">
        <v>4001</v>
      </c>
      <c r="F463" s="3" t="s">
        <v>4002</v>
      </c>
      <c r="G463" s="3" t="s">
        <v>4003</v>
      </c>
      <c r="H463" s="11" t="s">
        <v>8056</v>
      </c>
      <c r="I463" s="3" t="s">
        <v>7835</v>
      </c>
      <c r="J463" s="7">
        <v>0.41</v>
      </c>
      <c r="K463" s="1" t="s">
        <v>7836</v>
      </c>
      <c r="L463" s="2">
        <v>4.3799999999999999E-2</v>
      </c>
      <c r="M463" s="2">
        <f>4720/100000</f>
        <v>4.7199999999999999E-2</v>
      </c>
      <c r="N463" s="2">
        <v>0.23394980000000001</v>
      </c>
      <c r="O463" s="3" t="s">
        <v>7837</v>
      </c>
      <c r="P463" s="7">
        <v>0.94</v>
      </c>
      <c r="Q463" s="1" t="s">
        <v>6644</v>
      </c>
      <c r="R463" s="2">
        <v>0.88700000000000001</v>
      </c>
      <c r="S463" s="2">
        <f>100000/100000</f>
        <v>1</v>
      </c>
      <c r="T463" s="2">
        <v>0.82929589999999997</v>
      </c>
    </row>
    <row r="464" spans="1:20">
      <c r="A464" s="3" t="s">
        <v>4008</v>
      </c>
      <c r="B464" s="1" t="s">
        <v>3960</v>
      </c>
      <c r="C464" s="3" t="s">
        <v>3961</v>
      </c>
      <c r="D464" s="3" t="s">
        <v>4009</v>
      </c>
      <c r="E464" s="3" t="s">
        <v>4010</v>
      </c>
      <c r="F464" s="3" t="s">
        <v>4002</v>
      </c>
      <c r="G464" s="3" t="s">
        <v>4003</v>
      </c>
      <c r="H464" s="11" t="s">
        <v>8056</v>
      </c>
      <c r="I464" s="3" t="s">
        <v>7838</v>
      </c>
      <c r="J464" s="7">
        <v>0.59</v>
      </c>
      <c r="K464" s="1" t="s">
        <v>7839</v>
      </c>
      <c r="L464" s="2">
        <v>0.16500000000000001</v>
      </c>
      <c r="M464" s="2">
        <f>17301/100000</f>
        <v>0.17301</v>
      </c>
      <c r="N464" s="2">
        <v>0.46076499999999998</v>
      </c>
      <c r="O464" s="3" t="s">
        <v>7840</v>
      </c>
      <c r="P464" s="7">
        <v>1.29</v>
      </c>
      <c r="Q464" s="1" t="s">
        <v>7841</v>
      </c>
      <c r="R464" s="2">
        <v>0.51400000000000001</v>
      </c>
      <c r="S464" s="2">
        <f>66371/100000</f>
        <v>0.66371000000000002</v>
      </c>
      <c r="T464" s="2">
        <v>0.80511429999999995</v>
      </c>
    </row>
    <row r="465" spans="1:20">
      <c r="A465" s="3" t="s">
        <v>4015</v>
      </c>
      <c r="B465" s="1" t="s">
        <v>3960</v>
      </c>
      <c r="C465" s="3" t="s">
        <v>3961</v>
      </c>
      <c r="D465" s="3" t="s">
        <v>4016</v>
      </c>
      <c r="E465" s="3" t="s">
        <v>4017</v>
      </c>
      <c r="F465" s="3" t="s">
        <v>4018</v>
      </c>
      <c r="G465" s="3" t="s">
        <v>4019</v>
      </c>
      <c r="H465" s="11" t="s">
        <v>8056</v>
      </c>
      <c r="I465" s="3" t="s">
        <v>7842</v>
      </c>
      <c r="J465" s="7">
        <v>0.79</v>
      </c>
      <c r="K465" s="1" t="s">
        <v>7748</v>
      </c>
      <c r="L465" s="2">
        <v>0.59599999999999997</v>
      </c>
      <c r="M465" s="2">
        <f>68667/100000</f>
        <v>0.68667</v>
      </c>
      <c r="N465" s="2">
        <v>0.81339530000000004</v>
      </c>
      <c r="O465" s="3" t="s">
        <v>7843</v>
      </c>
      <c r="P465" s="7">
        <v>1.85</v>
      </c>
      <c r="Q465" s="1" t="s">
        <v>7844</v>
      </c>
      <c r="R465" s="2">
        <v>4.7800000000000002E-2</v>
      </c>
      <c r="S465" s="2">
        <f>5958/100000</f>
        <v>5.9580000000000001E-2</v>
      </c>
      <c r="T465" s="2">
        <v>0.26799119999999998</v>
      </c>
    </row>
    <row r="466" spans="1:20">
      <c r="A466" s="3" t="s">
        <v>4022</v>
      </c>
      <c r="B466" s="1" t="s">
        <v>3960</v>
      </c>
      <c r="C466" s="3" t="s">
        <v>3961</v>
      </c>
      <c r="D466" s="3" t="s">
        <v>4023</v>
      </c>
      <c r="E466" s="3" t="s">
        <v>4024</v>
      </c>
      <c r="F466" s="3" t="s">
        <v>4018</v>
      </c>
      <c r="G466" s="3" t="s">
        <v>4019</v>
      </c>
      <c r="H466" s="11" t="s">
        <v>8056</v>
      </c>
      <c r="I466" s="3" t="s">
        <v>7845</v>
      </c>
      <c r="J466" s="7">
        <v>1.08</v>
      </c>
      <c r="K466" s="1" t="s">
        <v>7846</v>
      </c>
      <c r="L466" s="2">
        <v>0.81200000000000006</v>
      </c>
      <c r="M466" s="2">
        <f>86620/100000</f>
        <v>0.86619999999999997</v>
      </c>
      <c r="N466" s="2">
        <v>0.82929589999999997</v>
      </c>
      <c r="O466" s="3" t="s">
        <v>7847</v>
      </c>
      <c r="P466" s="7">
        <v>1.67</v>
      </c>
      <c r="Q466" s="1" t="s">
        <v>7848</v>
      </c>
      <c r="R466" s="2">
        <v>4.2200000000000001E-2</v>
      </c>
      <c r="S466" s="2">
        <f>5508/100000</f>
        <v>5.5079999999999997E-2</v>
      </c>
      <c r="T466" s="2">
        <v>0.25628489999999998</v>
      </c>
    </row>
    <row r="467" spans="1:20">
      <c r="A467" s="3" t="s">
        <v>4029</v>
      </c>
      <c r="B467" s="1" t="s">
        <v>3960</v>
      </c>
      <c r="C467" s="3" t="s">
        <v>3961</v>
      </c>
      <c r="D467" s="3" t="s">
        <v>4030</v>
      </c>
      <c r="E467" s="3" t="s">
        <v>4031</v>
      </c>
      <c r="F467" s="3" t="s">
        <v>3973</v>
      </c>
      <c r="G467" s="3" t="s">
        <v>3974</v>
      </c>
      <c r="H467" s="11" t="s">
        <v>8056</v>
      </c>
      <c r="I467" s="3" t="s">
        <v>7849</v>
      </c>
      <c r="J467" s="7">
        <v>0.79</v>
      </c>
      <c r="K467" s="1" t="s">
        <v>7850</v>
      </c>
      <c r="L467" s="2">
        <v>0.57599999999999996</v>
      </c>
      <c r="M467" s="2">
        <f>71087/100000</f>
        <v>0.71087</v>
      </c>
      <c r="N467" s="2">
        <v>0.82137769999999999</v>
      </c>
      <c r="O467" s="3" t="s">
        <v>7851</v>
      </c>
      <c r="P467" s="7">
        <v>0.96</v>
      </c>
      <c r="Q467" s="1" t="s">
        <v>7852</v>
      </c>
      <c r="R467" s="2">
        <v>0.91200000000000003</v>
      </c>
      <c r="S467" s="2">
        <f>100000/100000</f>
        <v>1</v>
      </c>
      <c r="T467" s="2">
        <v>0.82929589999999997</v>
      </c>
    </row>
    <row r="468" spans="1:20">
      <c r="A468" s="3" t="s">
        <v>4036</v>
      </c>
      <c r="B468" s="1" t="s">
        <v>4037</v>
      </c>
      <c r="C468" s="3" t="s">
        <v>4038</v>
      </c>
      <c r="D468" s="3" t="s">
        <v>4039</v>
      </c>
      <c r="E468" s="3" t="s">
        <v>4040</v>
      </c>
      <c r="F468" s="3" t="s">
        <v>4041</v>
      </c>
      <c r="G468" s="3" t="s">
        <v>4042</v>
      </c>
      <c r="H468" s="11" t="s">
        <v>8245</v>
      </c>
      <c r="I468" s="3" t="s">
        <v>7853</v>
      </c>
      <c r="J468" s="7">
        <v>0.67</v>
      </c>
      <c r="K468" s="1" t="s">
        <v>7854</v>
      </c>
      <c r="L468" s="2">
        <v>9.5999999999999992E-3</v>
      </c>
      <c r="M468" s="2">
        <f>1138/100000</f>
        <v>1.1379999999999999E-2</v>
      </c>
      <c r="N468" s="2">
        <v>9.2919050000000003E-2</v>
      </c>
      <c r="O468" s="3" t="s">
        <v>7855</v>
      </c>
      <c r="P468" s="7">
        <v>1.48</v>
      </c>
      <c r="Q468" s="1" t="s">
        <v>7856</v>
      </c>
      <c r="R468" s="2">
        <v>9.9799999999999997E-4</v>
      </c>
      <c r="S468" s="2">
        <f>124/100000</f>
        <v>1.24E-3</v>
      </c>
      <c r="T468" s="2">
        <v>1.9652469999999998E-2</v>
      </c>
    </row>
    <row r="469" spans="1:20">
      <c r="A469" s="3" t="s">
        <v>4047</v>
      </c>
      <c r="B469" s="1" t="s">
        <v>4037</v>
      </c>
      <c r="C469" s="3" t="s">
        <v>4038</v>
      </c>
      <c r="D469" s="3" t="s">
        <v>4048</v>
      </c>
      <c r="E469" s="3" t="s">
        <v>4049</v>
      </c>
      <c r="F469" s="3" t="s">
        <v>4050</v>
      </c>
      <c r="G469" s="3" t="s">
        <v>4051</v>
      </c>
      <c r="H469" s="11" t="s">
        <v>8245</v>
      </c>
      <c r="I469" s="3" t="s">
        <v>7857</v>
      </c>
      <c r="J469" s="7">
        <v>0.85</v>
      </c>
      <c r="K469" s="1" t="s">
        <v>2184</v>
      </c>
      <c r="L469" s="2">
        <v>0.313</v>
      </c>
      <c r="M469" s="2">
        <f>32349/100000</f>
        <v>0.32349</v>
      </c>
      <c r="N469" s="2">
        <v>0.60978129999999997</v>
      </c>
      <c r="O469" s="3" t="s">
        <v>7858</v>
      </c>
      <c r="P469" s="7">
        <v>1.25</v>
      </c>
      <c r="Q469" s="1" t="s">
        <v>7859</v>
      </c>
      <c r="R469" s="2">
        <v>9.5299999999999996E-2</v>
      </c>
      <c r="S469" s="2">
        <f>9810/100000</f>
        <v>9.8100000000000007E-2</v>
      </c>
      <c r="T469" s="2">
        <v>0.3565972</v>
      </c>
    </row>
    <row r="470" spans="1:20">
      <c r="A470" s="3" t="s">
        <v>4055</v>
      </c>
      <c r="B470" s="1" t="s">
        <v>4056</v>
      </c>
      <c r="C470" s="3" t="s">
        <v>4057</v>
      </c>
      <c r="D470" s="3" t="s">
        <v>4058</v>
      </c>
      <c r="E470" s="3" t="s">
        <v>4059</v>
      </c>
      <c r="F470" s="3" t="s">
        <v>4060</v>
      </c>
      <c r="G470" s="3" t="s">
        <v>4061</v>
      </c>
      <c r="H470" s="11" t="s">
        <v>8246</v>
      </c>
      <c r="I470" s="3" t="s">
        <v>7860</v>
      </c>
      <c r="J470" s="7">
        <v>1.17</v>
      </c>
      <c r="K470" s="1" t="s">
        <v>7861</v>
      </c>
      <c r="L470" s="2">
        <v>0.621</v>
      </c>
      <c r="M470" s="2">
        <f>74153/100000</f>
        <v>0.74153000000000002</v>
      </c>
      <c r="N470" s="2">
        <v>0.82222050000000002</v>
      </c>
      <c r="O470" s="3" t="s">
        <v>7862</v>
      </c>
      <c r="P470" s="7">
        <v>1.19</v>
      </c>
      <c r="Q470" s="1" t="s">
        <v>7863</v>
      </c>
      <c r="R470" s="2">
        <v>0.61699999999999999</v>
      </c>
      <c r="S470" s="2">
        <f>71139/100000</f>
        <v>0.71138999999999997</v>
      </c>
      <c r="T470" s="2">
        <v>0.82137769999999999</v>
      </c>
    </row>
    <row r="471" spans="1:20">
      <c r="A471" s="3" t="s">
        <v>4066</v>
      </c>
      <c r="B471" s="1" t="s">
        <v>4056</v>
      </c>
      <c r="C471" s="3" t="s">
        <v>4057</v>
      </c>
      <c r="D471" s="3" t="s">
        <v>4067</v>
      </c>
      <c r="E471" s="3" t="s">
        <v>4068</v>
      </c>
      <c r="F471" s="3" t="s">
        <v>4069</v>
      </c>
      <c r="G471" s="3" t="s">
        <v>4070</v>
      </c>
      <c r="H471" s="11" t="s">
        <v>8246</v>
      </c>
      <c r="I471" s="3" t="s">
        <v>7864</v>
      </c>
      <c r="J471" s="7">
        <v>1.47</v>
      </c>
      <c r="K471" s="1" t="s">
        <v>7865</v>
      </c>
      <c r="L471" s="2">
        <v>0.31900000000000001</v>
      </c>
      <c r="M471" s="2">
        <f>34483/100000</f>
        <v>0.34483000000000003</v>
      </c>
      <c r="N471" s="2">
        <v>0.62073400000000001</v>
      </c>
      <c r="O471" s="3" t="s">
        <v>7866</v>
      </c>
      <c r="P471" s="7">
        <v>0.98</v>
      </c>
      <c r="Q471" s="1" t="s">
        <v>6080</v>
      </c>
      <c r="R471" s="2">
        <v>0.96799999999999997</v>
      </c>
      <c r="S471" s="2">
        <f>100000/100000</f>
        <v>1</v>
      </c>
      <c r="T471" s="2">
        <v>0.82929589999999997</v>
      </c>
    </row>
    <row r="472" spans="1:20">
      <c r="A472" s="3" t="s">
        <v>4074</v>
      </c>
      <c r="B472" s="1" t="s">
        <v>4056</v>
      </c>
      <c r="C472" s="3" t="s">
        <v>4057</v>
      </c>
      <c r="D472" s="3" t="s">
        <v>4075</v>
      </c>
      <c r="E472" s="3" t="s">
        <v>4076</v>
      </c>
      <c r="F472" s="3" t="s">
        <v>4077</v>
      </c>
      <c r="G472" s="3" t="s">
        <v>4078</v>
      </c>
      <c r="H472" s="14" t="s">
        <v>8246</v>
      </c>
      <c r="I472" s="3" t="s">
        <v>7867</v>
      </c>
      <c r="J472" s="7">
        <v>0.72</v>
      </c>
      <c r="K472" s="1" t="s">
        <v>7868</v>
      </c>
      <c r="L472" s="2">
        <v>0.64800000000000002</v>
      </c>
      <c r="M472" s="2">
        <f>77232/100000</f>
        <v>0.77232000000000001</v>
      </c>
      <c r="N472" s="2">
        <v>0.82929589999999997</v>
      </c>
      <c r="O472" s="3" t="s">
        <v>7869</v>
      </c>
      <c r="P472" s="7">
        <v>0.86</v>
      </c>
      <c r="Q472" s="1" t="s">
        <v>6701</v>
      </c>
      <c r="R472" s="2">
        <v>0.80200000000000005</v>
      </c>
      <c r="S472" s="2">
        <f>100000/100000</f>
        <v>1</v>
      </c>
      <c r="T472" s="2">
        <v>0.82929589999999997</v>
      </c>
    </row>
    <row r="473" spans="1:20">
      <c r="A473" s="3" t="s">
        <v>4083</v>
      </c>
      <c r="B473" s="1" t="s">
        <v>4084</v>
      </c>
      <c r="C473" s="3" t="s">
        <v>4085</v>
      </c>
      <c r="D473" s="3" t="s">
        <v>4086</v>
      </c>
      <c r="E473" s="3" t="s">
        <v>4087</v>
      </c>
      <c r="F473" s="3" t="s">
        <v>4088</v>
      </c>
      <c r="G473" s="3" t="s">
        <v>4089</v>
      </c>
      <c r="H473" s="14" t="s">
        <v>8114</v>
      </c>
      <c r="I473" s="3" t="s">
        <v>7870</v>
      </c>
      <c r="J473" s="7">
        <v>0.9</v>
      </c>
      <c r="K473" s="1" t="s">
        <v>7871</v>
      </c>
      <c r="L473" s="2">
        <v>0.77900000000000003</v>
      </c>
      <c r="M473" s="2">
        <f>86361/100000</f>
        <v>0.86360999999999999</v>
      </c>
      <c r="N473" s="2">
        <v>0.82929589999999997</v>
      </c>
      <c r="O473" s="3" t="s">
        <v>7872</v>
      </c>
      <c r="P473" s="7">
        <v>1</v>
      </c>
      <c r="Q473" s="1" t="s">
        <v>7873</v>
      </c>
      <c r="R473" s="2">
        <v>0.99299999999999999</v>
      </c>
      <c r="S473" s="2">
        <f>100000/100000</f>
        <v>1</v>
      </c>
      <c r="T473" s="2">
        <v>0.82929589999999997</v>
      </c>
    </row>
    <row r="474" spans="1:20">
      <c r="A474" s="3" t="s">
        <v>4094</v>
      </c>
      <c r="B474" s="1" t="s">
        <v>4084</v>
      </c>
      <c r="C474" s="3" t="s">
        <v>4085</v>
      </c>
      <c r="D474" s="3" t="s">
        <v>4095</v>
      </c>
      <c r="E474" s="3" t="s">
        <v>4096</v>
      </c>
      <c r="F474" s="3" t="s">
        <v>4097</v>
      </c>
      <c r="G474" s="3" t="s">
        <v>4098</v>
      </c>
      <c r="H474" s="14" t="s">
        <v>8114</v>
      </c>
      <c r="I474" s="3" t="s">
        <v>7874</v>
      </c>
      <c r="J474" s="7">
        <v>0.78</v>
      </c>
      <c r="K474" s="1" t="s">
        <v>7875</v>
      </c>
      <c r="L474" s="2">
        <v>0.45300000000000001</v>
      </c>
      <c r="M474" s="2">
        <f>54540/100000</f>
        <v>0.5454</v>
      </c>
      <c r="N474" s="2">
        <v>0.74606439999999996</v>
      </c>
      <c r="O474" s="3" t="s">
        <v>7876</v>
      </c>
      <c r="P474" s="7">
        <v>1.1200000000000001</v>
      </c>
      <c r="Q474" s="1" t="s">
        <v>7877</v>
      </c>
      <c r="R474" s="2">
        <v>0.69599999999999995</v>
      </c>
      <c r="S474" s="2">
        <f>76446/100000</f>
        <v>0.76446000000000003</v>
      </c>
      <c r="T474" s="2">
        <v>0.82929589999999997</v>
      </c>
    </row>
    <row r="475" spans="1:20">
      <c r="A475" s="3" t="s">
        <v>4103</v>
      </c>
      <c r="B475" s="1" t="s">
        <v>4084</v>
      </c>
      <c r="C475" s="3" t="s">
        <v>4085</v>
      </c>
      <c r="D475" s="3" t="s">
        <v>4104</v>
      </c>
      <c r="E475" s="3" t="s">
        <v>4105</v>
      </c>
      <c r="F475" s="3" t="s">
        <v>4106</v>
      </c>
      <c r="G475" s="3" t="s">
        <v>4107</v>
      </c>
      <c r="H475" s="11" t="s">
        <v>8114</v>
      </c>
      <c r="I475" s="3" t="s">
        <v>7878</v>
      </c>
      <c r="J475" s="7">
        <v>1.39</v>
      </c>
      <c r="K475" s="1" t="s">
        <v>7879</v>
      </c>
      <c r="L475" s="2">
        <v>0.214</v>
      </c>
      <c r="M475" s="2">
        <f>21589/100000</f>
        <v>0.21589</v>
      </c>
      <c r="N475" s="2">
        <v>0.50878900000000005</v>
      </c>
      <c r="O475" s="3" t="s">
        <v>7880</v>
      </c>
      <c r="P475" s="7">
        <v>1.44</v>
      </c>
      <c r="Q475" s="1" t="s">
        <v>7881</v>
      </c>
      <c r="R475" s="2">
        <v>0.114</v>
      </c>
      <c r="S475" s="2">
        <f>13173/100000</f>
        <v>0.13173000000000001</v>
      </c>
      <c r="T475" s="2">
        <v>0.40060279999999998</v>
      </c>
    </row>
    <row r="476" spans="1:20">
      <c r="A476" s="3" t="s">
        <v>4112</v>
      </c>
      <c r="B476" s="1" t="s">
        <v>4084</v>
      </c>
      <c r="C476" s="3" t="s">
        <v>4085</v>
      </c>
      <c r="D476" s="3" t="s">
        <v>4113</v>
      </c>
      <c r="E476" s="3" t="s">
        <v>4114</v>
      </c>
      <c r="F476" s="3" t="s">
        <v>4115</v>
      </c>
      <c r="G476" s="3" t="s">
        <v>4116</v>
      </c>
      <c r="H476" s="11" t="s">
        <v>8114</v>
      </c>
      <c r="I476" s="3" t="s">
        <v>7882</v>
      </c>
      <c r="J476" s="7">
        <v>1.02</v>
      </c>
      <c r="K476" s="1" t="s">
        <v>7883</v>
      </c>
      <c r="L476" s="2">
        <v>0.93600000000000005</v>
      </c>
      <c r="M476" s="2">
        <f>100000/100000</f>
        <v>1</v>
      </c>
      <c r="N476" s="2">
        <v>0.82929589999999997</v>
      </c>
      <c r="O476" s="3" t="s">
        <v>7884</v>
      </c>
      <c r="P476" s="7">
        <v>2.02</v>
      </c>
      <c r="Q476" s="1" t="s">
        <v>7885</v>
      </c>
      <c r="R476" s="2">
        <v>6.7100000000000005E-4</v>
      </c>
      <c r="S476" s="2">
        <f>160/100000</f>
        <v>1.6000000000000001E-3</v>
      </c>
      <c r="T476" s="2">
        <v>2.294972E-2</v>
      </c>
    </row>
    <row r="477" spans="1:20">
      <c r="A477" s="3" t="s">
        <v>4121</v>
      </c>
      <c r="B477" s="1" t="s">
        <v>4122</v>
      </c>
      <c r="C477" s="3" t="s">
        <v>4123</v>
      </c>
      <c r="D477" s="3" t="s">
        <v>4124</v>
      </c>
      <c r="E477" s="3" t="s">
        <v>4125</v>
      </c>
      <c r="F477" s="3" t="s">
        <v>4126</v>
      </c>
      <c r="G477" s="3" t="s">
        <v>4127</v>
      </c>
      <c r="H477" s="11" t="s">
        <v>8158</v>
      </c>
      <c r="I477" s="3" t="s">
        <v>7886</v>
      </c>
      <c r="J477" s="7">
        <v>0.99</v>
      </c>
      <c r="K477" s="1" t="s">
        <v>7887</v>
      </c>
      <c r="L477" s="2">
        <v>0.97499999999999998</v>
      </c>
      <c r="M477" s="2">
        <f>100000/100000</f>
        <v>1</v>
      </c>
      <c r="N477" s="2">
        <v>0.82929589999999997</v>
      </c>
      <c r="O477" s="3" t="s">
        <v>7888</v>
      </c>
      <c r="P477" s="7">
        <v>1.17</v>
      </c>
      <c r="Q477" s="1" t="s">
        <v>7889</v>
      </c>
      <c r="R477" s="2">
        <v>0.56100000000000005</v>
      </c>
      <c r="S477" s="2">
        <f>65852/100000</f>
        <v>0.65851999999999999</v>
      </c>
      <c r="T477" s="2">
        <v>0.80511429999999995</v>
      </c>
    </row>
    <row r="478" spans="1:20">
      <c r="A478" s="3" t="s">
        <v>4132</v>
      </c>
      <c r="B478" s="1" t="s">
        <v>4133</v>
      </c>
      <c r="C478" s="3" t="s">
        <v>4134</v>
      </c>
      <c r="D478" s="3" t="s">
        <v>4135</v>
      </c>
      <c r="E478" s="5" t="s">
        <v>4136</v>
      </c>
      <c r="F478" s="3" t="s">
        <v>4137</v>
      </c>
      <c r="G478" s="5" t="s">
        <v>4138</v>
      </c>
      <c r="H478" s="11" t="s">
        <v>8247</v>
      </c>
      <c r="I478" s="3" t="s">
        <v>7890</v>
      </c>
      <c r="J478" s="7">
        <v>1.1100000000000001</v>
      </c>
      <c r="K478" s="1" t="s">
        <v>7891</v>
      </c>
      <c r="L478" s="2">
        <v>0.755</v>
      </c>
      <c r="M478" s="2">
        <f>86573/100000</f>
        <v>0.86573</v>
      </c>
      <c r="N478" s="2">
        <v>0.82929589999999997</v>
      </c>
      <c r="O478" s="3" t="s">
        <v>7892</v>
      </c>
      <c r="P478" s="7">
        <v>1.2</v>
      </c>
      <c r="Q478" s="1" t="s">
        <v>7893</v>
      </c>
      <c r="R478" s="2">
        <v>0.54200000000000004</v>
      </c>
      <c r="S478" s="2">
        <f>62866/100000</f>
        <v>0.62866</v>
      </c>
      <c r="T478" s="2">
        <v>0.79869500000000004</v>
      </c>
    </row>
    <row r="479" spans="1:20">
      <c r="A479" s="3" t="s">
        <v>4143</v>
      </c>
      <c r="B479" s="1" t="s">
        <v>4133</v>
      </c>
      <c r="C479" s="3" t="s">
        <v>4134</v>
      </c>
      <c r="D479" s="3" t="s">
        <v>4144</v>
      </c>
      <c r="E479" s="5" t="s">
        <v>4145</v>
      </c>
      <c r="F479" s="3" t="s">
        <v>4137</v>
      </c>
      <c r="G479" s="5" t="s">
        <v>4138</v>
      </c>
      <c r="H479" s="11" t="s">
        <v>8159</v>
      </c>
      <c r="I479" s="3" t="s">
        <v>7894</v>
      </c>
      <c r="J479" s="7">
        <v>0.71</v>
      </c>
      <c r="K479" s="1" t="s">
        <v>7895</v>
      </c>
      <c r="L479" s="2">
        <v>0.22700000000000001</v>
      </c>
      <c r="M479" s="2">
        <f>26846/100000</f>
        <v>0.26845999999999998</v>
      </c>
      <c r="N479" s="2">
        <v>0.56620890000000001</v>
      </c>
      <c r="O479" s="3" t="s">
        <v>7896</v>
      </c>
      <c r="P479" s="7">
        <v>1.23</v>
      </c>
      <c r="Q479" s="1" t="s">
        <v>7897</v>
      </c>
      <c r="R479" s="2">
        <v>0.36099999999999999</v>
      </c>
      <c r="S479" s="2">
        <f>39518/100000</f>
        <v>0.39517999999999998</v>
      </c>
      <c r="T479" s="2">
        <v>0.65983250000000004</v>
      </c>
    </row>
    <row r="480" spans="1:20">
      <c r="A480" s="3" t="s">
        <v>4150</v>
      </c>
      <c r="B480" s="1" t="s">
        <v>4133</v>
      </c>
      <c r="C480" s="3" t="s">
        <v>4134</v>
      </c>
      <c r="D480" s="3" t="s">
        <v>4151</v>
      </c>
      <c r="E480" s="5" t="s">
        <v>4152</v>
      </c>
      <c r="F480" s="3" t="s">
        <v>4137</v>
      </c>
      <c r="G480" s="5" t="s">
        <v>4138</v>
      </c>
      <c r="H480" s="11" t="s">
        <v>8248</v>
      </c>
      <c r="I480" s="3" t="s">
        <v>7898</v>
      </c>
      <c r="J480" s="7">
        <v>0.62</v>
      </c>
      <c r="K480" s="1" t="s">
        <v>7899</v>
      </c>
      <c r="L480" s="2">
        <v>2.3800000000000002E-2</v>
      </c>
      <c r="M480" s="2">
        <f>2719/100000</f>
        <v>2.7189999999999999E-2</v>
      </c>
      <c r="N480" s="2">
        <v>0.16930619999999999</v>
      </c>
      <c r="O480" s="3" t="s">
        <v>7900</v>
      </c>
      <c r="P480" s="7">
        <v>1.38</v>
      </c>
      <c r="Q480" s="1" t="s">
        <v>7901</v>
      </c>
      <c r="R480" s="2">
        <v>7.8E-2</v>
      </c>
      <c r="S480" s="2">
        <f>9205/100000</f>
        <v>9.2050000000000007E-2</v>
      </c>
      <c r="T480" s="2">
        <v>0.34738940000000001</v>
      </c>
    </row>
    <row r="481" spans="1:20">
      <c r="A481" s="3" t="s">
        <v>4157</v>
      </c>
      <c r="B481" s="1" t="s">
        <v>4133</v>
      </c>
      <c r="C481" s="3" t="s">
        <v>4134</v>
      </c>
      <c r="D481" s="3" t="s">
        <v>4158</v>
      </c>
      <c r="E481" s="5" t="s">
        <v>4159</v>
      </c>
      <c r="F481" s="3" t="s">
        <v>4137</v>
      </c>
      <c r="G481" s="5" t="s">
        <v>4138</v>
      </c>
      <c r="H481" s="11" t="s">
        <v>8051</v>
      </c>
      <c r="I481" s="3" t="s">
        <v>7902</v>
      </c>
      <c r="J481" s="7">
        <v>0.57999999999999996</v>
      </c>
      <c r="K481" s="1" t="s">
        <v>7903</v>
      </c>
      <c r="L481" s="2">
        <v>0.218</v>
      </c>
      <c r="M481" s="2">
        <f>28747/100000</f>
        <v>0.28747</v>
      </c>
      <c r="N481" s="2">
        <v>0.57658259999999995</v>
      </c>
      <c r="O481" s="3" t="s">
        <v>7904</v>
      </c>
      <c r="P481" s="7">
        <v>1.74</v>
      </c>
      <c r="Q481" s="1" t="s">
        <v>7905</v>
      </c>
      <c r="R481" s="2">
        <v>3.7999999999999999E-2</v>
      </c>
      <c r="S481" s="2">
        <f>4057/100000</f>
        <v>4.0570000000000002E-2</v>
      </c>
      <c r="T481" s="2">
        <v>0.21413370000000001</v>
      </c>
    </row>
    <row r="482" spans="1:20">
      <c r="A482" s="3" t="s">
        <v>4164</v>
      </c>
      <c r="B482" s="1" t="s">
        <v>4165</v>
      </c>
      <c r="C482" s="3" t="s">
        <v>4166</v>
      </c>
      <c r="D482" s="3" t="s">
        <v>4167</v>
      </c>
      <c r="E482" s="3" t="s">
        <v>4168</v>
      </c>
      <c r="F482" s="3" t="s">
        <v>4169</v>
      </c>
      <c r="G482" s="3" t="s">
        <v>4170</v>
      </c>
      <c r="H482" s="11" t="s">
        <v>8150</v>
      </c>
      <c r="I482" s="3" t="s">
        <v>7906</v>
      </c>
      <c r="J482" s="7">
        <v>1.29</v>
      </c>
      <c r="K482" s="1" t="s">
        <v>7907</v>
      </c>
      <c r="L482" s="2">
        <v>0.26700000000000002</v>
      </c>
      <c r="M482" s="2">
        <f>30712/100000</f>
        <v>0.30712</v>
      </c>
      <c r="N482" s="2">
        <v>0.59488490000000005</v>
      </c>
      <c r="O482" s="3" t="s">
        <v>7908</v>
      </c>
      <c r="P482" s="7">
        <v>1.59</v>
      </c>
      <c r="Q482" s="1" t="s">
        <v>7909</v>
      </c>
      <c r="R482" s="2">
        <v>4.07E-2</v>
      </c>
      <c r="S482" s="2">
        <f>5053/100000</f>
        <v>5.0529999999999999E-2</v>
      </c>
      <c r="T482" s="2">
        <v>0.24235280000000001</v>
      </c>
    </row>
    <row r="483" spans="1:20">
      <c r="A483" s="3" t="s">
        <v>4175</v>
      </c>
      <c r="B483" s="1" t="s">
        <v>4176</v>
      </c>
      <c r="C483" s="3" t="s">
        <v>4177</v>
      </c>
      <c r="D483" s="3" t="s">
        <v>4178</v>
      </c>
      <c r="E483" s="3" t="s">
        <v>4179</v>
      </c>
      <c r="F483" s="3" t="s">
        <v>4180</v>
      </c>
      <c r="G483" s="3" t="s">
        <v>4181</v>
      </c>
      <c r="H483" s="11" t="s">
        <v>8249</v>
      </c>
      <c r="I483" s="3" t="s">
        <v>7910</v>
      </c>
      <c r="J483" s="7">
        <v>1.1100000000000001</v>
      </c>
      <c r="K483" s="1" t="s">
        <v>7891</v>
      </c>
      <c r="L483" s="2">
        <v>0.752</v>
      </c>
      <c r="M483" s="2">
        <f>86367/100000</f>
        <v>0.86367000000000005</v>
      </c>
      <c r="N483" s="2">
        <v>0.82929589999999997</v>
      </c>
      <c r="O483" s="3" t="s">
        <v>7911</v>
      </c>
      <c r="P483" s="7">
        <v>1.1200000000000001</v>
      </c>
      <c r="Q483" s="1" t="s">
        <v>7912</v>
      </c>
      <c r="R483" s="2">
        <v>0.73299999999999998</v>
      </c>
      <c r="S483" s="2">
        <f>85623/100000</f>
        <v>0.85623000000000005</v>
      </c>
      <c r="T483" s="2">
        <v>0.82929589999999997</v>
      </c>
    </row>
    <row r="484" spans="1:20">
      <c r="A484" s="3" t="s">
        <v>4186</v>
      </c>
      <c r="B484" s="1" t="s">
        <v>4187</v>
      </c>
      <c r="C484" s="3" t="s">
        <v>4188</v>
      </c>
      <c r="D484" s="3" t="s">
        <v>4189</v>
      </c>
      <c r="E484" s="3" t="s">
        <v>4190</v>
      </c>
      <c r="F484" s="3" t="s">
        <v>4191</v>
      </c>
      <c r="G484" s="3" t="s">
        <v>4192</v>
      </c>
      <c r="H484" s="11" t="s">
        <v>8250</v>
      </c>
      <c r="I484" s="3" t="s">
        <v>7913</v>
      </c>
      <c r="J484" s="7">
        <v>0.99</v>
      </c>
      <c r="K484" s="1" t="s">
        <v>7914</v>
      </c>
      <c r="L484" s="2">
        <v>0.99099999999999999</v>
      </c>
      <c r="M484" s="2">
        <f>100000/100000</f>
        <v>1</v>
      </c>
      <c r="N484" s="2">
        <v>0.82929589999999997</v>
      </c>
      <c r="O484" s="3" t="s">
        <v>7915</v>
      </c>
      <c r="P484" s="7">
        <v>1.35</v>
      </c>
      <c r="Q484" s="1" t="s">
        <v>7916</v>
      </c>
      <c r="R484" s="2">
        <v>0.50900000000000001</v>
      </c>
      <c r="S484" s="2">
        <f>59207/100000</f>
        <v>0.59206999999999999</v>
      </c>
      <c r="T484" s="2">
        <v>0.77707570000000004</v>
      </c>
    </row>
    <row r="485" spans="1:20">
      <c r="A485" s="3" t="s">
        <v>4197</v>
      </c>
      <c r="B485" s="1" t="s">
        <v>4198</v>
      </c>
      <c r="C485" s="3" t="s">
        <v>4199</v>
      </c>
      <c r="D485" s="3" t="s">
        <v>4200</v>
      </c>
      <c r="E485" s="3" t="s">
        <v>4201</v>
      </c>
      <c r="F485" s="3" t="s">
        <v>4202</v>
      </c>
      <c r="G485" s="3" t="s">
        <v>4203</v>
      </c>
      <c r="H485" s="11" t="s">
        <v>8251</v>
      </c>
      <c r="I485" s="3" t="s">
        <v>7917</v>
      </c>
      <c r="J485" s="7">
        <v>1.1599999999999999</v>
      </c>
      <c r="K485" s="1" t="s">
        <v>2746</v>
      </c>
      <c r="L485" s="2">
        <v>0.64100000000000001</v>
      </c>
      <c r="M485" s="2">
        <f>72775/100000</f>
        <v>0.72775000000000001</v>
      </c>
      <c r="N485" s="2">
        <v>0.82137769999999999</v>
      </c>
      <c r="O485" s="3" t="s">
        <v>7918</v>
      </c>
      <c r="P485" s="7">
        <v>0.68</v>
      </c>
      <c r="Q485" s="1" t="s">
        <v>7919</v>
      </c>
      <c r="R485" s="2">
        <v>0.26</v>
      </c>
      <c r="S485" s="2">
        <f>31731/100000</f>
        <v>0.31730999999999998</v>
      </c>
      <c r="T485" s="2">
        <v>0.6024408</v>
      </c>
    </row>
    <row r="486" spans="1:20">
      <c r="A486" s="3" t="s">
        <v>4208</v>
      </c>
      <c r="B486" s="1" t="s">
        <v>4209</v>
      </c>
      <c r="C486" s="3" t="s">
        <v>4210</v>
      </c>
      <c r="D486" s="3" t="s">
        <v>4211</v>
      </c>
      <c r="E486" s="3" t="s">
        <v>4212</v>
      </c>
      <c r="F486" s="3" t="s">
        <v>4213</v>
      </c>
      <c r="G486" s="3" t="s">
        <v>4214</v>
      </c>
      <c r="H486" s="11" t="s">
        <v>8252</v>
      </c>
      <c r="I486" s="3" t="s">
        <v>7920</v>
      </c>
      <c r="J486" s="7">
        <v>1.1299999999999999</v>
      </c>
      <c r="K486" s="1" t="s">
        <v>7921</v>
      </c>
      <c r="L486" s="2">
        <v>0.51800000000000002</v>
      </c>
      <c r="M486" s="2">
        <f>54501/100000</f>
        <v>0.54500999999999999</v>
      </c>
      <c r="N486" s="2">
        <v>0.74606439999999996</v>
      </c>
      <c r="O486" s="3" t="s">
        <v>7922</v>
      </c>
      <c r="P486" s="7">
        <v>1.31</v>
      </c>
      <c r="Q486" s="1" t="s">
        <v>7923</v>
      </c>
      <c r="R486" s="2">
        <v>0.23799999999999999</v>
      </c>
      <c r="S486" s="2">
        <f>24767/100000</f>
        <v>0.24767</v>
      </c>
      <c r="T486" s="2">
        <v>0.55033710000000002</v>
      </c>
    </row>
    <row r="487" spans="1:20">
      <c r="A487" s="3" t="s">
        <v>4219</v>
      </c>
      <c r="B487" s="1" t="s">
        <v>4220</v>
      </c>
      <c r="C487" s="3" t="s">
        <v>4221</v>
      </c>
      <c r="D487" s="3" t="s">
        <v>4222</v>
      </c>
      <c r="E487" s="3" t="s">
        <v>4223</v>
      </c>
      <c r="F487" s="3" t="s">
        <v>4224</v>
      </c>
      <c r="G487" s="3" t="s">
        <v>4225</v>
      </c>
      <c r="H487" s="11" t="s">
        <v>8121</v>
      </c>
      <c r="I487" s="3" t="s">
        <v>7924</v>
      </c>
      <c r="J487" s="7">
        <v>1.4</v>
      </c>
      <c r="K487" s="1" t="s">
        <v>7925</v>
      </c>
      <c r="L487" s="2">
        <v>0.27800000000000002</v>
      </c>
      <c r="M487" s="2">
        <f>36383/100000</f>
        <v>0.36382999999999999</v>
      </c>
      <c r="N487" s="2">
        <v>0.64187499999999997</v>
      </c>
      <c r="O487" s="3" t="s">
        <v>7926</v>
      </c>
      <c r="P487" s="7">
        <v>1.6</v>
      </c>
      <c r="Q487" s="1" t="s">
        <v>7927</v>
      </c>
      <c r="R487" s="2">
        <v>0.13300000000000001</v>
      </c>
      <c r="S487" s="2">
        <f>17033/100000</f>
        <v>0.17033000000000001</v>
      </c>
      <c r="T487" s="2">
        <v>0.4546615</v>
      </c>
    </row>
    <row r="488" spans="1:20">
      <c r="A488" s="3" t="s">
        <v>4230</v>
      </c>
      <c r="B488" s="1" t="s">
        <v>4231</v>
      </c>
      <c r="C488" s="3" t="s">
        <v>4232</v>
      </c>
      <c r="D488" s="3" t="s">
        <v>4233</v>
      </c>
      <c r="E488" s="3" t="s">
        <v>2850</v>
      </c>
      <c r="F488" s="3" t="s">
        <v>4234</v>
      </c>
      <c r="G488" s="3" t="s">
        <v>4235</v>
      </c>
      <c r="H488" s="11" t="s">
        <v>8253</v>
      </c>
      <c r="I488" s="3" t="s">
        <v>7928</v>
      </c>
      <c r="J488" s="7">
        <v>1.97</v>
      </c>
      <c r="K488" s="1" t="s">
        <v>7929</v>
      </c>
      <c r="L488" s="2">
        <v>0.252</v>
      </c>
      <c r="M488" s="2">
        <f>40935/100000</f>
        <v>0.40934999999999999</v>
      </c>
      <c r="N488" s="2">
        <v>0.67049360000000002</v>
      </c>
      <c r="O488" s="3" t="s">
        <v>7930</v>
      </c>
      <c r="P488" s="7">
        <v>0.93</v>
      </c>
      <c r="Q488" s="1" t="s">
        <v>4829</v>
      </c>
      <c r="R488" s="2">
        <v>0.92100000000000004</v>
      </c>
      <c r="S488" s="2">
        <f>100000/100000</f>
        <v>1</v>
      </c>
      <c r="T488" s="2">
        <v>0.82929589999999997</v>
      </c>
    </row>
    <row r="489" spans="1:20">
      <c r="A489" s="3" t="s">
        <v>4240</v>
      </c>
      <c r="B489" s="1" t="s">
        <v>4231</v>
      </c>
      <c r="C489" s="3" t="s">
        <v>4232</v>
      </c>
      <c r="D489" s="3" t="s">
        <v>4241</v>
      </c>
      <c r="E489" s="3" t="s">
        <v>4242</v>
      </c>
      <c r="F489" s="3" t="s">
        <v>4233</v>
      </c>
      <c r="G489" s="3" t="s">
        <v>2850</v>
      </c>
      <c r="H489" s="11" t="s">
        <v>8116</v>
      </c>
      <c r="I489" s="3" t="s">
        <v>7931</v>
      </c>
      <c r="J489" s="7">
        <v>0.46</v>
      </c>
      <c r="K489" s="1" t="s">
        <v>7932</v>
      </c>
      <c r="L489" s="2">
        <v>0.42499999999999999</v>
      </c>
      <c r="M489" s="2">
        <f>52860/100000</f>
        <v>0.52859999999999996</v>
      </c>
      <c r="N489" s="2">
        <v>0.74478149999999999</v>
      </c>
      <c r="O489" s="3" t="s">
        <v>7933</v>
      </c>
      <c r="P489" s="7">
        <v>2.44</v>
      </c>
      <c r="Q489" s="1" t="s">
        <v>7934</v>
      </c>
      <c r="R489" s="2">
        <v>3.2500000000000001E-2</v>
      </c>
      <c r="S489" s="2">
        <f>4497/100000</f>
        <v>4.4970000000000003E-2</v>
      </c>
      <c r="T489" s="2">
        <v>0.22788459999999999</v>
      </c>
    </row>
    <row r="490" spans="1:20">
      <c r="A490" s="3" t="s">
        <v>4247</v>
      </c>
      <c r="B490" s="1" t="s">
        <v>4231</v>
      </c>
      <c r="C490" s="3" t="s">
        <v>4232</v>
      </c>
      <c r="D490" s="3" t="s">
        <v>4248</v>
      </c>
      <c r="E490" s="3" t="s">
        <v>4249</v>
      </c>
      <c r="F490" s="3" t="s">
        <v>4233</v>
      </c>
      <c r="G490" s="3" t="s">
        <v>2850</v>
      </c>
      <c r="H490" s="11" t="s">
        <v>8116</v>
      </c>
      <c r="I490" s="3" t="s">
        <v>7935</v>
      </c>
      <c r="J490" s="7">
        <v>1.62</v>
      </c>
      <c r="K490" s="1" t="s">
        <v>7936</v>
      </c>
      <c r="L490" s="2">
        <v>0.34799999999999998</v>
      </c>
      <c r="M490" s="2">
        <f>51962/100000</f>
        <v>0.51961999999999997</v>
      </c>
      <c r="N490" s="2">
        <v>0.74478149999999999</v>
      </c>
      <c r="O490" s="3" t="s">
        <v>7937</v>
      </c>
      <c r="P490" s="7">
        <v>1.26</v>
      </c>
      <c r="Q490" s="1" t="s">
        <v>7178</v>
      </c>
      <c r="R490" s="2">
        <v>0.65300000000000002</v>
      </c>
      <c r="S490" s="2">
        <f>77227/100000</f>
        <v>0.77227000000000001</v>
      </c>
      <c r="T490" s="2">
        <v>0.82929589999999997</v>
      </c>
    </row>
    <row r="491" spans="1:20">
      <c r="A491" s="3" t="s">
        <v>4254</v>
      </c>
      <c r="B491" s="1" t="s">
        <v>4255</v>
      </c>
      <c r="C491" s="3" t="s">
        <v>4256</v>
      </c>
      <c r="D491" s="3" t="s">
        <v>4257</v>
      </c>
      <c r="E491" s="3" t="s">
        <v>4258</v>
      </c>
      <c r="F491" s="3" t="s">
        <v>4259</v>
      </c>
      <c r="G491" s="3" t="s">
        <v>4260</v>
      </c>
      <c r="H491" s="11" t="s">
        <v>8117</v>
      </c>
      <c r="I491" s="3" t="s">
        <v>7938</v>
      </c>
      <c r="J491" s="7">
        <v>1.61</v>
      </c>
      <c r="K491" s="1" t="s">
        <v>7099</v>
      </c>
      <c r="L491" s="2">
        <v>1.5699999999999999E-2</v>
      </c>
      <c r="M491" s="2">
        <f>2051/100000</f>
        <v>2.051E-2</v>
      </c>
      <c r="N491" s="2">
        <v>0.1414184</v>
      </c>
      <c r="O491" s="3" t="s">
        <v>7939</v>
      </c>
      <c r="P491" s="7">
        <v>0.94</v>
      </c>
      <c r="Q491" s="1" t="s">
        <v>7940</v>
      </c>
      <c r="R491" s="2">
        <v>0.77100000000000002</v>
      </c>
      <c r="S491" s="2">
        <f>82589/100000</f>
        <v>0.82589000000000001</v>
      </c>
      <c r="T491" s="2">
        <v>0.82929589999999997</v>
      </c>
    </row>
    <row r="492" spans="1:20">
      <c r="A492" s="3" t="s">
        <v>4265</v>
      </c>
      <c r="B492" s="1" t="s">
        <v>4255</v>
      </c>
      <c r="C492" s="3" t="s">
        <v>4256</v>
      </c>
      <c r="D492" s="3" t="s">
        <v>4266</v>
      </c>
      <c r="E492" s="3" t="s">
        <v>4267</v>
      </c>
      <c r="F492" s="3" t="s">
        <v>4268</v>
      </c>
      <c r="G492" s="3" t="s">
        <v>4269</v>
      </c>
      <c r="H492" s="11" t="s">
        <v>8117</v>
      </c>
      <c r="I492" s="3" t="s">
        <v>7941</v>
      </c>
      <c r="J492" s="7">
        <v>1.35</v>
      </c>
      <c r="K492" s="1" t="s">
        <v>7942</v>
      </c>
      <c r="L492" s="2">
        <v>1.7399999999999999E-2</v>
      </c>
      <c r="M492" s="2">
        <f>1859/100000</f>
        <v>1.8589999999999999E-2</v>
      </c>
      <c r="N492" s="2">
        <v>0.13302369999999999</v>
      </c>
      <c r="O492" s="3" t="s">
        <v>7943</v>
      </c>
      <c r="P492" s="7">
        <v>0.57999999999999996</v>
      </c>
      <c r="Q492" s="1" t="s">
        <v>7944</v>
      </c>
      <c r="R492" s="2">
        <v>8.4100000000000008E-3</v>
      </c>
      <c r="S492" s="2">
        <f>1039/100000</f>
        <v>1.039E-2</v>
      </c>
      <c r="T492" s="2">
        <v>8.9604030000000001E-2</v>
      </c>
    </row>
    <row r="493" spans="1:20">
      <c r="A493" s="3" t="s">
        <v>4274</v>
      </c>
      <c r="B493" s="1" t="s">
        <v>4275</v>
      </c>
      <c r="C493" s="3" t="s">
        <v>4276</v>
      </c>
      <c r="D493" s="3" t="s">
        <v>4277</v>
      </c>
      <c r="E493" s="3" t="s">
        <v>4278</v>
      </c>
      <c r="F493" s="3" t="s">
        <v>4279</v>
      </c>
      <c r="G493" s="3" t="s">
        <v>4280</v>
      </c>
      <c r="H493" s="11" t="s">
        <v>8241</v>
      </c>
      <c r="I493" s="3" t="s">
        <v>7945</v>
      </c>
      <c r="J493" s="7">
        <v>1.55</v>
      </c>
      <c r="K493" s="1" t="s">
        <v>7946</v>
      </c>
      <c r="L493" s="2">
        <v>6.3799999999999996E-2</v>
      </c>
      <c r="M493" s="2">
        <f>7957/100000</f>
        <v>7.9570000000000002E-2</v>
      </c>
      <c r="N493" s="2">
        <v>0.31784289999999998</v>
      </c>
      <c r="O493" s="3" t="s">
        <v>7947</v>
      </c>
      <c r="P493" s="7">
        <v>0.93</v>
      </c>
      <c r="Q493" s="1" t="s">
        <v>1469</v>
      </c>
      <c r="R493" s="2">
        <v>0.80100000000000005</v>
      </c>
      <c r="S493" s="2">
        <f>88913/100000</f>
        <v>0.88912999999999998</v>
      </c>
      <c r="T493" s="2">
        <v>0.82929589999999997</v>
      </c>
    </row>
    <row r="494" spans="1:20">
      <c r="A494" s="3" t="s">
        <v>4285</v>
      </c>
      <c r="B494" s="1" t="s">
        <v>4286</v>
      </c>
      <c r="C494" s="3" t="s">
        <v>4287</v>
      </c>
      <c r="D494" s="3" t="s">
        <v>4288</v>
      </c>
      <c r="E494" s="3" t="s">
        <v>4289</v>
      </c>
      <c r="F494" s="3" t="s">
        <v>4290</v>
      </c>
      <c r="G494" s="3" t="s">
        <v>4291</v>
      </c>
      <c r="H494" s="11" t="s">
        <v>8254</v>
      </c>
      <c r="I494" s="3" t="s">
        <v>7948</v>
      </c>
      <c r="J494" s="7">
        <v>1.24</v>
      </c>
      <c r="K494" s="1" t="s">
        <v>7949</v>
      </c>
      <c r="L494" s="2">
        <v>0.46800000000000003</v>
      </c>
      <c r="M494" s="2">
        <f>50907/100000</f>
        <v>0.50907000000000002</v>
      </c>
      <c r="N494" s="2">
        <v>0.74084890000000003</v>
      </c>
      <c r="O494" s="3" t="s">
        <v>7950</v>
      </c>
      <c r="P494" s="7">
        <v>1.53</v>
      </c>
      <c r="Q494" s="1" t="s">
        <v>7951</v>
      </c>
      <c r="R494" s="2">
        <v>0.17299999999999999</v>
      </c>
      <c r="S494" s="2">
        <f>18148/100000</f>
        <v>0.18148</v>
      </c>
      <c r="T494" s="2">
        <v>0.4703618</v>
      </c>
    </row>
    <row r="495" spans="1:20">
      <c r="A495" s="3" t="s">
        <v>4296</v>
      </c>
      <c r="B495" s="1" t="s">
        <v>4286</v>
      </c>
      <c r="C495" s="3" t="s">
        <v>4287</v>
      </c>
      <c r="D495" s="3" t="s">
        <v>4297</v>
      </c>
      <c r="E495" s="3" t="s">
        <v>4298</v>
      </c>
      <c r="F495" s="3" t="s">
        <v>4299</v>
      </c>
      <c r="G495" s="3" t="s">
        <v>4300</v>
      </c>
      <c r="H495" s="11" t="s">
        <v>8255</v>
      </c>
      <c r="I495" s="3" t="s">
        <v>7952</v>
      </c>
      <c r="J495" s="7">
        <v>1.08</v>
      </c>
      <c r="K495" s="1" t="s">
        <v>1063</v>
      </c>
      <c r="L495" s="2">
        <v>0.66700000000000004</v>
      </c>
      <c r="M495" s="2">
        <f>72019/100000</f>
        <v>0.72019</v>
      </c>
      <c r="N495" s="2">
        <v>0.82137769999999999</v>
      </c>
      <c r="O495" s="3" t="s">
        <v>7953</v>
      </c>
      <c r="P495" s="7">
        <v>0.72</v>
      </c>
      <c r="Q495" s="1" t="s">
        <v>7954</v>
      </c>
      <c r="R495" s="2">
        <v>0.11</v>
      </c>
      <c r="S495" s="2">
        <f>12094/100000</f>
        <v>0.12094000000000001</v>
      </c>
      <c r="T495" s="2">
        <v>0.38544349999999999</v>
      </c>
    </row>
    <row r="496" spans="1:20">
      <c r="A496" s="3" t="s">
        <v>4305</v>
      </c>
      <c r="B496" s="1" t="s">
        <v>4306</v>
      </c>
      <c r="C496" s="3" t="s">
        <v>4307</v>
      </c>
      <c r="D496" s="3" t="s">
        <v>4308</v>
      </c>
      <c r="E496" s="3" t="s">
        <v>4170</v>
      </c>
      <c r="F496" s="3" t="s">
        <v>4309</v>
      </c>
      <c r="G496" s="3" t="s">
        <v>2850</v>
      </c>
      <c r="H496" s="11" t="s">
        <v>8256</v>
      </c>
      <c r="I496" s="3" t="s">
        <v>7955</v>
      </c>
      <c r="J496" s="7">
        <v>1.62</v>
      </c>
      <c r="K496" s="1" t="s">
        <v>7956</v>
      </c>
      <c r="L496" s="2">
        <v>1.17E-3</v>
      </c>
      <c r="M496" s="2">
        <f>160/100000</f>
        <v>1.6000000000000001E-3</v>
      </c>
      <c r="N496" s="2">
        <v>2.294972E-2</v>
      </c>
      <c r="O496" s="3" t="s">
        <v>7957</v>
      </c>
      <c r="P496" s="7">
        <v>1.03</v>
      </c>
      <c r="Q496" s="1" t="s">
        <v>7958</v>
      </c>
      <c r="R496" s="2">
        <v>0.81599999999999995</v>
      </c>
      <c r="S496" s="2">
        <f>84289/100000</f>
        <v>0.84289000000000003</v>
      </c>
      <c r="T496" s="2">
        <v>0.82929589999999997</v>
      </c>
    </row>
    <row r="497" spans="1:20">
      <c r="A497" s="3" t="s">
        <v>4314</v>
      </c>
      <c r="B497" s="1" t="s">
        <v>4315</v>
      </c>
      <c r="C497" s="3" t="s">
        <v>4316</v>
      </c>
      <c r="D497" s="3" t="s">
        <v>4317</v>
      </c>
      <c r="E497" s="3" t="s">
        <v>4318</v>
      </c>
      <c r="F497" s="3" t="s">
        <v>4319</v>
      </c>
      <c r="G497" s="3" t="s">
        <v>4320</v>
      </c>
      <c r="H497" s="11" t="s">
        <v>8257</v>
      </c>
      <c r="I497" s="3" t="s">
        <v>7959</v>
      </c>
      <c r="J497" s="7">
        <v>1.21</v>
      </c>
      <c r="K497" s="1" t="s">
        <v>7960</v>
      </c>
      <c r="L497" s="2">
        <v>0.70799999999999996</v>
      </c>
      <c r="M497" s="2">
        <f>77781/100000</f>
        <v>0.77781</v>
      </c>
      <c r="N497" s="2">
        <v>0.82929589999999997</v>
      </c>
      <c r="O497" s="3" t="s">
        <v>7961</v>
      </c>
      <c r="P497" s="7">
        <v>0.99</v>
      </c>
      <c r="Q497" s="1" t="s">
        <v>7962</v>
      </c>
      <c r="R497" s="2">
        <v>0.99299999999999999</v>
      </c>
      <c r="S497" s="2">
        <f>100000/100000</f>
        <v>1</v>
      </c>
      <c r="T497" s="2">
        <v>0.82929589999999997</v>
      </c>
    </row>
    <row r="498" spans="1:20">
      <c r="A498" s="3" t="s">
        <v>4325</v>
      </c>
      <c r="B498" s="1" t="s">
        <v>4326</v>
      </c>
      <c r="C498" s="3" t="s">
        <v>4327</v>
      </c>
      <c r="D498" s="3" t="s">
        <v>4328</v>
      </c>
      <c r="E498" s="3" t="s">
        <v>4329</v>
      </c>
      <c r="F498" s="3" t="s">
        <v>4330</v>
      </c>
      <c r="G498" s="3" t="s">
        <v>4331</v>
      </c>
      <c r="H498" s="11" t="s">
        <v>8159</v>
      </c>
      <c r="I498" s="3" t="s">
        <v>7963</v>
      </c>
      <c r="J498" s="7">
        <v>0.91</v>
      </c>
      <c r="K498" s="1" t="s">
        <v>4547</v>
      </c>
      <c r="L498" s="2">
        <v>0.73</v>
      </c>
      <c r="M498" s="2">
        <f>78637/100000</f>
        <v>0.78637000000000001</v>
      </c>
      <c r="N498" s="2">
        <v>0.82929589999999997</v>
      </c>
      <c r="O498" s="3" t="s">
        <v>7964</v>
      </c>
      <c r="P498" s="7">
        <v>1.1499999999999999</v>
      </c>
      <c r="Q498" s="1" t="s">
        <v>7965</v>
      </c>
      <c r="R498" s="2">
        <v>0.65900000000000003</v>
      </c>
      <c r="S498" s="2">
        <f>74009/100000</f>
        <v>0.74009000000000003</v>
      </c>
      <c r="T498" s="2">
        <v>0.8214224</v>
      </c>
    </row>
    <row r="499" spans="1:20">
      <c r="A499" s="3" t="s">
        <v>4335</v>
      </c>
      <c r="B499" s="1" t="s">
        <v>4326</v>
      </c>
      <c r="C499" s="3" t="s">
        <v>4327</v>
      </c>
      <c r="D499" s="3" t="s">
        <v>4336</v>
      </c>
      <c r="E499" s="3" t="s">
        <v>4337</v>
      </c>
      <c r="F499" s="3" t="s">
        <v>4338</v>
      </c>
      <c r="G499" s="3" t="s">
        <v>4339</v>
      </c>
      <c r="H499" s="11" t="s">
        <v>8159</v>
      </c>
      <c r="I499" s="3" t="s">
        <v>7966</v>
      </c>
      <c r="J499" s="7">
        <v>0.96</v>
      </c>
      <c r="K499" s="1" t="s">
        <v>7967</v>
      </c>
      <c r="L499" s="2">
        <v>0.83099999999999996</v>
      </c>
      <c r="M499" s="2">
        <f>84000/100000</f>
        <v>0.84</v>
      </c>
      <c r="N499" s="2">
        <v>0.82929589999999997</v>
      </c>
      <c r="O499" s="3" t="s">
        <v>7968</v>
      </c>
      <c r="P499" s="7">
        <v>1.03</v>
      </c>
      <c r="Q499" s="1" t="s">
        <v>7969</v>
      </c>
      <c r="R499" s="2">
        <v>0.90200000000000002</v>
      </c>
      <c r="S499" s="2">
        <f>100000/100000</f>
        <v>1</v>
      </c>
      <c r="T499" s="2">
        <v>0.82929589999999997</v>
      </c>
    </row>
    <row r="500" spans="1:20">
      <c r="A500" s="3" t="s">
        <v>4344</v>
      </c>
      <c r="B500" s="1" t="s">
        <v>4345</v>
      </c>
      <c r="C500" s="3" t="s">
        <v>4346</v>
      </c>
      <c r="D500" s="3" t="s">
        <v>4347</v>
      </c>
      <c r="E500" s="3" t="s">
        <v>4348</v>
      </c>
      <c r="F500" s="3" t="s">
        <v>4349</v>
      </c>
      <c r="G500" s="3" t="s">
        <v>4350</v>
      </c>
      <c r="H500" s="11" t="s">
        <v>8258</v>
      </c>
      <c r="I500" s="3" t="s">
        <v>7970</v>
      </c>
      <c r="J500" s="7">
        <v>0.52</v>
      </c>
      <c r="K500" s="1" t="s">
        <v>7971</v>
      </c>
      <c r="L500" s="2">
        <v>0.25800000000000001</v>
      </c>
      <c r="M500" s="2">
        <f>28988/100000</f>
        <v>0.28988000000000003</v>
      </c>
      <c r="N500" s="2">
        <v>0.57823020000000003</v>
      </c>
      <c r="O500" s="3" t="s">
        <v>7972</v>
      </c>
      <c r="P500" s="7">
        <v>1.21</v>
      </c>
      <c r="Q500" s="1" t="s">
        <v>7973</v>
      </c>
      <c r="R500" s="2">
        <v>0.28799999999999998</v>
      </c>
      <c r="S500" s="2">
        <f>32366/100000</f>
        <v>0.32366</v>
      </c>
      <c r="T500" s="2">
        <v>0.61041509999999999</v>
      </c>
    </row>
    <row r="501" spans="1:20">
      <c r="A501" s="3" t="s">
        <v>4354</v>
      </c>
      <c r="B501" s="1" t="s">
        <v>4345</v>
      </c>
      <c r="C501" s="3" t="s">
        <v>4346</v>
      </c>
      <c r="D501" s="3" t="s">
        <v>4355</v>
      </c>
      <c r="E501" s="3" t="s">
        <v>4356</v>
      </c>
      <c r="F501" s="3" t="s">
        <v>4349</v>
      </c>
      <c r="G501" s="3" t="s">
        <v>4350</v>
      </c>
      <c r="H501" s="11" t="s">
        <v>8259</v>
      </c>
      <c r="I501" s="3" t="s">
        <v>7974</v>
      </c>
      <c r="J501" s="7">
        <v>1.86</v>
      </c>
      <c r="K501" s="1" t="s">
        <v>7975</v>
      </c>
      <c r="L501" s="2">
        <v>3.7699999999999997E-2</v>
      </c>
      <c r="M501" s="2">
        <f>4691/100000</f>
        <v>4.691E-2</v>
      </c>
      <c r="N501" s="2">
        <v>0.233817</v>
      </c>
      <c r="O501" s="3" t="s">
        <v>7976</v>
      </c>
      <c r="P501" s="7">
        <v>1.34</v>
      </c>
      <c r="Q501" s="1" t="s">
        <v>7977</v>
      </c>
      <c r="R501" s="2">
        <v>8.9800000000000005E-2</v>
      </c>
      <c r="S501" s="2">
        <f>10086/100000</f>
        <v>0.10086000000000001</v>
      </c>
      <c r="T501" s="2">
        <v>0.35767929999999998</v>
      </c>
    </row>
    <row r="502" spans="1:20">
      <c r="A502" s="3" t="s">
        <v>4361</v>
      </c>
      <c r="B502" s="1" t="s">
        <v>4362</v>
      </c>
      <c r="C502" s="3" t="s">
        <v>4363</v>
      </c>
      <c r="D502" s="3" t="s">
        <v>4364</v>
      </c>
      <c r="E502" s="3" t="s">
        <v>4365</v>
      </c>
      <c r="F502" s="3" t="s">
        <v>4366</v>
      </c>
      <c r="G502" s="3" t="s">
        <v>4367</v>
      </c>
      <c r="H502" s="11" t="s">
        <v>8260</v>
      </c>
      <c r="I502" s="3" t="s">
        <v>7978</v>
      </c>
      <c r="J502" s="7">
        <v>1.67</v>
      </c>
      <c r="K502" s="1" t="s">
        <v>7979</v>
      </c>
      <c r="L502" s="2">
        <v>1.2999999999999999E-3</v>
      </c>
      <c r="M502" s="2">
        <f>179/100000</f>
        <v>1.7899999999999999E-3</v>
      </c>
      <c r="N502" s="2">
        <v>2.5113799999999999E-2</v>
      </c>
      <c r="O502" s="3" t="s">
        <v>7980</v>
      </c>
      <c r="P502" s="7">
        <v>1.35</v>
      </c>
      <c r="Q502" s="1" t="s">
        <v>7981</v>
      </c>
      <c r="R502" s="2">
        <v>9.0700000000000003E-2</v>
      </c>
      <c r="S502" s="2">
        <f>10005/100000</f>
        <v>0.10005</v>
      </c>
      <c r="T502" s="2">
        <v>0.3565972</v>
      </c>
    </row>
    <row r="503" spans="1:20">
      <c r="A503" s="3" t="s">
        <v>4372</v>
      </c>
      <c r="B503" s="1" t="s">
        <v>4362</v>
      </c>
      <c r="C503" s="3" t="s">
        <v>4363</v>
      </c>
      <c r="D503" s="3" t="s">
        <v>4373</v>
      </c>
      <c r="E503" s="3" t="s">
        <v>4374</v>
      </c>
      <c r="F503" s="3" t="s">
        <v>4366</v>
      </c>
      <c r="G503" s="3" t="s">
        <v>4367</v>
      </c>
      <c r="H503" s="11" t="s">
        <v>8261</v>
      </c>
      <c r="I503" s="3" t="s">
        <v>7982</v>
      </c>
      <c r="J503" s="7">
        <v>1.32</v>
      </c>
      <c r="K503" s="1" t="s">
        <v>7983</v>
      </c>
      <c r="L503" s="2">
        <v>6.0699999999999997E-2</v>
      </c>
      <c r="M503" s="2">
        <f>6700/100000</f>
        <v>6.7000000000000004E-2</v>
      </c>
      <c r="N503" s="2">
        <v>0.28895110000000002</v>
      </c>
      <c r="O503" s="3" t="s">
        <v>7984</v>
      </c>
      <c r="P503" s="7">
        <v>1.03</v>
      </c>
      <c r="Q503" s="1" t="s">
        <v>7985</v>
      </c>
      <c r="R503" s="2">
        <v>0.876</v>
      </c>
      <c r="S503" s="2">
        <f>92893/100000</f>
        <v>0.92893000000000003</v>
      </c>
      <c r="T503" s="2">
        <v>0.82929589999999997</v>
      </c>
    </row>
    <row r="504" spans="1:20">
      <c r="A504" s="3" t="s">
        <v>4379</v>
      </c>
      <c r="B504" s="1" t="s">
        <v>4362</v>
      </c>
      <c r="C504" s="3" t="s">
        <v>4363</v>
      </c>
      <c r="D504" s="3" t="s">
        <v>4366</v>
      </c>
      <c r="E504" s="3" t="s">
        <v>4367</v>
      </c>
      <c r="F504" s="3" t="s">
        <v>4380</v>
      </c>
      <c r="G504" s="3" t="s">
        <v>4381</v>
      </c>
      <c r="H504" s="11" t="s">
        <v>8150</v>
      </c>
      <c r="I504" s="3" t="s">
        <v>7986</v>
      </c>
      <c r="J504" s="7">
        <v>0.93</v>
      </c>
      <c r="K504" s="1" t="s">
        <v>7987</v>
      </c>
      <c r="L504" s="2">
        <v>0.77700000000000002</v>
      </c>
      <c r="M504" s="2">
        <f>80780/100000</f>
        <v>0.80779999999999996</v>
      </c>
      <c r="N504" s="2">
        <v>0.82929589999999997</v>
      </c>
      <c r="O504" s="3" t="s">
        <v>7988</v>
      </c>
      <c r="P504" s="7">
        <v>2.64</v>
      </c>
      <c r="Q504" s="1" t="s">
        <v>7989</v>
      </c>
      <c r="R504" s="2">
        <v>1.5400000000000001E-10</v>
      </c>
      <c r="S504" s="2" t="s">
        <v>500</v>
      </c>
      <c r="T504" s="2">
        <v>3.517123E-4</v>
      </c>
    </row>
    <row r="505" spans="1:20">
      <c r="A505" s="3" t="s">
        <v>4386</v>
      </c>
      <c r="B505" s="1" t="s">
        <v>4387</v>
      </c>
      <c r="C505" s="3" t="s">
        <v>4388</v>
      </c>
      <c r="D505" s="3" t="s">
        <v>4389</v>
      </c>
      <c r="E505" s="3" t="s">
        <v>4390</v>
      </c>
      <c r="F505" s="3" t="s">
        <v>4391</v>
      </c>
      <c r="G505" s="3" t="s">
        <v>4392</v>
      </c>
      <c r="H505" s="11" t="s">
        <v>8262</v>
      </c>
      <c r="I505" s="3" t="s">
        <v>7990</v>
      </c>
      <c r="J505" s="7">
        <v>0.95</v>
      </c>
      <c r="K505" s="1" t="s">
        <v>7991</v>
      </c>
      <c r="L505" s="2">
        <v>0.91700000000000004</v>
      </c>
      <c r="M505" s="2">
        <f>100000/100000</f>
        <v>1</v>
      </c>
      <c r="N505" s="2">
        <v>0.82929589999999997</v>
      </c>
      <c r="O505" s="3" t="s">
        <v>7992</v>
      </c>
      <c r="P505" s="7">
        <v>0.28999999999999998</v>
      </c>
      <c r="Q505" s="1" t="s">
        <v>7993</v>
      </c>
      <c r="R505" s="2">
        <v>0.19600000000000001</v>
      </c>
      <c r="S505" s="2">
        <f>26243/100000</f>
        <v>0.26243</v>
      </c>
      <c r="T505" s="2">
        <v>0.56338779999999999</v>
      </c>
    </row>
    <row r="506" spans="1:20">
      <c r="A506" s="3" t="s">
        <v>4397</v>
      </c>
      <c r="B506" s="1" t="s">
        <v>4398</v>
      </c>
      <c r="C506" s="3" t="s">
        <v>4399</v>
      </c>
      <c r="D506" s="3" t="s">
        <v>4400</v>
      </c>
      <c r="E506" s="3" t="s">
        <v>4401</v>
      </c>
      <c r="F506" s="3" t="s">
        <v>4402</v>
      </c>
      <c r="G506" s="3" t="s">
        <v>4403</v>
      </c>
      <c r="H506" s="11" t="s">
        <v>8213</v>
      </c>
      <c r="I506" s="3" t="s">
        <v>7994</v>
      </c>
      <c r="J506" s="7">
        <v>0.95</v>
      </c>
      <c r="K506" s="1" t="s">
        <v>7995</v>
      </c>
      <c r="L506" s="2">
        <v>0.80900000000000005</v>
      </c>
      <c r="M506" s="2">
        <f>83053/100000</f>
        <v>0.83052999999999999</v>
      </c>
      <c r="N506" s="2">
        <v>0.82929589999999997</v>
      </c>
      <c r="O506" s="3" t="s">
        <v>7996</v>
      </c>
      <c r="P506" s="7">
        <v>0.94</v>
      </c>
      <c r="Q506" s="1" t="s">
        <v>7997</v>
      </c>
      <c r="R506" s="2">
        <v>0.61799999999999999</v>
      </c>
      <c r="S506" s="2">
        <f>62555/100000</f>
        <v>0.62555000000000005</v>
      </c>
      <c r="T506" s="2">
        <v>0.79869500000000004</v>
      </c>
    </row>
    <row r="507" spans="1:20">
      <c r="A507" s="3" t="s">
        <v>4408</v>
      </c>
      <c r="B507" s="1" t="s">
        <v>4398</v>
      </c>
      <c r="C507" s="3" t="s">
        <v>4399</v>
      </c>
      <c r="D507" s="3" t="s">
        <v>4409</v>
      </c>
      <c r="E507" s="3" t="s">
        <v>4410</v>
      </c>
      <c r="F507" s="3" t="s">
        <v>4411</v>
      </c>
      <c r="G507" s="3" t="s">
        <v>4412</v>
      </c>
      <c r="H507" s="11" t="s">
        <v>8213</v>
      </c>
      <c r="I507" s="3" t="s">
        <v>7998</v>
      </c>
      <c r="J507" s="7">
        <v>0.98</v>
      </c>
      <c r="K507" s="1" t="s">
        <v>7999</v>
      </c>
      <c r="L507" s="2">
        <v>0.86499999999999999</v>
      </c>
      <c r="M507" s="2">
        <f>90155/100000</f>
        <v>0.90154999999999996</v>
      </c>
      <c r="N507" s="2">
        <v>0.82929589999999997</v>
      </c>
      <c r="O507" s="3" t="s">
        <v>8000</v>
      </c>
      <c r="P507" s="7">
        <v>1.31</v>
      </c>
      <c r="Q507" s="1" t="s">
        <v>8001</v>
      </c>
      <c r="R507" s="2">
        <v>8.4000000000000005E-2</v>
      </c>
      <c r="S507" s="2">
        <f>9261/100000</f>
        <v>9.2609999999999998E-2</v>
      </c>
      <c r="T507" s="2">
        <v>0.34738940000000001</v>
      </c>
    </row>
    <row r="508" spans="1:20">
      <c r="A508" s="3" t="s">
        <v>4417</v>
      </c>
      <c r="B508" s="1" t="s">
        <v>4418</v>
      </c>
      <c r="C508" s="3" t="s">
        <v>4419</v>
      </c>
      <c r="D508" s="3" t="s">
        <v>4420</v>
      </c>
      <c r="E508" s="3" t="s">
        <v>4421</v>
      </c>
      <c r="F508" s="3" t="s">
        <v>4422</v>
      </c>
      <c r="G508" s="3" t="s">
        <v>4423</v>
      </c>
      <c r="H508" s="11" t="s">
        <v>8114</v>
      </c>
      <c r="I508" s="3" t="s">
        <v>8002</v>
      </c>
      <c r="J508" s="7">
        <v>1.85</v>
      </c>
      <c r="K508" s="1" t="s">
        <v>8003</v>
      </c>
      <c r="L508" s="2">
        <v>9.0399999999999994E-2</v>
      </c>
      <c r="M508" s="2">
        <f>9258/100000</f>
        <v>9.2579999999999996E-2</v>
      </c>
      <c r="N508" s="2">
        <v>0.34738940000000001</v>
      </c>
      <c r="O508" s="3" t="s">
        <v>8004</v>
      </c>
      <c r="P508" s="7">
        <v>1.04</v>
      </c>
      <c r="Q508" s="1" t="s">
        <v>8005</v>
      </c>
      <c r="R508" s="2">
        <v>0.93700000000000006</v>
      </c>
      <c r="S508" s="2">
        <f>100000/100000</f>
        <v>1</v>
      </c>
      <c r="T508" s="2">
        <v>0.82929589999999997</v>
      </c>
    </row>
    <row r="509" spans="1:20">
      <c r="A509" s="3" t="s">
        <v>4428</v>
      </c>
      <c r="B509" s="1" t="s">
        <v>4418</v>
      </c>
      <c r="C509" s="3" t="s">
        <v>4419</v>
      </c>
      <c r="D509" s="3" t="s">
        <v>4429</v>
      </c>
      <c r="E509" s="3" t="s">
        <v>4430</v>
      </c>
      <c r="F509" s="3" t="s">
        <v>4422</v>
      </c>
      <c r="G509" s="3" t="s">
        <v>4423</v>
      </c>
      <c r="H509" s="11" t="s">
        <v>8263</v>
      </c>
      <c r="I509" s="3" t="s">
        <v>8006</v>
      </c>
      <c r="J509" s="7">
        <v>1.22</v>
      </c>
      <c r="K509" s="1" t="s">
        <v>8007</v>
      </c>
      <c r="L509" s="2">
        <v>0.66700000000000004</v>
      </c>
      <c r="M509" s="2">
        <f>80190/100000</f>
        <v>0.80189999999999995</v>
      </c>
      <c r="N509" s="2">
        <v>0.82929589999999997</v>
      </c>
      <c r="O509" s="3" t="s">
        <v>8008</v>
      </c>
      <c r="P509" s="7">
        <v>1.01</v>
      </c>
      <c r="Q509" s="1" t="s">
        <v>8009</v>
      </c>
      <c r="R509" s="2">
        <v>0.98499999999999999</v>
      </c>
      <c r="S509" s="2">
        <f>100000/100000</f>
        <v>1</v>
      </c>
      <c r="T509" s="2">
        <v>0.82929589999999997</v>
      </c>
    </row>
    <row r="510" spans="1:20">
      <c r="A510" s="3" t="s">
        <v>4435</v>
      </c>
      <c r="B510" s="1" t="s">
        <v>4418</v>
      </c>
      <c r="C510" s="3" t="s">
        <v>4419</v>
      </c>
      <c r="D510" s="3" t="s">
        <v>4436</v>
      </c>
      <c r="E510" s="3" t="s">
        <v>4437</v>
      </c>
      <c r="F510" s="3" t="s">
        <v>4422</v>
      </c>
      <c r="G510" s="3" t="s">
        <v>4423</v>
      </c>
      <c r="H510" s="11" t="s">
        <v>8263</v>
      </c>
      <c r="I510" s="3" t="s">
        <v>8010</v>
      </c>
      <c r="J510" s="7">
        <v>1.68</v>
      </c>
      <c r="K510" s="1" t="s">
        <v>8011</v>
      </c>
      <c r="L510" s="2">
        <v>0.18099999999999999</v>
      </c>
      <c r="M510" s="2">
        <f>20582/100000</f>
        <v>0.20582</v>
      </c>
      <c r="N510" s="2">
        <v>0.49476609999999999</v>
      </c>
      <c r="O510" s="3" t="s">
        <v>8012</v>
      </c>
      <c r="P510" s="7">
        <v>0.53</v>
      </c>
      <c r="Q510" s="1" t="s">
        <v>8013</v>
      </c>
      <c r="R510" s="2">
        <v>0.20899999999999999</v>
      </c>
      <c r="S510" s="2">
        <f>25475/100000</f>
        <v>0.25474999999999998</v>
      </c>
      <c r="T510" s="2">
        <v>0.55720210000000003</v>
      </c>
    </row>
    <row r="511" spans="1:20">
      <c r="A511" s="3" t="s">
        <v>4442</v>
      </c>
      <c r="B511" s="1" t="s">
        <v>4443</v>
      </c>
      <c r="C511" s="3" t="s">
        <v>4444</v>
      </c>
      <c r="D511" s="3" t="s">
        <v>4445</v>
      </c>
      <c r="E511" s="3" t="s">
        <v>4446</v>
      </c>
      <c r="F511" s="3" t="s">
        <v>4447</v>
      </c>
      <c r="G511" s="3" t="s">
        <v>4448</v>
      </c>
      <c r="H511" s="11" t="s">
        <v>8264</v>
      </c>
      <c r="I511" s="3" t="s">
        <v>8014</v>
      </c>
      <c r="J511" s="7">
        <v>0.7</v>
      </c>
      <c r="K511" s="1" t="s">
        <v>8015</v>
      </c>
      <c r="L511" s="2">
        <v>2.53E-2</v>
      </c>
      <c r="M511" s="2">
        <f>2873/100000</f>
        <v>2.8729999999999999E-2</v>
      </c>
      <c r="N511" s="2">
        <v>0.17544580000000001</v>
      </c>
      <c r="O511" s="3" t="s">
        <v>8016</v>
      </c>
      <c r="P511" s="7">
        <v>1.24</v>
      </c>
      <c r="Q511" s="1" t="s">
        <v>8017</v>
      </c>
      <c r="R511" s="2">
        <v>8.8700000000000001E-2</v>
      </c>
      <c r="S511" s="2">
        <f>9222/100000</f>
        <v>9.2219999999999996E-2</v>
      </c>
      <c r="T511" s="2">
        <v>0.34738940000000001</v>
      </c>
    </row>
    <row r="512" spans="1:20">
      <c r="A512" s="3" t="s">
        <v>4453</v>
      </c>
      <c r="B512" s="1" t="s">
        <v>4443</v>
      </c>
      <c r="C512" s="3" t="s">
        <v>4444</v>
      </c>
      <c r="D512" s="3" t="s">
        <v>4454</v>
      </c>
      <c r="E512" s="3" t="s">
        <v>4455</v>
      </c>
      <c r="F512" s="3" t="s">
        <v>4447</v>
      </c>
      <c r="G512" s="3" t="s">
        <v>4448</v>
      </c>
      <c r="H512" s="11" t="s">
        <v>8265</v>
      </c>
      <c r="I512" s="3" t="s">
        <v>8018</v>
      </c>
      <c r="J512" s="7">
        <v>1.03</v>
      </c>
      <c r="K512" s="1" t="s">
        <v>8019</v>
      </c>
      <c r="L512" s="2">
        <v>0.85499999999999998</v>
      </c>
      <c r="M512" s="2">
        <f>88325/100000</f>
        <v>0.88324999999999998</v>
      </c>
      <c r="N512" s="2">
        <v>0.82929589999999997</v>
      </c>
      <c r="O512" s="3" t="s">
        <v>8020</v>
      </c>
      <c r="P512" s="7">
        <v>1.04</v>
      </c>
      <c r="Q512" s="1" t="s">
        <v>8021</v>
      </c>
      <c r="R512" s="2">
        <v>0.74</v>
      </c>
      <c r="S512" s="2">
        <f>74827/100000</f>
        <v>0.74826999999999999</v>
      </c>
      <c r="T512" s="2">
        <v>0.82672840000000003</v>
      </c>
    </row>
    <row r="513" spans="1:20">
      <c r="A513" s="3" t="s">
        <v>4460</v>
      </c>
      <c r="B513" s="1" t="s">
        <v>4461</v>
      </c>
      <c r="C513" s="3" t="s">
        <v>4462</v>
      </c>
      <c r="D513" s="3" t="s">
        <v>4463</v>
      </c>
      <c r="E513" s="3" t="s">
        <v>4464</v>
      </c>
      <c r="F513" s="3" t="s">
        <v>4465</v>
      </c>
      <c r="G513" s="3" t="s">
        <v>4466</v>
      </c>
      <c r="H513" s="11" t="s">
        <v>8266</v>
      </c>
      <c r="I513" s="3" t="s">
        <v>8022</v>
      </c>
      <c r="J513" s="7">
        <v>1.0900000000000001</v>
      </c>
      <c r="K513" s="1" t="s">
        <v>8023</v>
      </c>
      <c r="L513" s="2">
        <v>0.86699999999999999</v>
      </c>
      <c r="M513" s="2">
        <f>100000/100000</f>
        <v>1</v>
      </c>
      <c r="N513" s="2">
        <v>0.82929589999999997</v>
      </c>
      <c r="O513" s="3" t="s">
        <v>8024</v>
      </c>
      <c r="P513" s="7">
        <v>1.75</v>
      </c>
      <c r="Q513" s="1" t="s">
        <v>8025</v>
      </c>
      <c r="R513" s="2">
        <v>0.222</v>
      </c>
      <c r="S513" s="2">
        <f>21793/100000</f>
        <v>0.21793000000000001</v>
      </c>
      <c r="T513" s="2">
        <v>0.5106889</v>
      </c>
    </row>
    <row r="514" spans="1:20">
      <c r="A514" s="3" t="s">
        <v>4471</v>
      </c>
      <c r="B514" s="1" t="s">
        <v>4461</v>
      </c>
      <c r="C514" s="3" t="s">
        <v>4462</v>
      </c>
      <c r="D514" s="3" t="s">
        <v>4472</v>
      </c>
      <c r="E514" s="3" t="s">
        <v>4473</v>
      </c>
      <c r="F514" s="3" t="s">
        <v>4465</v>
      </c>
      <c r="G514" s="3" t="s">
        <v>4466</v>
      </c>
      <c r="H514" s="11" t="s">
        <v>8266</v>
      </c>
      <c r="I514" s="3" t="s">
        <v>8026</v>
      </c>
      <c r="J514" s="7">
        <v>1.1000000000000001</v>
      </c>
      <c r="K514" s="1" t="s">
        <v>8027</v>
      </c>
      <c r="L514" s="2">
        <v>0.84</v>
      </c>
      <c r="M514" s="2">
        <f>100000/100000</f>
        <v>1</v>
      </c>
      <c r="N514" s="2">
        <v>0.82929589999999997</v>
      </c>
      <c r="O514" s="3" t="s">
        <v>8028</v>
      </c>
      <c r="P514" s="7">
        <v>1.03</v>
      </c>
      <c r="Q514" s="1" t="s">
        <v>8029</v>
      </c>
      <c r="R514" s="2">
        <v>0.94099999999999995</v>
      </c>
      <c r="S514" s="2">
        <f>100000/100000</f>
        <v>1</v>
      </c>
      <c r="T514" s="2">
        <v>0.82929589999999997</v>
      </c>
    </row>
    <row r="515" spans="1:20">
      <c r="A515" s="3" t="s">
        <v>4478</v>
      </c>
      <c r="B515" s="1" t="s">
        <v>4461</v>
      </c>
      <c r="C515" s="3" t="s">
        <v>4462</v>
      </c>
      <c r="D515" s="3" t="s">
        <v>4479</v>
      </c>
      <c r="E515" s="3" t="s">
        <v>4480</v>
      </c>
      <c r="F515" s="3" t="s">
        <v>4465</v>
      </c>
      <c r="G515" s="3" t="s">
        <v>4466</v>
      </c>
      <c r="H515" s="11" t="s">
        <v>8266</v>
      </c>
      <c r="I515" s="3" t="s">
        <v>8030</v>
      </c>
      <c r="J515" s="7">
        <v>0.8</v>
      </c>
      <c r="K515" s="1" t="s">
        <v>8031</v>
      </c>
      <c r="L515" s="2">
        <v>0.754</v>
      </c>
      <c r="M515" s="2">
        <f>100000/100000</f>
        <v>1</v>
      </c>
      <c r="N515" s="2">
        <v>0.82929589999999997</v>
      </c>
      <c r="O515" s="3" t="s">
        <v>8032</v>
      </c>
      <c r="P515" s="7">
        <v>2.93</v>
      </c>
      <c r="Q515" s="1" t="s">
        <v>8033</v>
      </c>
      <c r="R515" s="2">
        <v>3.3599999999999998E-2</v>
      </c>
      <c r="S515" s="2">
        <f>5873/100000</f>
        <v>5.8729999999999997E-2</v>
      </c>
      <c r="T515" s="2">
        <v>0.26579049999999999</v>
      </c>
    </row>
    <row r="516" spans="1:20">
      <c r="A516" s="3" t="s">
        <v>4485</v>
      </c>
      <c r="B516" s="1" t="s">
        <v>4486</v>
      </c>
      <c r="C516" s="3" t="s">
        <v>4487</v>
      </c>
      <c r="D516" s="3" t="s">
        <v>4488</v>
      </c>
      <c r="E516" s="3" t="s">
        <v>4489</v>
      </c>
      <c r="F516" s="3" t="s">
        <v>4490</v>
      </c>
      <c r="G516" s="3" t="s">
        <v>4491</v>
      </c>
      <c r="H516" s="11" t="s">
        <v>8267</v>
      </c>
      <c r="I516" s="3" t="s">
        <v>8034</v>
      </c>
      <c r="J516" s="7">
        <v>0.6</v>
      </c>
      <c r="K516" s="1" t="s">
        <v>8035</v>
      </c>
      <c r="L516" s="2">
        <v>0.38300000000000001</v>
      </c>
      <c r="M516" s="2">
        <f>49015/100000</f>
        <v>0.49014999999999997</v>
      </c>
      <c r="N516" s="2">
        <v>0.73186450000000003</v>
      </c>
      <c r="O516" s="3" t="s">
        <v>8036</v>
      </c>
      <c r="P516" s="7">
        <v>1.6</v>
      </c>
      <c r="Q516" s="1" t="s">
        <v>8037</v>
      </c>
      <c r="R516" s="2">
        <v>4.8399999999999999E-2</v>
      </c>
      <c r="S516" s="2">
        <f>5464/100000</f>
        <v>5.4640000000000001E-2</v>
      </c>
      <c r="T516" s="2">
        <v>0.25442009999999998</v>
      </c>
    </row>
    <row r="517" spans="1:20">
      <c r="A517" s="3" t="s">
        <v>4494</v>
      </c>
      <c r="B517" s="1" t="s">
        <v>4495</v>
      </c>
      <c r="C517" s="3" t="s">
        <v>4496</v>
      </c>
      <c r="D517" s="3" t="s">
        <v>4497</v>
      </c>
      <c r="E517" s="3" t="s">
        <v>4498</v>
      </c>
      <c r="F517" s="3" t="s">
        <v>4499</v>
      </c>
      <c r="G517" s="3" t="s">
        <v>4500</v>
      </c>
      <c r="H517" s="11" t="s">
        <v>8268</v>
      </c>
      <c r="I517" s="3" t="s">
        <v>8038</v>
      </c>
      <c r="J517" s="7">
        <v>1.25</v>
      </c>
      <c r="K517" s="1" t="s">
        <v>8039</v>
      </c>
      <c r="L517" s="2">
        <v>0.127</v>
      </c>
      <c r="M517" s="2">
        <f>13442/100000</f>
        <v>0.13442000000000001</v>
      </c>
      <c r="N517" s="2">
        <v>0.40098479999999997</v>
      </c>
      <c r="O517" s="3" t="s">
        <v>8040</v>
      </c>
      <c r="P517" s="7">
        <v>0.81</v>
      </c>
      <c r="Q517" s="1" t="s">
        <v>8041</v>
      </c>
      <c r="R517" s="2">
        <v>0.19</v>
      </c>
      <c r="S517" s="2">
        <f>19684/100000</f>
        <v>0.19683999999999999</v>
      </c>
      <c r="T517" s="2">
        <v>0.48775069999999998</v>
      </c>
    </row>
    <row r="518" spans="1:20">
      <c r="A518" s="3" t="s">
        <v>4505</v>
      </c>
      <c r="B518" s="1" t="s">
        <v>4495</v>
      </c>
      <c r="C518" s="3" t="s">
        <v>4496</v>
      </c>
      <c r="D518" s="3" t="s">
        <v>4506</v>
      </c>
      <c r="E518" s="3" t="s">
        <v>4507</v>
      </c>
      <c r="F518" s="3" t="s">
        <v>4499</v>
      </c>
      <c r="G518" s="3" t="s">
        <v>4500</v>
      </c>
      <c r="H518" s="11" t="s">
        <v>8268</v>
      </c>
      <c r="I518" s="3" t="s">
        <v>8042</v>
      </c>
      <c r="J518" s="7">
        <v>1.32</v>
      </c>
      <c r="K518" s="1" t="s">
        <v>8043</v>
      </c>
      <c r="L518" s="2">
        <v>5.1799999999999999E-2</v>
      </c>
      <c r="M518" s="2">
        <f>5709/100000</f>
        <v>5.7090000000000002E-2</v>
      </c>
      <c r="N518" s="2">
        <v>0.26225179999999998</v>
      </c>
      <c r="O518" s="3" t="s">
        <v>8044</v>
      </c>
      <c r="P518" s="7">
        <v>0.99</v>
      </c>
      <c r="Q518" s="1" t="s">
        <v>8045</v>
      </c>
      <c r="R518" s="2">
        <v>0.95</v>
      </c>
      <c r="S518" s="2">
        <f>100000/100000</f>
        <v>1</v>
      </c>
      <c r="T518" s="2">
        <v>0.82929589999999997</v>
      </c>
    </row>
  </sheetData>
  <mergeCells count="10">
    <mergeCell ref="G1:G2"/>
    <mergeCell ref="I1:N1"/>
    <mergeCell ref="O1:T1"/>
    <mergeCell ref="A1:A2"/>
    <mergeCell ref="B1:B2"/>
    <mergeCell ref="C1:C2"/>
    <mergeCell ref="D1:D2"/>
    <mergeCell ref="E1:E2"/>
    <mergeCell ref="F1:F2"/>
    <mergeCell ref="H1:H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vt:lpstr>
      <vt:lpstr>L1sense</vt:lpstr>
      <vt:lpstr>L1antisense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Chatchawit</dc:creator>
  <cp:lastModifiedBy>AM's lab</cp:lastModifiedBy>
  <dcterms:created xsi:type="dcterms:W3CDTF">2011-05-20T08:30:48Z</dcterms:created>
  <dcterms:modified xsi:type="dcterms:W3CDTF">2013-02-08T22:19:32Z</dcterms:modified>
</cp:coreProperties>
</file>