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60" windowWidth="19440" windowHeight="12720"/>
  </bookViews>
  <sheets>
    <sheet name="Legend" sheetId="2" r:id="rId1"/>
    <sheet name="Density" sheetId="6" r:id="rId2"/>
    <sheet name="Avnn" sheetId="8" r:id="rId3"/>
    <sheet name="Avpath" sheetId="7" r:id="rId4"/>
    <sheet name="Connectivity" sheetId="9" r:id="rId5"/>
    <sheet name="Connectivity in" sheetId="10" r:id="rId6"/>
    <sheet name="Connectivity out" sheetId="11" r:id="rId7"/>
  </sheets>
  <calcPr calcId="145621"/>
</workbook>
</file>

<file path=xl/calcChain.xml><?xml version="1.0" encoding="utf-8"?>
<calcChain xmlns="http://schemas.openxmlformats.org/spreadsheetml/2006/main">
  <c r="K147" i="11" l="1"/>
  <c r="J147" i="11"/>
  <c r="I147" i="11"/>
  <c r="K146" i="11"/>
  <c r="J146" i="11"/>
  <c r="I146" i="11"/>
  <c r="K145" i="11"/>
  <c r="J145" i="11"/>
  <c r="I145" i="11"/>
  <c r="K144" i="11"/>
  <c r="J144" i="11"/>
  <c r="I144" i="11"/>
  <c r="K143" i="11"/>
  <c r="J143" i="11"/>
  <c r="I143" i="11"/>
  <c r="K142" i="11"/>
  <c r="J142" i="11"/>
  <c r="I142" i="11"/>
  <c r="K141" i="11"/>
  <c r="J141" i="11"/>
  <c r="I141" i="11"/>
  <c r="K140" i="11"/>
  <c r="J140" i="11"/>
  <c r="I140" i="11"/>
  <c r="K139" i="11"/>
  <c r="J139" i="11"/>
  <c r="I139" i="11"/>
  <c r="K138" i="11"/>
  <c r="J138" i="11"/>
  <c r="I138" i="11"/>
  <c r="K137" i="11"/>
  <c r="J137" i="11"/>
  <c r="I137" i="11"/>
  <c r="K132" i="11"/>
  <c r="J132" i="11"/>
  <c r="I132" i="11"/>
  <c r="K131" i="11"/>
  <c r="J131" i="11"/>
  <c r="I131" i="11"/>
  <c r="K130" i="11"/>
  <c r="J130" i="11"/>
  <c r="I130" i="11"/>
  <c r="K129" i="11"/>
  <c r="J129" i="11"/>
  <c r="I129" i="11"/>
  <c r="K128" i="11"/>
  <c r="J128" i="11"/>
  <c r="I128" i="11"/>
  <c r="K127" i="11"/>
  <c r="J127" i="11"/>
  <c r="I127" i="11"/>
  <c r="K126" i="11"/>
  <c r="J126" i="11"/>
  <c r="I126" i="11"/>
  <c r="K125" i="11"/>
  <c r="J125" i="11"/>
  <c r="I125" i="11"/>
  <c r="K124" i="11"/>
  <c r="J124" i="11"/>
  <c r="I124" i="11"/>
  <c r="K123" i="11"/>
  <c r="J123" i="11"/>
  <c r="I123" i="11"/>
  <c r="K122" i="11"/>
  <c r="J122" i="11"/>
  <c r="I122" i="11"/>
  <c r="K121" i="11"/>
  <c r="J121" i="11"/>
  <c r="I121" i="11"/>
  <c r="K120" i="11"/>
  <c r="J120" i="11"/>
  <c r="I120" i="11"/>
  <c r="K119" i="11"/>
  <c r="J119" i="11"/>
  <c r="I119" i="11"/>
  <c r="K118" i="11"/>
  <c r="J118" i="11"/>
  <c r="I118" i="11"/>
  <c r="K117" i="11"/>
  <c r="J117" i="11"/>
  <c r="I117" i="11"/>
  <c r="K112" i="11"/>
  <c r="J112" i="11"/>
  <c r="I112" i="11"/>
  <c r="K111" i="11"/>
  <c r="J111" i="11"/>
  <c r="I111" i="11"/>
  <c r="K110" i="11"/>
  <c r="J110" i="11"/>
  <c r="I110" i="11"/>
  <c r="K109" i="11"/>
  <c r="J109" i="11"/>
  <c r="I109" i="11"/>
  <c r="K108" i="11"/>
  <c r="J108" i="11"/>
  <c r="I108" i="11"/>
  <c r="K107" i="11"/>
  <c r="J107" i="11"/>
  <c r="I107" i="11"/>
  <c r="K106" i="11"/>
  <c r="J106" i="11"/>
  <c r="I106" i="11"/>
  <c r="K105" i="11"/>
  <c r="J105" i="11"/>
  <c r="I105" i="11"/>
  <c r="K104" i="11"/>
  <c r="J104" i="11"/>
  <c r="I104" i="11"/>
  <c r="K99" i="11"/>
  <c r="J99" i="11"/>
  <c r="I99" i="11"/>
  <c r="K98" i="11"/>
  <c r="J98" i="11"/>
  <c r="I98" i="11"/>
  <c r="K97" i="11"/>
  <c r="J97" i="11"/>
  <c r="I97" i="11"/>
  <c r="K96" i="11"/>
  <c r="J96" i="11"/>
  <c r="I96" i="11"/>
  <c r="K95" i="11"/>
  <c r="J95" i="11"/>
  <c r="I95" i="11"/>
  <c r="K94" i="11"/>
  <c r="J94" i="11"/>
  <c r="I94" i="11"/>
  <c r="K93" i="11"/>
  <c r="J93" i="11"/>
  <c r="I93" i="11"/>
  <c r="K46" i="11"/>
  <c r="J46" i="11"/>
  <c r="I46" i="11"/>
  <c r="K45" i="11"/>
  <c r="J45" i="11"/>
  <c r="I45" i="11"/>
  <c r="K44" i="11"/>
  <c r="J44" i="11"/>
  <c r="I44" i="11"/>
  <c r="K39" i="11"/>
  <c r="J39" i="11"/>
  <c r="I39" i="11"/>
  <c r="K38" i="11"/>
  <c r="J38" i="11"/>
  <c r="I38" i="11"/>
  <c r="K37" i="11"/>
  <c r="J37" i="11"/>
  <c r="I37" i="11"/>
  <c r="K36" i="11"/>
  <c r="J36" i="11"/>
  <c r="I36" i="11"/>
  <c r="K35" i="11"/>
  <c r="J35" i="11"/>
  <c r="I35" i="11"/>
  <c r="K34" i="11"/>
  <c r="J34" i="11"/>
  <c r="I34" i="11"/>
  <c r="K33" i="11"/>
  <c r="J33" i="11"/>
  <c r="I33" i="11"/>
  <c r="K32" i="11"/>
  <c r="J32" i="11"/>
  <c r="I32" i="11"/>
  <c r="K31" i="11"/>
  <c r="J31" i="11"/>
  <c r="I31" i="11"/>
  <c r="K30" i="11"/>
  <c r="J30" i="11"/>
  <c r="I30" i="11"/>
  <c r="K29" i="11"/>
  <c r="J29" i="11"/>
  <c r="I29" i="11"/>
  <c r="K28" i="11"/>
  <c r="J28" i="11"/>
  <c r="I28" i="11"/>
  <c r="K27" i="11"/>
  <c r="J27" i="11"/>
  <c r="I27" i="11"/>
  <c r="K26" i="11"/>
  <c r="J26" i="11"/>
  <c r="I26" i="11"/>
  <c r="K25" i="11"/>
  <c r="J25" i="11"/>
  <c r="I25" i="11"/>
  <c r="K24" i="11"/>
  <c r="J24" i="11"/>
  <c r="I24" i="11"/>
  <c r="K15" i="11"/>
  <c r="J15" i="11"/>
  <c r="I15" i="11"/>
  <c r="K14" i="11"/>
  <c r="J14" i="11"/>
  <c r="I14" i="11"/>
  <c r="K13" i="11"/>
  <c r="J13" i="11"/>
  <c r="I13" i="11"/>
  <c r="K12" i="11"/>
  <c r="J12" i="11"/>
  <c r="I12" i="11"/>
  <c r="K11" i="11"/>
  <c r="J11" i="11"/>
  <c r="I11" i="11"/>
  <c r="K10" i="11"/>
  <c r="J10" i="11"/>
  <c r="I10" i="11"/>
  <c r="K9" i="11"/>
  <c r="J9" i="11"/>
  <c r="I9" i="11"/>
  <c r="K8" i="11"/>
  <c r="J8" i="11"/>
  <c r="I8" i="11"/>
  <c r="K7" i="11"/>
  <c r="J7" i="11"/>
  <c r="I7" i="11"/>
  <c r="K138" i="10"/>
  <c r="J138" i="10"/>
  <c r="I138" i="10"/>
  <c r="K127" i="10"/>
  <c r="J127" i="10"/>
  <c r="I127" i="10"/>
  <c r="K126" i="10"/>
  <c r="J126" i="10"/>
  <c r="I126" i="10"/>
  <c r="K125" i="10"/>
  <c r="J125" i="10"/>
  <c r="I125" i="10"/>
  <c r="K124" i="10"/>
  <c r="J124" i="10"/>
  <c r="I124" i="10"/>
  <c r="K123" i="10"/>
  <c r="J123" i="10"/>
  <c r="I123" i="10"/>
  <c r="K118" i="10"/>
  <c r="J118" i="10"/>
  <c r="I118" i="10"/>
  <c r="K117" i="10"/>
  <c r="J117" i="10"/>
  <c r="I117" i="10"/>
  <c r="K112" i="10"/>
  <c r="J112" i="10"/>
  <c r="I112" i="10"/>
  <c r="K111" i="10"/>
  <c r="J111" i="10"/>
  <c r="I111" i="10"/>
  <c r="K110" i="10"/>
  <c r="J110" i="10"/>
  <c r="I110" i="10"/>
  <c r="K109" i="10"/>
  <c r="J109" i="10"/>
  <c r="I109" i="10"/>
  <c r="K108" i="10"/>
  <c r="J108" i="10"/>
  <c r="I108" i="10"/>
  <c r="K107" i="10"/>
  <c r="J107" i="10"/>
  <c r="I107" i="10"/>
  <c r="K102" i="10"/>
  <c r="J102" i="10"/>
  <c r="I102" i="10"/>
  <c r="K101" i="10"/>
  <c r="J101" i="10"/>
  <c r="I101" i="10"/>
  <c r="K100" i="10"/>
  <c r="J100" i="10"/>
  <c r="I100" i="10"/>
  <c r="K99" i="10"/>
  <c r="J99" i="10"/>
  <c r="I99" i="10"/>
  <c r="K98" i="10"/>
  <c r="J98" i="10"/>
  <c r="I98" i="10"/>
  <c r="K97" i="10"/>
  <c r="J97" i="10"/>
  <c r="I97" i="10"/>
  <c r="K96" i="10"/>
  <c r="J96" i="10"/>
  <c r="I96" i="10"/>
  <c r="K95" i="10"/>
  <c r="J95" i="10"/>
  <c r="I95" i="10"/>
  <c r="K94" i="10"/>
  <c r="J94" i="10"/>
  <c r="I94" i="10"/>
  <c r="K93" i="10"/>
  <c r="J93" i="10"/>
  <c r="I93" i="10"/>
  <c r="K92" i="10"/>
  <c r="J92" i="10"/>
  <c r="I92" i="10"/>
  <c r="K91" i="10"/>
  <c r="J91" i="10"/>
  <c r="I91" i="10"/>
  <c r="K90" i="10"/>
  <c r="J90" i="10"/>
  <c r="I90" i="10"/>
  <c r="K89" i="10"/>
  <c r="J89" i="10"/>
  <c r="I89" i="10"/>
  <c r="K88" i="10"/>
  <c r="J88" i="10"/>
  <c r="I88" i="10"/>
  <c r="K87" i="10"/>
  <c r="J87" i="10"/>
  <c r="I87" i="10"/>
  <c r="K86" i="10"/>
  <c r="J86" i="10"/>
  <c r="I86" i="10"/>
  <c r="K85" i="10"/>
  <c r="J85" i="10"/>
  <c r="I85" i="10"/>
  <c r="K38" i="10"/>
  <c r="J38" i="10"/>
  <c r="I38" i="10"/>
  <c r="K37" i="10"/>
  <c r="J37" i="10"/>
  <c r="I37" i="10"/>
  <c r="K32" i="10"/>
  <c r="J32" i="10"/>
  <c r="I32" i="10"/>
  <c r="K31" i="10"/>
  <c r="J31" i="10"/>
  <c r="I31" i="10"/>
  <c r="K30" i="10"/>
  <c r="J30" i="10"/>
  <c r="I30" i="10"/>
  <c r="K29" i="10"/>
  <c r="J29" i="10"/>
  <c r="I29" i="10"/>
  <c r="K24" i="10"/>
  <c r="J24" i="10"/>
  <c r="I24" i="10"/>
  <c r="K23" i="10"/>
  <c r="J23" i="10"/>
  <c r="I23" i="10"/>
  <c r="K22" i="10"/>
  <c r="J22" i="10"/>
  <c r="I22" i="10"/>
  <c r="K21" i="10"/>
  <c r="J21" i="10"/>
  <c r="I21" i="10"/>
  <c r="K20" i="10"/>
  <c r="J20" i="10"/>
  <c r="I20" i="10"/>
  <c r="K15" i="10"/>
  <c r="J15" i="10"/>
  <c r="I15" i="10"/>
  <c r="K14" i="10"/>
  <c r="J14" i="10"/>
  <c r="I14" i="10"/>
  <c r="K13" i="10"/>
  <c r="J13" i="10"/>
  <c r="I13" i="10"/>
  <c r="K12" i="10"/>
  <c r="J12" i="10"/>
  <c r="I12" i="10"/>
  <c r="K11" i="10"/>
  <c r="J11" i="10"/>
  <c r="I11" i="10"/>
  <c r="K10" i="10"/>
  <c r="J10" i="10"/>
  <c r="I10" i="10"/>
  <c r="K9" i="10"/>
  <c r="J9" i="10"/>
  <c r="I9" i="10"/>
  <c r="K8" i="10"/>
  <c r="J8" i="10"/>
  <c r="I8" i="10"/>
  <c r="K7" i="10"/>
  <c r="J7" i="10"/>
  <c r="I7" i="10"/>
  <c r="K379" i="9"/>
  <c r="J379" i="9"/>
  <c r="I379" i="9"/>
  <c r="K378" i="9"/>
  <c r="J378" i="9"/>
  <c r="I378" i="9"/>
  <c r="K377" i="9"/>
  <c r="J377" i="9"/>
  <c r="I377" i="9"/>
  <c r="K376" i="9"/>
  <c r="J376" i="9"/>
  <c r="I376" i="9"/>
  <c r="K375" i="9"/>
  <c r="J375" i="9"/>
  <c r="I375" i="9"/>
  <c r="K374" i="9"/>
  <c r="J374" i="9"/>
  <c r="I374" i="9"/>
  <c r="K373" i="9"/>
  <c r="J373" i="9"/>
  <c r="I373" i="9"/>
  <c r="K372" i="9"/>
  <c r="J372" i="9"/>
  <c r="I372" i="9"/>
  <c r="K367" i="9"/>
  <c r="J367" i="9"/>
  <c r="I367" i="9"/>
  <c r="K366" i="9"/>
  <c r="J366" i="9"/>
  <c r="I366" i="9"/>
  <c r="K365" i="9"/>
  <c r="J365" i="9"/>
  <c r="I365" i="9"/>
  <c r="K364" i="9"/>
  <c r="J364" i="9"/>
  <c r="I364" i="9"/>
  <c r="K363" i="9"/>
  <c r="J363" i="9"/>
  <c r="I363" i="9"/>
  <c r="K362" i="9"/>
  <c r="J362" i="9"/>
  <c r="I362" i="9"/>
  <c r="K361" i="9"/>
  <c r="J361" i="9"/>
  <c r="I361" i="9"/>
  <c r="K360" i="9"/>
  <c r="J360" i="9"/>
  <c r="I360" i="9"/>
  <c r="K359" i="9"/>
  <c r="J359" i="9"/>
  <c r="I359" i="9"/>
  <c r="K358" i="9"/>
  <c r="J358" i="9"/>
  <c r="I358" i="9"/>
  <c r="K357" i="9"/>
  <c r="J357" i="9"/>
  <c r="I357" i="9"/>
  <c r="K356" i="9"/>
  <c r="J356" i="9"/>
  <c r="I356" i="9"/>
  <c r="K355" i="9"/>
  <c r="J355" i="9"/>
  <c r="I355" i="9"/>
  <c r="K354" i="9"/>
  <c r="J354" i="9"/>
  <c r="I354" i="9"/>
  <c r="K349" i="9"/>
  <c r="J349" i="9"/>
  <c r="I349" i="9"/>
  <c r="K348" i="9"/>
  <c r="J348" i="9"/>
  <c r="I348" i="9"/>
  <c r="K347" i="9"/>
  <c r="J347" i="9"/>
  <c r="I347" i="9"/>
  <c r="K346" i="9"/>
  <c r="J346" i="9"/>
  <c r="I346" i="9"/>
  <c r="K345" i="9"/>
  <c r="J345" i="9"/>
  <c r="I345" i="9"/>
  <c r="K344" i="9"/>
  <c r="J344" i="9"/>
  <c r="I344" i="9"/>
  <c r="K343" i="9"/>
  <c r="J343" i="9"/>
  <c r="I343" i="9"/>
  <c r="K342" i="9"/>
  <c r="J342" i="9"/>
  <c r="I342" i="9"/>
  <c r="K341" i="9"/>
  <c r="J341" i="9"/>
  <c r="I341" i="9"/>
  <c r="K340" i="9"/>
  <c r="J340" i="9"/>
  <c r="I340" i="9"/>
  <c r="K339" i="9"/>
  <c r="J339" i="9"/>
  <c r="I339" i="9"/>
  <c r="K338" i="9"/>
  <c r="J338" i="9"/>
  <c r="I338" i="9"/>
  <c r="K337" i="9"/>
  <c r="J337" i="9"/>
  <c r="I337" i="9"/>
  <c r="K332" i="9"/>
  <c r="J332" i="9"/>
  <c r="I332" i="9"/>
  <c r="K331" i="9"/>
  <c r="J331" i="9"/>
  <c r="I331" i="9"/>
  <c r="K330" i="9"/>
  <c r="J330" i="9"/>
  <c r="I330" i="9"/>
  <c r="K329" i="9"/>
  <c r="J329" i="9"/>
  <c r="I329" i="9"/>
  <c r="K328" i="9"/>
  <c r="J328" i="9"/>
  <c r="I328" i="9"/>
  <c r="K327" i="9"/>
  <c r="J327" i="9"/>
  <c r="I327" i="9"/>
  <c r="K326" i="9"/>
  <c r="J326" i="9"/>
  <c r="I326" i="9"/>
  <c r="K325" i="9"/>
  <c r="J325" i="9"/>
  <c r="I325" i="9"/>
  <c r="K324" i="9"/>
  <c r="J324" i="9"/>
  <c r="I324" i="9"/>
  <c r="K323" i="9"/>
  <c r="J323" i="9"/>
  <c r="I323" i="9"/>
  <c r="K304" i="9"/>
  <c r="J304" i="9"/>
  <c r="I304" i="9"/>
  <c r="K303" i="9"/>
  <c r="J303" i="9"/>
  <c r="I303" i="9"/>
  <c r="K284" i="9"/>
  <c r="J284" i="9"/>
  <c r="I284" i="9"/>
  <c r="K283" i="9"/>
  <c r="J283" i="9"/>
  <c r="I283" i="9"/>
  <c r="K282" i="9"/>
  <c r="J282" i="9"/>
  <c r="I282" i="9"/>
  <c r="K281" i="9"/>
  <c r="J281" i="9"/>
  <c r="I281" i="9"/>
  <c r="K280" i="9"/>
  <c r="J280" i="9"/>
  <c r="I280" i="9"/>
  <c r="K275" i="9"/>
  <c r="J275" i="9"/>
  <c r="I275" i="9"/>
  <c r="K274" i="9"/>
  <c r="J274" i="9"/>
  <c r="I274" i="9"/>
  <c r="K273" i="9"/>
  <c r="J273" i="9"/>
  <c r="I273" i="9"/>
  <c r="K272" i="9"/>
  <c r="J272" i="9"/>
  <c r="I272" i="9"/>
  <c r="K271" i="9"/>
  <c r="J271" i="9"/>
  <c r="I271" i="9"/>
  <c r="K270" i="9"/>
  <c r="J270" i="9"/>
  <c r="I270" i="9"/>
  <c r="K269" i="9"/>
  <c r="J269" i="9"/>
  <c r="I269" i="9"/>
  <c r="K268" i="9"/>
  <c r="J268" i="9"/>
  <c r="I268" i="9"/>
  <c r="K267" i="9"/>
  <c r="J267" i="9"/>
  <c r="I267" i="9"/>
  <c r="K266" i="9"/>
  <c r="J266" i="9"/>
  <c r="I266" i="9"/>
  <c r="K259" i="9"/>
  <c r="J259" i="9"/>
  <c r="I259" i="9"/>
  <c r="K258" i="9"/>
  <c r="J258" i="9"/>
  <c r="I258" i="9"/>
  <c r="K257" i="9"/>
  <c r="J257" i="9"/>
  <c r="I257" i="9"/>
  <c r="K256" i="9"/>
  <c r="J256" i="9"/>
  <c r="I256" i="9"/>
  <c r="K255" i="9"/>
  <c r="J255" i="9"/>
  <c r="I255" i="9"/>
  <c r="K250" i="9"/>
  <c r="J250" i="9"/>
  <c r="I250" i="9"/>
  <c r="K245" i="9"/>
  <c r="J245" i="9"/>
  <c r="I245" i="9"/>
  <c r="K244" i="9"/>
  <c r="J244" i="9"/>
  <c r="I244" i="9"/>
  <c r="K243" i="9"/>
  <c r="J243" i="9"/>
  <c r="I243" i="9"/>
  <c r="K242" i="9"/>
  <c r="J242" i="9"/>
  <c r="I242" i="9"/>
  <c r="K241" i="9"/>
  <c r="J241" i="9"/>
  <c r="I241" i="9"/>
  <c r="K240" i="9"/>
  <c r="J240" i="9"/>
  <c r="I240" i="9"/>
  <c r="K239" i="9"/>
  <c r="J239" i="9"/>
  <c r="I239" i="9"/>
  <c r="K238" i="9"/>
  <c r="J238" i="9"/>
  <c r="I238" i="9"/>
  <c r="K237" i="9"/>
  <c r="J237" i="9"/>
  <c r="I237" i="9"/>
  <c r="K236" i="9"/>
  <c r="J236" i="9"/>
  <c r="I236" i="9"/>
  <c r="K235" i="9"/>
  <c r="J235" i="9"/>
  <c r="I235" i="9"/>
  <c r="K234" i="9"/>
  <c r="J234" i="9"/>
  <c r="I234" i="9"/>
  <c r="K233" i="9"/>
  <c r="J233" i="9"/>
  <c r="I233" i="9"/>
  <c r="K232" i="9"/>
  <c r="J232" i="9"/>
  <c r="I232" i="9"/>
  <c r="K231" i="9"/>
  <c r="J231" i="9"/>
  <c r="I231" i="9"/>
  <c r="K226" i="9"/>
  <c r="J226" i="9"/>
  <c r="I226" i="9"/>
  <c r="K225" i="9"/>
  <c r="J225" i="9"/>
  <c r="I225" i="9"/>
  <c r="K224" i="9"/>
  <c r="J224" i="9"/>
  <c r="I224" i="9"/>
  <c r="K223" i="9"/>
  <c r="J223" i="9"/>
  <c r="I223" i="9"/>
  <c r="K222" i="9"/>
  <c r="J222" i="9"/>
  <c r="I222" i="9"/>
  <c r="K221" i="9"/>
  <c r="J221" i="9"/>
  <c r="I221" i="9"/>
  <c r="K220" i="9"/>
  <c r="J220" i="9"/>
  <c r="I220" i="9"/>
  <c r="K219" i="9"/>
  <c r="J219" i="9"/>
  <c r="I219" i="9"/>
  <c r="K218" i="9"/>
  <c r="J218" i="9"/>
  <c r="I218" i="9"/>
  <c r="K217" i="9"/>
  <c r="J217" i="9"/>
  <c r="I217" i="9"/>
  <c r="K216" i="9"/>
  <c r="J216" i="9"/>
  <c r="I216" i="9"/>
  <c r="K215" i="9"/>
  <c r="J215" i="9"/>
  <c r="I215" i="9"/>
  <c r="K214" i="9"/>
  <c r="J214" i="9"/>
  <c r="I214" i="9"/>
  <c r="K213" i="9"/>
  <c r="J213" i="9"/>
  <c r="I213" i="9"/>
  <c r="K212" i="9"/>
  <c r="J212" i="9"/>
  <c r="I212" i="9"/>
  <c r="K211" i="9"/>
  <c r="J211" i="9"/>
  <c r="I211" i="9"/>
  <c r="K210" i="9"/>
  <c r="J210" i="9"/>
  <c r="I210" i="9"/>
  <c r="K163" i="9"/>
  <c r="J163" i="9"/>
  <c r="I163" i="9"/>
  <c r="K162" i="9"/>
  <c r="J162" i="9"/>
  <c r="I162" i="9"/>
  <c r="K157" i="9"/>
  <c r="J157" i="9"/>
  <c r="I157" i="9"/>
  <c r="K156" i="9"/>
  <c r="J156" i="9"/>
  <c r="I156" i="9"/>
  <c r="K155" i="9"/>
  <c r="J155" i="9"/>
  <c r="I155" i="9"/>
  <c r="K154" i="9"/>
  <c r="J154" i="9"/>
  <c r="I154" i="9"/>
  <c r="K153" i="9"/>
  <c r="J153" i="9"/>
  <c r="I153" i="9"/>
  <c r="K152" i="9"/>
  <c r="J152" i="9"/>
  <c r="I152" i="9"/>
  <c r="K151" i="9"/>
  <c r="J151" i="9"/>
  <c r="I151" i="9"/>
  <c r="K150" i="9"/>
  <c r="J150" i="9"/>
  <c r="I150" i="9"/>
  <c r="K149" i="9"/>
  <c r="J149" i="9"/>
  <c r="I149" i="9"/>
  <c r="K148" i="9"/>
  <c r="J148" i="9"/>
  <c r="I148" i="9"/>
  <c r="K147" i="9"/>
  <c r="J147" i="9"/>
  <c r="I147" i="9"/>
  <c r="K146" i="9"/>
  <c r="J146" i="9"/>
  <c r="I146" i="9"/>
  <c r="K145" i="9"/>
  <c r="J145" i="9"/>
  <c r="I145" i="9"/>
  <c r="K144" i="9"/>
  <c r="J144" i="9"/>
  <c r="I144" i="9"/>
  <c r="K143" i="9"/>
  <c r="J143" i="9"/>
  <c r="I143" i="9"/>
  <c r="K142" i="9"/>
  <c r="J142" i="9"/>
  <c r="I142" i="9"/>
  <c r="K141" i="9"/>
  <c r="J141" i="9"/>
  <c r="I141" i="9"/>
  <c r="K140" i="9"/>
  <c r="J140" i="9"/>
  <c r="I140" i="9"/>
  <c r="K131" i="9"/>
  <c r="J131" i="9"/>
  <c r="I131" i="9"/>
  <c r="K130" i="9"/>
  <c r="J130" i="9"/>
  <c r="I130" i="9"/>
  <c r="K129" i="9"/>
  <c r="J129" i="9"/>
  <c r="I129" i="9"/>
  <c r="K128" i="9"/>
  <c r="J128" i="9"/>
  <c r="I128" i="9"/>
  <c r="K127" i="9"/>
  <c r="J127" i="9"/>
  <c r="I127" i="9"/>
  <c r="K126" i="9"/>
  <c r="J126" i="9"/>
  <c r="I126" i="9"/>
  <c r="K125" i="9"/>
  <c r="J125" i="9"/>
  <c r="I125" i="9"/>
  <c r="K102" i="9"/>
  <c r="J102" i="9"/>
  <c r="I102" i="9"/>
  <c r="K101" i="9"/>
  <c r="J101" i="9"/>
  <c r="I101" i="9"/>
  <c r="K100" i="9"/>
  <c r="J100" i="9"/>
  <c r="I100" i="9"/>
  <c r="K93" i="9"/>
  <c r="J93" i="9"/>
  <c r="I93" i="9"/>
  <c r="K88" i="9"/>
  <c r="J88" i="9"/>
  <c r="I88" i="9"/>
  <c r="K87" i="9"/>
  <c r="J87" i="9"/>
  <c r="I87" i="9"/>
  <c r="K86" i="9"/>
  <c r="J86" i="9"/>
  <c r="I86" i="9"/>
  <c r="K81" i="9"/>
  <c r="J81" i="9"/>
  <c r="I81" i="9"/>
  <c r="K80" i="9"/>
  <c r="J80" i="9"/>
  <c r="I80" i="9"/>
  <c r="K69" i="9"/>
  <c r="J69" i="9"/>
  <c r="I69" i="9"/>
  <c r="K68" i="9"/>
  <c r="J68" i="9"/>
  <c r="I68" i="9"/>
  <c r="K67" i="9"/>
  <c r="J67" i="9"/>
  <c r="I67" i="9"/>
  <c r="K66" i="9"/>
  <c r="J66" i="9"/>
  <c r="I66" i="9"/>
  <c r="K65" i="9"/>
  <c r="J65" i="9"/>
  <c r="I65" i="9"/>
  <c r="K64" i="9"/>
  <c r="J64" i="9"/>
  <c r="I64" i="9"/>
  <c r="K59" i="9"/>
  <c r="J59" i="9"/>
  <c r="I59" i="9"/>
  <c r="K58" i="9"/>
  <c r="J58" i="9"/>
  <c r="I58" i="9"/>
  <c r="K57" i="9"/>
  <c r="J57" i="9"/>
  <c r="I57" i="9"/>
  <c r="K56" i="9"/>
  <c r="J56" i="9"/>
  <c r="I56" i="9"/>
  <c r="K55" i="9"/>
  <c r="J55" i="9"/>
  <c r="I55" i="9"/>
  <c r="K54" i="9"/>
  <c r="J54" i="9"/>
  <c r="I54" i="9"/>
  <c r="K53" i="9"/>
  <c r="J53" i="9"/>
  <c r="I53" i="9"/>
  <c r="K52" i="9"/>
  <c r="J52" i="9"/>
  <c r="I52" i="9"/>
  <c r="K51" i="9"/>
  <c r="J51" i="9"/>
  <c r="I51" i="9"/>
  <c r="K50" i="9"/>
  <c r="J50" i="9"/>
  <c r="I50" i="9"/>
  <c r="K49" i="9"/>
  <c r="J49" i="9"/>
  <c r="I49" i="9"/>
  <c r="K48" i="9"/>
  <c r="J48" i="9"/>
  <c r="I48" i="9"/>
  <c r="K47" i="9"/>
  <c r="J47" i="9"/>
  <c r="I47" i="9"/>
  <c r="K46" i="9"/>
  <c r="J46" i="9"/>
  <c r="I46" i="9"/>
  <c r="K45" i="9"/>
  <c r="J45" i="9"/>
  <c r="I45" i="9"/>
  <c r="K44" i="9"/>
  <c r="J44" i="9"/>
  <c r="I44" i="9"/>
  <c r="K43" i="9"/>
  <c r="J43" i="9"/>
  <c r="I43" i="9"/>
  <c r="K42" i="9"/>
  <c r="J42" i="9"/>
  <c r="I42" i="9"/>
  <c r="K41" i="9"/>
  <c r="J41" i="9"/>
  <c r="I41" i="9"/>
  <c r="K40" i="9"/>
  <c r="J40" i="9"/>
  <c r="I40" i="9"/>
  <c r="K39" i="9"/>
  <c r="J39" i="9"/>
  <c r="I39" i="9"/>
  <c r="K38" i="9"/>
  <c r="J38" i="9"/>
  <c r="I38" i="9"/>
  <c r="K37" i="9"/>
  <c r="J37" i="9"/>
  <c r="I37" i="9"/>
  <c r="K36" i="9"/>
  <c r="J36" i="9"/>
  <c r="I36" i="9"/>
  <c r="K35" i="9"/>
  <c r="J35" i="9"/>
  <c r="I35" i="9"/>
  <c r="K34" i="9"/>
  <c r="J34" i="9"/>
  <c r="I34" i="9"/>
  <c r="K33" i="9"/>
  <c r="J33" i="9"/>
  <c r="I33" i="9"/>
  <c r="K32" i="9"/>
  <c r="J32" i="9"/>
  <c r="I32" i="9"/>
  <c r="K31" i="9"/>
  <c r="J31" i="9"/>
  <c r="I31" i="9"/>
  <c r="K30" i="9"/>
  <c r="J30" i="9"/>
  <c r="I30" i="9"/>
  <c r="K25" i="9"/>
  <c r="J25" i="9"/>
  <c r="I25" i="9"/>
  <c r="K24" i="9"/>
  <c r="J24" i="9"/>
  <c r="I24" i="9"/>
  <c r="K23" i="9"/>
  <c r="J23" i="9"/>
  <c r="I23" i="9"/>
  <c r="K22" i="9"/>
  <c r="J22" i="9"/>
  <c r="I22" i="9"/>
  <c r="K21" i="9"/>
  <c r="J21" i="9"/>
  <c r="I21" i="9"/>
  <c r="K20" i="9"/>
  <c r="J20" i="9"/>
  <c r="I20" i="9"/>
  <c r="K19" i="9"/>
  <c r="J19" i="9"/>
  <c r="I19" i="9"/>
  <c r="K18" i="9"/>
  <c r="J18" i="9"/>
  <c r="I18" i="9"/>
  <c r="K13" i="9"/>
  <c r="J13" i="9"/>
  <c r="I13" i="9"/>
  <c r="K12" i="9"/>
  <c r="J12" i="9"/>
  <c r="I12" i="9"/>
  <c r="K11" i="9"/>
  <c r="J11" i="9"/>
  <c r="I11" i="9"/>
  <c r="K10" i="9"/>
  <c r="J10" i="9"/>
  <c r="I10" i="9"/>
  <c r="K9" i="9"/>
  <c r="J9" i="9"/>
  <c r="I9" i="9"/>
  <c r="K8" i="9"/>
  <c r="J8" i="9"/>
  <c r="I8" i="9"/>
  <c r="K7" i="9"/>
  <c r="J7" i="9"/>
  <c r="I7" i="9"/>
  <c r="K378" i="7"/>
  <c r="J378" i="7"/>
  <c r="I378" i="7"/>
  <c r="K377" i="7"/>
  <c r="J377" i="7"/>
  <c r="I377" i="7"/>
  <c r="K376" i="7"/>
  <c r="J376" i="7"/>
  <c r="I376" i="7"/>
  <c r="K375" i="7"/>
  <c r="J375" i="7"/>
  <c r="I375" i="7"/>
  <c r="K370" i="7"/>
  <c r="J370" i="7"/>
  <c r="I370" i="7"/>
  <c r="K369" i="7"/>
  <c r="J369" i="7"/>
  <c r="I369" i="7"/>
  <c r="K368" i="7"/>
  <c r="J368" i="7"/>
  <c r="I368" i="7"/>
  <c r="K367" i="7"/>
  <c r="J367" i="7"/>
  <c r="I367" i="7"/>
  <c r="K366" i="7"/>
  <c r="J366" i="7"/>
  <c r="I366" i="7"/>
  <c r="K365" i="7"/>
  <c r="J365" i="7"/>
  <c r="I365" i="7"/>
  <c r="K364" i="7"/>
  <c r="J364" i="7"/>
  <c r="I364" i="7"/>
  <c r="K363" i="7"/>
  <c r="J363" i="7"/>
  <c r="I363" i="7"/>
  <c r="K362" i="7"/>
  <c r="J362" i="7"/>
  <c r="I362" i="7"/>
  <c r="K361" i="7"/>
  <c r="J361" i="7"/>
  <c r="I361" i="7"/>
  <c r="K360" i="7"/>
  <c r="J360" i="7"/>
  <c r="I360" i="7"/>
  <c r="K355" i="7"/>
  <c r="J355" i="7"/>
  <c r="I355" i="7"/>
  <c r="K354" i="7"/>
  <c r="J354" i="7"/>
  <c r="I354" i="7"/>
  <c r="K353" i="7"/>
  <c r="J353" i="7"/>
  <c r="I353" i="7"/>
  <c r="K352" i="7"/>
  <c r="J352" i="7"/>
  <c r="I352" i="7"/>
  <c r="K351" i="7"/>
  <c r="J351" i="7"/>
  <c r="I351" i="7"/>
  <c r="K346" i="7"/>
  <c r="J346" i="7"/>
  <c r="I346" i="7"/>
  <c r="K345" i="7"/>
  <c r="J345" i="7"/>
  <c r="I345" i="7"/>
  <c r="K322" i="7"/>
  <c r="J322" i="7"/>
  <c r="I322" i="7"/>
  <c r="K321" i="7"/>
  <c r="J321" i="7"/>
  <c r="I321" i="7"/>
  <c r="K320" i="7"/>
  <c r="J320" i="7"/>
  <c r="I320" i="7"/>
  <c r="K319" i="7"/>
  <c r="J319" i="7"/>
  <c r="I319" i="7"/>
  <c r="K308" i="7"/>
  <c r="J308" i="7"/>
  <c r="I308" i="7"/>
  <c r="K307" i="7"/>
  <c r="J307" i="7"/>
  <c r="I307" i="7"/>
  <c r="K306" i="7"/>
  <c r="J306" i="7"/>
  <c r="I306" i="7"/>
  <c r="K297" i="7"/>
  <c r="J297" i="7"/>
  <c r="I297" i="7"/>
  <c r="K296" i="7"/>
  <c r="J296" i="7"/>
  <c r="I296" i="7"/>
  <c r="K295" i="7"/>
  <c r="J295" i="7"/>
  <c r="I295" i="7"/>
  <c r="K288" i="7"/>
  <c r="J288" i="7"/>
  <c r="I288" i="7"/>
  <c r="K287" i="7"/>
  <c r="J287" i="7"/>
  <c r="I287" i="7"/>
  <c r="K286" i="7"/>
  <c r="J286" i="7"/>
  <c r="I286" i="7"/>
  <c r="K285" i="7"/>
  <c r="J285" i="7"/>
  <c r="I285" i="7"/>
  <c r="K284" i="7"/>
  <c r="J284" i="7"/>
  <c r="I284" i="7"/>
  <c r="K283" i="7"/>
  <c r="J283" i="7"/>
  <c r="I283" i="7"/>
  <c r="K278" i="7"/>
  <c r="J278" i="7"/>
  <c r="I278" i="7"/>
  <c r="K277" i="7"/>
  <c r="J277" i="7"/>
  <c r="I277" i="7"/>
  <c r="K276" i="7"/>
  <c r="J276" i="7"/>
  <c r="I276" i="7"/>
  <c r="K275" i="7"/>
  <c r="J275" i="7"/>
  <c r="I275" i="7"/>
  <c r="K274" i="7"/>
  <c r="J274" i="7"/>
  <c r="I274" i="7"/>
  <c r="K273" i="7"/>
  <c r="J273" i="7"/>
  <c r="I273" i="7"/>
  <c r="K272" i="7"/>
  <c r="J272" i="7"/>
  <c r="I272" i="7"/>
  <c r="K271" i="7"/>
  <c r="J271" i="7"/>
  <c r="I271" i="7"/>
  <c r="K270" i="7"/>
  <c r="J270" i="7"/>
  <c r="I270" i="7"/>
  <c r="K269" i="7"/>
  <c r="J269" i="7"/>
  <c r="I269" i="7"/>
  <c r="K268" i="7"/>
  <c r="J268" i="7"/>
  <c r="I268" i="7"/>
  <c r="K267" i="7"/>
  <c r="J267" i="7"/>
  <c r="I267" i="7"/>
  <c r="K266" i="7"/>
  <c r="J266" i="7"/>
  <c r="I266" i="7"/>
  <c r="K265" i="7"/>
  <c r="J265" i="7"/>
  <c r="I265" i="7"/>
  <c r="K264" i="7"/>
  <c r="J264" i="7"/>
  <c r="I264" i="7"/>
  <c r="K263" i="7"/>
  <c r="J263" i="7"/>
  <c r="I263" i="7"/>
  <c r="K262" i="7"/>
  <c r="J262" i="7"/>
  <c r="I262" i="7"/>
  <c r="K261" i="7"/>
  <c r="J261" i="7"/>
  <c r="I261" i="7"/>
  <c r="K260" i="7"/>
  <c r="J260" i="7"/>
  <c r="I260" i="7"/>
  <c r="K259" i="7"/>
  <c r="J259" i="7"/>
  <c r="I259" i="7"/>
  <c r="K258" i="7"/>
  <c r="J258" i="7"/>
  <c r="I258" i="7"/>
  <c r="K257" i="7"/>
  <c r="J257" i="7"/>
  <c r="I257" i="7"/>
  <c r="K252" i="7"/>
  <c r="J252" i="7"/>
  <c r="I252" i="7"/>
  <c r="K247" i="7"/>
  <c r="J247" i="7"/>
  <c r="I247" i="7"/>
  <c r="K246" i="7"/>
  <c r="J246" i="7"/>
  <c r="I246" i="7"/>
  <c r="K245" i="7"/>
  <c r="J245" i="7"/>
  <c r="I245" i="7"/>
  <c r="K244" i="7"/>
  <c r="J244" i="7"/>
  <c r="I244" i="7"/>
  <c r="K243" i="7"/>
  <c r="J243" i="7"/>
  <c r="I243" i="7"/>
  <c r="K242" i="7"/>
  <c r="J242" i="7"/>
  <c r="I242" i="7"/>
  <c r="K241" i="7"/>
  <c r="J241" i="7"/>
  <c r="I241" i="7"/>
  <c r="K240" i="7"/>
  <c r="J240" i="7"/>
  <c r="I240" i="7"/>
  <c r="K239" i="7"/>
  <c r="J239" i="7"/>
  <c r="I239" i="7"/>
  <c r="K238" i="7"/>
  <c r="J238" i="7"/>
  <c r="I238" i="7"/>
  <c r="K237" i="7"/>
  <c r="J237" i="7"/>
  <c r="I237" i="7"/>
  <c r="K236" i="7"/>
  <c r="J236" i="7"/>
  <c r="I236" i="7"/>
  <c r="K235" i="7"/>
  <c r="J235" i="7"/>
  <c r="I235" i="7"/>
  <c r="K234" i="7"/>
  <c r="J234" i="7"/>
  <c r="I234" i="7"/>
  <c r="K233" i="7"/>
  <c r="J233" i="7"/>
  <c r="I233" i="7"/>
  <c r="K186" i="7"/>
  <c r="J186" i="7"/>
  <c r="I186" i="7"/>
  <c r="K185" i="7"/>
  <c r="J185" i="7"/>
  <c r="I185" i="7"/>
  <c r="K184" i="7"/>
  <c r="J184" i="7"/>
  <c r="I184" i="7"/>
  <c r="K183" i="7"/>
  <c r="J183" i="7"/>
  <c r="I183" i="7"/>
  <c r="K182" i="7"/>
  <c r="J182" i="7"/>
  <c r="I182" i="7"/>
  <c r="K173" i="7"/>
  <c r="J173" i="7"/>
  <c r="I173" i="7"/>
  <c r="K172" i="7"/>
  <c r="J172" i="7"/>
  <c r="I172" i="7"/>
  <c r="K171" i="7"/>
  <c r="J171" i="7"/>
  <c r="I171" i="7"/>
  <c r="K170" i="7"/>
  <c r="J170" i="7"/>
  <c r="I170" i="7"/>
  <c r="K169" i="7"/>
  <c r="J169" i="7"/>
  <c r="I169" i="7"/>
  <c r="K168" i="7"/>
  <c r="J168" i="7"/>
  <c r="I168" i="7"/>
  <c r="K167" i="7"/>
  <c r="J167" i="7"/>
  <c r="I167" i="7"/>
  <c r="K166" i="7"/>
  <c r="J166" i="7"/>
  <c r="I166" i="7"/>
  <c r="K165" i="7"/>
  <c r="J165" i="7"/>
  <c r="I165" i="7"/>
  <c r="K164" i="7"/>
  <c r="J164" i="7"/>
  <c r="I164" i="7"/>
  <c r="K163" i="7"/>
  <c r="J163" i="7"/>
  <c r="I163" i="7"/>
  <c r="K162" i="7"/>
  <c r="J162" i="7"/>
  <c r="I162" i="7"/>
  <c r="K161" i="7"/>
  <c r="J161" i="7"/>
  <c r="I161" i="7"/>
  <c r="K160" i="7"/>
  <c r="J160" i="7"/>
  <c r="I160" i="7"/>
  <c r="K159" i="7"/>
  <c r="J159" i="7"/>
  <c r="I159" i="7"/>
  <c r="K158" i="7"/>
  <c r="J158" i="7"/>
  <c r="I158" i="7"/>
  <c r="K157" i="7"/>
  <c r="J157" i="7"/>
  <c r="I157" i="7"/>
  <c r="K156" i="7"/>
  <c r="J156" i="7"/>
  <c r="I156" i="7"/>
  <c r="K155" i="7"/>
  <c r="J155" i="7"/>
  <c r="I155" i="7"/>
  <c r="K154" i="7"/>
  <c r="J154" i="7"/>
  <c r="I154" i="7"/>
  <c r="K153" i="7"/>
  <c r="J153" i="7"/>
  <c r="I153" i="7"/>
  <c r="K152" i="7"/>
  <c r="J152" i="7"/>
  <c r="I152" i="7"/>
  <c r="K151" i="7"/>
  <c r="J151" i="7"/>
  <c r="I151" i="7"/>
  <c r="K150" i="7"/>
  <c r="J150" i="7"/>
  <c r="I150" i="7"/>
  <c r="K145" i="7"/>
  <c r="J145" i="7"/>
  <c r="I145" i="7"/>
  <c r="K144" i="7"/>
  <c r="J144" i="7"/>
  <c r="I144" i="7"/>
  <c r="K133" i="7"/>
  <c r="J133" i="7"/>
  <c r="I133" i="7"/>
  <c r="K128" i="7"/>
  <c r="J128" i="7"/>
  <c r="I128" i="7"/>
  <c r="K127" i="7"/>
  <c r="J127" i="7"/>
  <c r="I127" i="7"/>
  <c r="K122" i="7"/>
  <c r="J122" i="7"/>
  <c r="I122" i="7"/>
  <c r="K121" i="7"/>
  <c r="J121" i="7"/>
  <c r="I121" i="7"/>
  <c r="K116" i="7"/>
  <c r="J116" i="7"/>
  <c r="I116" i="7"/>
  <c r="K115" i="7"/>
  <c r="J115" i="7"/>
  <c r="I115" i="7"/>
  <c r="K114" i="7"/>
  <c r="J114" i="7"/>
  <c r="I114" i="7"/>
  <c r="K113" i="7"/>
  <c r="J113" i="7"/>
  <c r="I113" i="7"/>
  <c r="K112" i="7"/>
  <c r="J112" i="7"/>
  <c r="I112" i="7"/>
  <c r="K111" i="7"/>
  <c r="J111" i="7"/>
  <c r="I111" i="7"/>
  <c r="K104" i="7"/>
  <c r="J104" i="7"/>
  <c r="I104" i="7"/>
  <c r="K103" i="7"/>
  <c r="J103" i="7"/>
  <c r="I103" i="7"/>
  <c r="K98" i="7"/>
  <c r="J98" i="7"/>
  <c r="I98" i="7"/>
  <c r="K97" i="7"/>
  <c r="J97" i="7"/>
  <c r="I97" i="7"/>
  <c r="K96" i="7"/>
  <c r="J96" i="7"/>
  <c r="I96" i="7"/>
  <c r="K95" i="7"/>
  <c r="J95" i="7"/>
  <c r="I95" i="7"/>
  <c r="K94" i="7"/>
  <c r="J94" i="7"/>
  <c r="I94" i="7"/>
  <c r="K93" i="7"/>
  <c r="J93" i="7"/>
  <c r="I93" i="7"/>
  <c r="K92" i="7"/>
  <c r="J92" i="7"/>
  <c r="I92" i="7"/>
  <c r="K91" i="7"/>
  <c r="J91" i="7"/>
  <c r="I91" i="7"/>
  <c r="K90" i="7"/>
  <c r="J90" i="7"/>
  <c r="I90" i="7"/>
  <c r="K89" i="7"/>
  <c r="J89" i="7"/>
  <c r="I89" i="7"/>
  <c r="K84" i="7"/>
  <c r="J84" i="7"/>
  <c r="I84" i="7"/>
  <c r="K73" i="7"/>
  <c r="J73" i="7"/>
  <c r="I73" i="7"/>
  <c r="K72" i="7"/>
  <c r="J72" i="7"/>
  <c r="I72" i="7"/>
  <c r="K71" i="7"/>
  <c r="J71" i="7"/>
  <c r="I71" i="7"/>
  <c r="K70" i="7"/>
  <c r="J70" i="7"/>
  <c r="I70" i="7"/>
  <c r="K69" i="7"/>
  <c r="J69" i="7"/>
  <c r="I69" i="7"/>
  <c r="K68" i="7"/>
  <c r="J68" i="7"/>
  <c r="I68" i="7"/>
  <c r="K67" i="7"/>
  <c r="J67" i="7"/>
  <c r="I67" i="7"/>
  <c r="K66" i="7"/>
  <c r="J66" i="7"/>
  <c r="I66" i="7"/>
  <c r="K65" i="7"/>
  <c r="J65" i="7"/>
  <c r="I65" i="7"/>
  <c r="K64" i="7"/>
  <c r="J64" i="7"/>
  <c r="I64" i="7"/>
  <c r="K63" i="7"/>
  <c r="J63" i="7"/>
  <c r="I63" i="7"/>
  <c r="K62" i="7"/>
  <c r="J62" i="7"/>
  <c r="I62" i="7"/>
  <c r="K61" i="7"/>
  <c r="J61" i="7"/>
  <c r="I61" i="7"/>
  <c r="K60" i="7"/>
  <c r="J60" i="7"/>
  <c r="I60" i="7"/>
  <c r="K55" i="7"/>
  <c r="J55" i="7"/>
  <c r="I55" i="7"/>
  <c r="K54" i="7"/>
  <c r="J54" i="7"/>
  <c r="I54" i="7"/>
  <c r="K53" i="7"/>
  <c r="J53" i="7"/>
  <c r="I53" i="7"/>
  <c r="K52" i="7"/>
  <c r="J52" i="7"/>
  <c r="I52" i="7"/>
  <c r="K51" i="7"/>
  <c r="J51" i="7"/>
  <c r="I51" i="7"/>
  <c r="K50" i="7"/>
  <c r="J50" i="7"/>
  <c r="I50" i="7"/>
  <c r="K49" i="7"/>
  <c r="J49" i="7"/>
  <c r="I49" i="7"/>
  <c r="K48" i="7"/>
  <c r="J48" i="7"/>
  <c r="I48" i="7"/>
  <c r="K47" i="7"/>
  <c r="J47" i="7"/>
  <c r="I47" i="7"/>
  <c r="K46" i="7"/>
  <c r="J46" i="7"/>
  <c r="I46" i="7"/>
  <c r="K45" i="7"/>
  <c r="J45" i="7"/>
  <c r="I45" i="7"/>
  <c r="K44" i="7"/>
  <c r="J44" i="7"/>
  <c r="I44" i="7"/>
  <c r="K43" i="7"/>
  <c r="J43" i="7"/>
  <c r="I43" i="7"/>
  <c r="K42" i="7"/>
  <c r="J42" i="7"/>
  <c r="I42" i="7"/>
  <c r="K41" i="7"/>
  <c r="J41" i="7"/>
  <c r="I41" i="7"/>
  <c r="K40" i="7"/>
  <c r="J40" i="7"/>
  <c r="I40" i="7"/>
  <c r="K39" i="7"/>
  <c r="J39" i="7"/>
  <c r="I39" i="7"/>
  <c r="K38" i="7"/>
  <c r="J38" i="7"/>
  <c r="I38" i="7"/>
  <c r="K37" i="7"/>
  <c r="J37" i="7"/>
  <c r="I37" i="7"/>
  <c r="K36" i="7"/>
  <c r="J36" i="7"/>
  <c r="I36" i="7"/>
  <c r="K35" i="7"/>
  <c r="J35" i="7"/>
  <c r="I35" i="7"/>
  <c r="K30" i="7"/>
  <c r="J30" i="7"/>
  <c r="I30" i="7"/>
  <c r="K29" i="7"/>
  <c r="J29" i="7"/>
  <c r="I29" i="7"/>
  <c r="K28" i="7"/>
  <c r="J28" i="7"/>
  <c r="I28" i="7"/>
  <c r="K27" i="7"/>
  <c r="J27" i="7"/>
  <c r="I27" i="7"/>
  <c r="K26" i="7"/>
  <c r="J26" i="7"/>
  <c r="I26" i="7"/>
  <c r="K25" i="7"/>
  <c r="J25" i="7"/>
  <c r="I25" i="7"/>
  <c r="K24" i="7"/>
  <c r="J24" i="7"/>
  <c r="I24" i="7"/>
  <c r="K23" i="7"/>
  <c r="J23" i="7"/>
  <c r="I23" i="7"/>
  <c r="K22" i="7"/>
  <c r="J22" i="7"/>
  <c r="I22" i="7"/>
  <c r="K21" i="7"/>
  <c r="J21" i="7"/>
  <c r="I21" i="7"/>
  <c r="K16" i="7"/>
  <c r="J16" i="7"/>
  <c r="I16" i="7"/>
  <c r="K15" i="7"/>
  <c r="J15" i="7"/>
  <c r="I15" i="7"/>
  <c r="K14" i="7"/>
  <c r="J14" i="7"/>
  <c r="I14" i="7"/>
  <c r="K13" i="7"/>
  <c r="J13" i="7"/>
  <c r="I13" i="7"/>
  <c r="K12" i="7"/>
  <c r="J12" i="7"/>
  <c r="I12" i="7"/>
  <c r="K11" i="7"/>
  <c r="J11" i="7"/>
  <c r="I11" i="7"/>
  <c r="K10" i="7"/>
  <c r="J10" i="7"/>
  <c r="I10" i="7"/>
  <c r="K9" i="7"/>
  <c r="J9" i="7"/>
  <c r="I9" i="7"/>
  <c r="K8" i="7"/>
  <c r="J8" i="7"/>
  <c r="I8" i="7"/>
  <c r="K7" i="7"/>
  <c r="J7" i="7"/>
  <c r="I7" i="7"/>
  <c r="K436" i="8"/>
  <c r="J436" i="8"/>
  <c r="I436" i="8"/>
  <c r="K435" i="8"/>
  <c r="J435" i="8"/>
  <c r="I435" i="8"/>
  <c r="K434" i="8"/>
  <c r="J434" i="8"/>
  <c r="I434" i="8"/>
  <c r="K433" i="8"/>
  <c r="J433" i="8"/>
  <c r="I433" i="8"/>
  <c r="K432" i="8"/>
  <c r="J432" i="8"/>
  <c r="I432" i="8"/>
  <c r="K431" i="8"/>
  <c r="J431" i="8"/>
  <c r="I431" i="8"/>
  <c r="K426" i="8"/>
  <c r="J426" i="8"/>
  <c r="I426" i="8"/>
  <c r="K425" i="8"/>
  <c r="J425" i="8"/>
  <c r="I425" i="8"/>
  <c r="K424" i="8"/>
  <c r="J424" i="8"/>
  <c r="I424" i="8"/>
  <c r="K423" i="8"/>
  <c r="J423" i="8"/>
  <c r="I423" i="8"/>
  <c r="K422" i="8"/>
  <c r="J422" i="8"/>
  <c r="I422" i="8"/>
  <c r="K421" i="8"/>
  <c r="J421" i="8"/>
  <c r="I421" i="8"/>
  <c r="K420" i="8"/>
  <c r="J420" i="8"/>
  <c r="I420" i="8"/>
  <c r="K411" i="8"/>
  <c r="J411" i="8"/>
  <c r="I411" i="8"/>
  <c r="K410" i="8"/>
  <c r="J410" i="8"/>
  <c r="I410" i="8"/>
  <c r="K399" i="8"/>
  <c r="J399" i="8"/>
  <c r="I399" i="8"/>
  <c r="K398" i="8"/>
  <c r="J398" i="8"/>
  <c r="I398" i="8"/>
  <c r="K397" i="8"/>
  <c r="J397" i="8"/>
  <c r="I397" i="8"/>
  <c r="K396" i="8"/>
  <c r="J396" i="8"/>
  <c r="I396" i="8"/>
  <c r="K391" i="8"/>
  <c r="J391" i="8"/>
  <c r="I391" i="8"/>
  <c r="K390" i="8"/>
  <c r="J390" i="8"/>
  <c r="I390" i="8"/>
  <c r="K371" i="8"/>
  <c r="J371" i="8"/>
  <c r="I371" i="8"/>
  <c r="K370" i="8"/>
  <c r="J370" i="8"/>
  <c r="I370" i="8"/>
  <c r="K361" i="8"/>
  <c r="J361" i="8"/>
  <c r="I361" i="8"/>
  <c r="K360" i="8"/>
  <c r="J360" i="8"/>
  <c r="I360" i="8"/>
  <c r="K353" i="8"/>
  <c r="J353" i="8"/>
  <c r="I353" i="8"/>
  <c r="K352" i="8"/>
  <c r="J352" i="8"/>
  <c r="I352" i="8"/>
  <c r="K351" i="8"/>
  <c r="J351" i="8"/>
  <c r="I351" i="8"/>
  <c r="K350" i="8"/>
  <c r="J350" i="8"/>
  <c r="I350" i="8"/>
  <c r="K349" i="8"/>
  <c r="J349" i="8"/>
  <c r="I349" i="8"/>
  <c r="K348" i="8"/>
  <c r="J348" i="8"/>
  <c r="I348" i="8"/>
  <c r="K347" i="8"/>
  <c r="J347" i="8"/>
  <c r="I347" i="8"/>
  <c r="K346" i="8"/>
  <c r="J346" i="8"/>
  <c r="I346" i="8"/>
  <c r="K345" i="8"/>
  <c r="J345" i="8"/>
  <c r="I345" i="8"/>
  <c r="K344" i="8"/>
  <c r="J344" i="8"/>
  <c r="I344" i="8"/>
  <c r="K343" i="8"/>
  <c r="J343" i="8"/>
  <c r="I343" i="8"/>
  <c r="K338" i="8"/>
  <c r="J338" i="8"/>
  <c r="I338" i="8"/>
  <c r="K337" i="8"/>
  <c r="J337" i="8"/>
  <c r="I337" i="8"/>
  <c r="K336" i="8"/>
  <c r="J336" i="8"/>
  <c r="I336" i="8"/>
  <c r="K335" i="8"/>
  <c r="J335" i="8"/>
  <c r="I335" i="8"/>
  <c r="K334" i="8"/>
  <c r="J334" i="8"/>
  <c r="I334" i="8"/>
  <c r="K333" i="8"/>
  <c r="J333" i="8"/>
  <c r="I333" i="8"/>
  <c r="K332" i="8"/>
  <c r="J332" i="8"/>
  <c r="I332" i="8"/>
  <c r="K331" i="8"/>
  <c r="J331" i="8"/>
  <c r="I331" i="8"/>
  <c r="K330" i="8"/>
  <c r="J330" i="8"/>
  <c r="I330" i="8"/>
  <c r="K329" i="8"/>
  <c r="J329" i="8"/>
  <c r="I329" i="8"/>
  <c r="K328" i="8"/>
  <c r="J328" i="8"/>
  <c r="I328" i="8"/>
  <c r="K327" i="8"/>
  <c r="J327" i="8"/>
  <c r="I327" i="8"/>
  <c r="K326" i="8"/>
  <c r="J326" i="8"/>
  <c r="I326" i="8"/>
  <c r="K325" i="8"/>
  <c r="J325" i="8"/>
  <c r="I325" i="8"/>
  <c r="K324" i="8"/>
  <c r="J324" i="8"/>
  <c r="I324" i="8"/>
  <c r="K323" i="8"/>
  <c r="J323" i="8"/>
  <c r="I323" i="8"/>
  <c r="K322" i="8"/>
  <c r="J322" i="8"/>
  <c r="I322" i="8"/>
  <c r="K321" i="8"/>
  <c r="J321" i="8"/>
  <c r="I321" i="8"/>
  <c r="K320" i="8"/>
  <c r="J320" i="8"/>
  <c r="I320" i="8"/>
  <c r="K319" i="8"/>
  <c r="J319" i="8"/>
  <c r="I319" i="8"/>
  <c r="K318" i="8"/>
  <c r="J318" i="8"/>
  <c r="I318" i="8"/>
  <c r="K317" i="8"/>
  <c r="J317" i="8"/>
  <c r="I317" i="8"/>
  <c r="K316" i="8"/>
  <c r="J316" i="8"/>
  <c r="I316" i="8"/>
  <c r="K315" i="8"/>
  <c r="J315" i="8"/>
  <c r="I315" i="8"/>
  <c r="K314" i="8"/>
  <c r="J314" i="8"/>
  <c r="I314" i="8"/>
  <c r="K313" i="8"/>
  <c r="J313" i="8"/>
  <c r="I313" i="8"/>
  <c r="K308" i="8"/>
  <c r="J308" i="8"/>
  <c r="I308" i="8"/>
  <c r="K307" i="8"/>
  <c r="J307" i="8"/>
  <c r="I307" i="8"/>
  <c r="K306" i="8"/>
  <c r="J306" i="8"/>
  <c r="I306" i="8"/>
  <c r="K305" i="8"/>
  <c r="J305" i="8"/>
  <c r="I305" i="8"/>
  <c r="K304" i="8"/>
  <c r="J304" i="8"/>
  <c r="I304" i="8"/>
  <c r="K303" i="8"/>
  <c r="J303" i="8"/>
  <c r="I303" i="8"/>
  <c r="K302" i="8"/>
  <c r="J302" i="8"/>
  <c r="I302" i="8"/>
  <c r="K301" i="8"/>
  <c r="J301" i="8"/>
  <c r="I301" i="8"/>
  <c r="K300" i="8"/>
  <c r="J300" i="8"/>
  <c r="I300" i="8"/>
  <c r="K295" i="8"/>
  <c r="J295" i="8"/>
  <c r="I295" i="8"/>
  <c r="K294" i="8"/>
  <c r="J294" i="8"/>
  <c r="I294" i="8"/>
  <c r="K293" i="8"/>
  <c r="J293" i="8"/>
  <c r="I293" i="8"/>
  <c r="K292" i="8"/>
  <c r="J292" i="8"/>
  <c r="I292" i="8"/>
  <c r="K291" i="8"/>
  <c r="J291" i="8"/>
  <c r="I291" i="8"/>
  <c r="K290" i="8"/>
  <c r="J290" i="8"/>
  <c r="I290" i="8"/>
  <c r="K243" i="8"/>
  <c r="J243" i="8"/>
  <c r="I243" i="8"/>
  <c r="K242" i="8"/>
  <c r="J242" i="8"/>
  <c r="I242" i="8"/>
  <c r="K241" i="8"/>
  <c r="J241" i="8"/>
  <c r="I241" i="8"/>
  <c r="K236" i="8"/>
  <c r="J236" i="8"/>
  <c r="I236" i="8"/>
  <c r="K235" i="8"/>
  <c r="J235" i="8"/>
  <c r="I235" i="8"/>
  <c r="K234" i="8"/>
  <c r="J234" i="8"/>
  <c r="I234" i="8"/>
  <c r="K233" i="8"/>
  <c r="J233" i="8"/>
  <c r="I233" i="8"/>
  <c r="K232" i="8"/>
  <c r="J232" i="8"/>
  <c r="I232" i="8"/>
  <c r="K231" i="8"/>
  <c r="J231" i="8"/>
  <c r="I231" i="8"/>
  <c r="K226" i="8"/>
  <c r="J226" i="8"/>
  <c r="I226" i="8"/>
  <c r="K225" i="8"/>
  <c r="J225" i="8"/>
  <c r="I225" i="8"/>
  <c r="K224" i="8"/>
  <c r="J224" i="8"/>
  <c r="I224" i="8"/>
  <c r="K223" i="8"/>
  <c r="J223" i="8"/>
  <c r="I223" i="8"/>
  <c r="K222" i="8"/>
  <c r="J222" i="8"/>
  <c r="I222" i="8"/>
  <c r="K221" i="8"/>
  <c r="J221" i="8"/>
  <c r="I221" i="8"/>
  <c r="K220" i="8"/>
  <c r="J220" i="8"/>
  <c r="I220" i="8"/>
  <c r="K219" i="8"/>
  <c r="J219" i="8"/>
  <c r="I219" i="8"/>
  <c r="K218" i="8"/>
  <c r="J218" i="8"/>
  <c r="I218" i="8"/>
  <c r="K217" i="8"/>
  <c r="J217" i="8"/>
  <c r="I217" i="8"/>
  <c r="K212" i="8"/>
  <c r="J212" i="8"/>
  <c r="I212" i="8"/>
  <c r="K211" i="8"/>
  <c r="J211" i="8"/>
  <c r="I211" i="8"/>
  <c r="K210" i="8"/>
  <c r="J210" i="8"/>
  <c r="I210" i="8"/>
  <c r="K209" i="8"/>
  <c r="J209" i="8"/>
  <c r="I209" i="8"/>
  <c r="K208" i="8"/>
  <c r="J208" i="8"/>
  <c r="I208" i="8"/>
  <c r="K207" i="8"/>
  <c r="J207" i="8"/>
  <c r="I207" i="8"/>
  <c r="K206" i="8"/>
  <c r="J206" i="8"/>
  <c r="I206" i="8"/>
  <c r="K205" i="8"/>
  <c r="J205" i="8"/>
  <c r="I205" i="8"/>
  <c r="K204" i="8"/>
  <c r="J204" i="8"/>
  <c r="I204" i="8"/>
  <c r="K203" i="8"/>
  <c r="J203" i="8"/>
  <c r="I203" i="8"/>
  <c r="K202" i="8"/>
  <c r="J202" i="8"/>
  <c r="I202" i="8"/>
  <c r="K201" i="8"/>
  <c r="J201" i="8"/>
  <c r="I201" i="8"/>
  <c r="K200" i="8"/>
  <c r="J200" i="8"/>
  <c r="I200" i="8"/>
  <c r="K199" i="8"/>
  <c r="J199" i="8"/>
  <c r="I199" i="8"/>
  <c r="K198" i="8"/>
  <c r="J198" i="8"/>
  <c r="I198" i="8"/>
  <c r="K197" i="8"/>
  <c r="J197" i="8"/>
  <c r="I197" i="8"/>
  <c r="K196" i="8"/>
  <c r="J196" i="8"/>
  <c r="I196" i="8"/>
  <c r="K195" i="8"/>
  <c r="J195" i="8"/>
  <c r="I195" i="8"/>
  <c r="K194" i="8"/>
  <c r="J194" i="8"/>
  <c r="I194" i="8"/>
  <c r="K193" i="8"/>
  <c r="J193" i="8"/>
  <c r="I193" i="8"/>
  <c r="K192" i="8"/>
  <c r="J192" i="8"/>
  <c r="I192" i="8"/>
  <c r="K191" i="8"/>
  <c r="J191" i="8"/>
  <c r="I191" i="8"/>
  <c r="K190" i="8"/>
  <c r="J190" i="8"/>
  <c r="I190" i="8"/>
  <c r="K189" i="8"/>
  <c r="J189" i="8"/>
  <c r="I189" i="8"/>
  <c r="K188" i="8"/>
  <c r="J188" i="8"/>
  <c r="I188" i="8"/>
  <c r="K165" i="8"/>
  <c r="J165" i="8"/>
  <c r="I165" i="8"/>
  <c r="K164" i="8"/>
  <c r="J164" i="8"/>
  <c r="I164" i="8"/>
  <c r="K163" i="8"/>
  <c r="J163" i="8"/>
  <c r="I163" i="8"/>
  <c r="K162" i="8"/>
  <c r="J162" i="8"/>
  <c r="I162" i="8"/>
  <c r="K161" i="8"/>
  <c r="J161" i="8"/>
  <c r="I161" i="8"/>
  <c r="K160" i="8"/>
  <c r="J160" i="8"/>
  <c r="I160" i="8"/>
  <c r="K159" i="8"/>
  <c r="J159" i="8"/>
  <c r="I159" i="8"/>
  <c r="K158" i="8"/>
  <c r="J158" i="8"/>
  <c r="I158" i="8"/>
  <c r="K157" i="8"/>
  <c r="J157" i="8"/>
  <c r="I157" i="8"/>
  <c r="K156" i="8"/>
  <c r="J156" i="8"/>
  <c r="I156" i="8"/>
  <c r="K155" i="8"/>
  <c r="J155" i="8"/>
  <c r="I155" i="8"/>
  <c r="K154" i="8"/>
  <c r="J154" i="8"/>
  <c r="I154" i="8"/>
  <c r="K147" i="8"/>
  <c r="J147" i="8"/>
  <c r="I147" i="8"/>
  <c r="K146" i="8"/>
  <c r="J146" i="8"/>
  <c r="I146" i="8"/>
  <c r="K137" i="8"/>
  <c r="J137" i="8"/>
  <c r="I137" i="8"/>
  <c r="K136" i="8"/>
  <c r="J136" i="8"/>
  <c r="I136" i="8"/>
  <c r="K135" i="8"/>
  <c r="J135" i="8"/>
  <c r="I135" i="8"/>
  <c r="K130" i="8"/>
  <c r="J130" i="8"/>
  <c r="I130" i="8"/>
  <c r="K129" i="8"/>
  <c r="J129" i="8"/>
  <c r="I129" i="8"/>
  <c r="K128" i="8"/>
  <c r="J128" i="8"/>
  <c r="I128" i="8"/>
  <c r="K127" i="8"/>
  <c r="J127" i="8"/>
  <c r="I127" i="8"/>
  <c r="K126" i="8"/>
  <c r="J126" i="8"/>
  <c r="I126" i="8"/>
  <c r="K125" i="8"/>
  <c r="J125" i="8"/>
  <c r="I125" i="8"/>
  <c r="K124" i="8"/>
  <c r="J124" i="8"/>
  <c r="I124" i="8"/>
  <c r="K123" i="8"/>
  <c r="J123" i="8"/>
  <c r="I123" i="8"/>
  <c r="K122" i="8"/>
  <c r="J122" i="8"/>
  <c r="I122" i="8"/>
  <c r="K115" i="8"/>
  <c r="J115" i="8"/>
  <c r="I115" i="8"/>
  <c r="K114" i="8"/>
  <c r="J114" i="8"/>
  <c r="I114" i="8"/>
  <c r="K113" i="8"/>
  <c r="J113" i="8"/>
  <c r="I113" i="8"/>
  <c r="K112" i="8"/>
  <c r="J112" i="8"/>
  <c r="I112" i="8"/>
  <c r="K111" i="8"/>
  <c r="J111" i="8"/>
  <c r="I111" i="8"/>
  <c r="K110" i="8"/>
  <c r="J110" i="8"/>
  <c r="I110" i="8"/>
  <c r="K109" i="8"/>
  <c r="J109" i="8"/>
  <c r="I109" i="8"/>
  <c r="K108" i="8"/>
  <c r="J108" i="8"/>
  <c r="I108" i="8"/>
  <c r="K107" i="8"/>
  <c r="J107" i="8"/>
  <c r="I107" i="8"/>
  <c r="K106" i="8"/>
  <c r="J106" i="8"/>
  <c r="I106" i="8"/>
  <c r="K105" i="8"/>
  <c r="J105" i="8"/>
  <c r="I105" i="8"/>
  <c r="K104" i="8"/>
  <c r="J104" i="8"/>
  <c r="I104" i="8"/>
  <c r="K103" i="8"/>
  <c r="J103" i="8"/>
  <c r="I103" i="8"/>
  <c r="K102" i="8"/>
  <c r="J102" i="8"/>
  <c r="I102" i="8"/>
  <c r="K101" i="8"/>
  <c r="J101" i="8"/>
  <c r="I101" i="8"/>
  <c r="K100" i="8"/>
  <c r="J100" i="8"/>
  <c r="I100" i="8"/>
  <c r="K99" i="8"/>
  <c r="J99" i="8"/>
  <c r="I99" i="8"/>
  <c r="K98" i="8"/>
  <c r="J98" i="8"/>
  <c r="I98" i="8"/>
  <c r="K97" i="8"/>
  <c r="J97" i="8"/>
  <c r="I97" i="8"/>
  <c r="K96" i="8"/>
  <c r="J96" i="8"/>
  <c r="I96" i="8"/>
  <c r="K95" i="8"/>
  <c r="J95" i="8"/>
  <c r="I95" i="8"/>
  <c r="K94" i="8"/>
  <c r="J94" i="8"/>
  <c r="I94" i="8"/>
  <c r="K93" i="8"/>
  <c r="J93" i="8"/>
  <c r="I93" i="8"/>
  <c r="K84" i="8"/>
  <c r="J84" i="8"/>
  <c r="I84" i="8"/>
  <c r="K83" i="8"/>
  <c r="J83" i="8"/>
  <c r="I83" i="8"/>
  <c r="K82" i="8"/>
  <c r="J82" i="8"/>
  <c r="I82" i="8"/>
  <c r="K77" i="8"/>
  <c r="J77" i="8"/>
  <c r="I77" i="8"/>
  <c r="K76" i="8"/>
  <c r="J76" i="8"/>
  <c r="I76" i="8"/>
  <c r="K75" i="8"/>
  <c r="J75" i="8"/>
  <c r="I75" i="8"/>
  <c r="K74" i="8"/>
  <c r="J74" i="8"/>
  <c r="I74" i="8"/>
  <c r="K73" i="8"/>
  <c r="J73" i="8"/>
  <c r="I73" i="8"/>
  <c r="K72" i="8"/>
  <c r="J72" i="8"/>
  <c r="I72" i="8"/>
  <c r="K71" i="8"/>
  <c r="J71" i="8"/>
  <c r="I71" i="8"/>
  <c r="K70" i="8"/>
  <c r="J70" i="8"/>
  <c r="I70" i="8"/>
  <c r="K69" i="8"/>
  <c r="J69" i="8"/>
  <c r="I69" i="8"/>
  <c r="K68" i="8"/>
  <c r="J68" i="8"/>
  <c r="I68" i="8"/>
  <c r="K67" i="8"/>
  <c r="J67" i="8"/>
  <c r="I67" i="8"/>
  <c r="K66" i="8"/>
  <c r="J66" i="8"/>
  <c r="I66" i="8"/>
  <c r="K65" i="8"/>
  <c r="J65" i="8"/>
  <c r="I65" i="8"/>
  <c r="K64" i="8"/>
  <c r="J64" i="8"/>
  <c r="I64" i="8"/>
  <c r="K63" i="8"/>
  <c r="J63" i="8"/>
  <c r="I63" i="8"/>
  <c r="K62" i="8"/>
  <c r="J62" i="8"/>
  <c r="I62" i="8"/>
  <c r="K61" i="8"/>
  <c r="J61" i="8"/>
  <c r="I61" i="8"/>
  <c r="K60" i="8"/>
  <c r="J60" i="8"/>
  <c r="I60" i="8"/>
  <c r="K59" i="8"/>
  <c r="J59" i="8"/>
  <c r="I59" i="8"/>
  <c r="K58" i="8"/>
  <c r="J58" i="8"/>
  <c r="I58" i="8"/>
  <c r="K57" i="8"/>
  <c r="J57" i="8"/>
  <c r="I57" i="8"/>
  <c r="K56" i="8"/>
  <c r="J56" i="8"/>
  <c r="I56" i="8"/>
  <c r="K55" i="8"/>
  <c r="J55" i="8"/>
  <c r="I55" i="8"/>
  <c r="K54" i="8"/>
  <c r="J54" i="8"/>
  <c r="I54" i="8"/>
  <c r="K53" i="8"/>
  <c r="J53" i="8"/>
  <c r="I53" i="8"/>
  <c r="K52" i="8"/>
  <c r="J52" i="8"/>
  <c r="I52" i="8"/>
  <c r="K51" i="8"/>
  <c r="J51" i="8"/>
  <c r="I51" i="8"/>
  <c r="K50" i="8"/>
  <c r="J50" i="8"/>
  <c r="I50" i="8"/>
  <c r="K49" i="8"/>
  <c r="J49" i="8"/>
  <c r="I49" i="8"/>
  <c r="K48" i="8"/>
  <c r="J48" i="8"/>
  <c r="I48" i="8"/>
  <c r="K47" i="8"/>
  <c r="J47" i="8"/>
  <c r="I47" i="8"/>
  <c r="K46" i="8"/>
  <c r="J46" i="8"/>
  <c r="I46" i="8"/>
  <c r="K45" i="8"/>
  <c r="J45" i="8"/>
  <c r="I45" i="8"/>
  <c r="K44" i="8"/>
  <c r="J44" i="8"/>
  <c r="I44" i="8"/>
  <c r="K43" i="8"/>
  <c r="J43" i="8"/>
  <c r="I43" i="8"/>
  <c r="K42" i="8"/>
  <c r="J42" i="8"/>
  <c r="I42" i="8"/>
  <c r="K41" i="8"/>
  <c r="J41" i="8"/>
  <c r="I41" i="8"/>
  <c r="K40" i="8"/>
  <c r="J40" i="8"/>
  <c r="I40" i="8"/>
  <c r="K39" i="8"/>
  <c r="J39" i="8"/>
  <c r="I39" i="8"/>
  <c r="K38" i="8"/>
  <c r="J38" i="8"/>
  <c r="I38" i="8"/>
  <c r="K37" i="8"/>
  <c r="J37" i="8"/>
  <c r="I37" i="8"/>
  <c r="K36" i="8"/>
  <c r="J36" i="8"/>
  <c r="I36" i="8"/>
  <c r="K35" i="8"/>
  <c r="J35" i="8"/>
  <c r="I35" i="8"/>
  <c r="K34" i="8"/>
  <c r="J34" i="8"/>
  <c r="I34" i="8"/>
  <c r="K33" i="8"/>
  <c r="J33" i="8"/>
  <c r="I33" i="8"/>
  <c r="K32" i="8"/>
  <c r="J32" i="8"/>
  <c r="I32" i="8"/>
  <c r="K31" i="8"/>
  <c r="J31" i="8"/>
  <c r="I31" i="8"/>
  <c r="K30" i="8"/>
  <c r="J30" i="8"/>
  <c r="I30" i="8"/>
  <c r="K29" i="8"/>
  <c r="J29" i="8"/>
  <c r="I29" i="8"/>
  <c r="K28" i="8"/>
  <c r="J28" i="8"/>
  <c r="I28" i="8"/>
  <c r="K27" i="8"/>
  <c r="J27" i="8"/>
  <c r="I27" i="8"/>
  <c r="K26" i="8"/>
  <c r="J26" i="8"/>
  <c r="I26" i="8"/>
  <c r="K25" i="8"/>
  <c r="J25" i="8"/>
  <c r="I25" i="8"/>
  <c r="K24" i="8"/>
  <c r="J24" i="8"/>
  <c r="I24" i="8"/>
  <c r="K23" i="8"/>
  <c r="J23" i="8"/>
  <c r="I23" i="8"/>
  <c r="K22" i="8"/>
  <c r="J22" i="8"/>
  <c r="I22" i="8"/>
  <c r="K21" i="8"/>
  <c r="J21" i="8"/>
  <c r="I21" i="8"/>
  <c r="K20" i="8"/>
  <c r="J20" i="8"/>
  <c r="I20" i="8"/>
  <c r="K19" i="8"/>
  <c r="J19" i="8"/>
  <c r="I19" i="8"/>
  <c r="K18" i="8"/>
  <c r="J18" i="8"/>
  <c r="I18" i="8"/>
  <c r="K17" i="8"/>
  <c r="J17" i="8"/>
  <c r="I17" i="8"/>
  <c r="K16" i="8"/>
  <c r="J16" i="8"/>
  <c r="I16" i="8"/>
  <c r="K15" i="8"/>
  <c r="J15" i="8"/>
  <c r="I15" i="8"/>
  <c r="K14" i="8"/>
  <c r="J14" i="8"/>
  <c r="I14" i="8"/>
  <c r="K13" i="8"/>
  <c r="J13" i="8"/>
  <c r="I13" i="8"/>
  <c r="K12" i="8"/>
  <c r="J12" i="8"/>
  <c r="I12" i="8"/>
  <c r="K11" i="8"/>
  <c r="J11" i="8"/>
  <c r="I11" i="8"/>
  <c r="K10" i="8"/>
  <c r="J10" i="8"/>
  <c r="I10" i="8"/>
  <c r="K9" i="8"/>
  <c r="J9" i="8"/>
  <c r="I9" i="8"/>
  <c r="K8" i="8"/>
  <c r="J8" i="8"/>
  <c r="I8" i="8"/>
  <c r="K7" i="8"/>
  <c r="J7" i="8"/>
  <c r="I7" i="8"/>
  <c r="K424" i="6" l="1"/>
  <c r="J424" i="6"/>
  <c r="I424" i="6"/>
  <c r="K405" i="6"/>
  <c r="J405" i="6"/>
  <c r="I405" i="6"/>
  <c r="K404" i="6"/>
  <c r="J404" i="6"/>
  <c r="I404" i="6"/>
  <c r="K403" i="6"/>
  <c r="J403" i="6"/>
  <c r="I403" i="6"/>
  <c r="K402" i="6"/>
  <c r="J402" i="6"/>
  <c r="I402" i="6"/>
  <c r="K401" i="6"/>
  <c r="J401" i="6"/>
  <c r="I401" i="6"/>
  <c r="K400" i="6"/>
  <c r="J400" i="6"/>
  <c r="I400" i="6"/>
  <c r="K399" i="6"/>
  <c r="J399" i="6"/>
  <c r="I399" i="6"/>
  <c r="K398" i="6"/>
  <c r="J398" i="6"/>
  <c r="I398" i="6"/>
  <c r="K397" i="6"/>
  <c r="J397" i="6"/>
  <c r="I397" i="6"/>
  <c r="K396" i="6"/>
  <c r="J396" i="6"/>
  <c r="I396" i="6"/>
  <c r="K395" i="6"/>
  <c r="J395" i="6"/>
  <c r="I395" i="6"/>
  <c r="K394" i="6"/>
  <c r="J394" i="6"/>
  <c r="I394" i="6"/>
  <c r="K393" i="6"/>
  <c r="J393" i="6"/>
  <c r="I393" i="6"/>
  <c r="K392" i="6"/>
  <c r="J392" i="6"/>
  <c r="I392" i="6"/>
  <c r="K387" i="6"/>
  <c r="J387" i="6"/>
  <c r="I387" i="6"/>
  <c r="K386" i="6"/>
  <c r="J386" i="6"/>
  <c r="I386" i="6"/>
  <c r="K385" i="6"/>
  <c r="J385" i="6"/>
  <c r="I385" i="6"/>
  <c r="K384" i="6"/>
  <c r="J384" i="6"/>
  <c r="I384" i="6"/>
  <c r="K383" i="6"/>
  <c r="J383" i="6"/>
  <c r="I383" i="6"/>
  <c r="K382" i="6"/>
  <c r="J382" i="6"/>
  <c r="I382" i="6"/>
  <c r="K381" i="6"/>
  <c r="J381" i="6"/>
  <c r="I381" i="6"/>
  <c r="K380" i="6"/>
  <c r="J380" i="6"/>
  <c r="I380" i="6"/>
  <c r="K379" i="6"/>
  <c r="J379" i="6"/>
  <c r="I379" i="6"/>
  <c r="K378" i="6"/>
  <c r="J378" i="6"/>
  <c r="I378" i="6"/>
  <c r="K377" i="6"/>
  <c r="J377" i="6"/>
  <c r="I377" i="6"/>
  <c r="K376" i="6"/>
  <c r="J376" i="6"/>
  <c r="I376" i="6"/>
  <c r="K357" i="6"/>
  <c r="J357" i="6"/>
  <c r="I357" i="6"/>
  <c r="K352" i="6"/>
  <c r="J352" i="6"/>
  <c r="I352" i="6"/>
  <c r="K351" i="6"/>
  <c r="J351" i="6"/>
  <c r="I351" i="6"/>
  <c r="K350" i="6"/>
  <c r="J350" i="6"/>
  <c r="I350" i="6"/>
  <c r="K349" i="6"/>
  <c r="J349" i="6"/>
  <c r="I349" i="6"/>
  <c r="K338" i="6"/>
  <c r="J338" i="6"/>
  <c r="I338" i="6"/>
  <c r="K337" i="6"/>
  <c r="J337" i="6"/>
  <c r="I337" i="6"/>
  <c r="K332" i="6"/>
  <c r="J332" i="6"/>
  <c r="I332" i="6"/>
  <c r="K331" i="6"/>
  <c r="J331" i="6"/>
  <c r="I331" i="6"/>
  <c r="K330" i="6"/>
  <c r="J330" i="6"/>
  <c r="I330" i="6"/>
  <c r="K329" i="6"/>
  <c r="J329" i="6"/>
  <c r="I329" i="6"/>
  <c r="K328" i="6"/>
  <c r="J328" i="6"/>
  <c r="I328" i="6"/>
  <c r="K327" i="6"/>
  <c r="J327" i="6"/>
  <c r="I327" i="6"/>
  <c r="K322" i="6"/>
  <c r="J322" i="6"/>
  <c r="I322" i="6"/>
  <c r="K321" i="6"/>
  <c r="J321" i="6"/>
  <c r="I321" i="6"/>
  <c r="K320" i="6"/>
  <c r="J320" i="6"/>
  <c r="I320" i="6"/>
  <c r="K319" i="6"/>
  <c r="J319" i="6"/>
  <c r="I319" i="6"/>
  <c r="K318" i="6"/>
  <c r="J318" i="6"/>
  <c r="I318" i="6"/>
  <c r="K317" i="6"/>
  <c r="J317" i="6"/>
  <c r="I317" i="6"/>
  <c r="K316" i="6"/>
  <c r="J316" i="6"/>
  <c r="I316" i="6"/>
  <c r="K315" i="6"/>
  <c r="J315" i="6"/>
  <c r="I315" i="6"/>
  <c r="K314" i="6"/>
  <c r="J314" i="6"/>
  <c r="I314" i="6"/>
  <c r="K313" i="6"/>
  <c r="J313" i="6"/>
  <c r="I313" i="6"/>
  <c r="K306" i="6"/>
  <c r="J306" i="6"/>
  <c r="I306" i="6"/>
  <c r="K305" i="6"/>
  <c r="J305" i="6"/>
  <c r="I305" i="6"/>
  <c r="K304" i="6"/>
  <c r="J304" i="6"/>
  <c r="I304" i="6"/>
  <c r="K303" i="6"/>
  <c r="J303" i="6"/>
  <c r="I303" i="6"/>
  <c r="K302" i="6"/>
  <c r="J302" i="6"/>
  <c r="I302" i="6"/>
  <c r="K301" i="6"/>
  <c r="J301" i="6"/>
  <c r="I301" i="6"/>
  <c r="K300" i="6"/>
  <c r="J300" i="6"/>
  <c r="I300" i="6"/>
  <c r="K299" i="6"/>
  <c r="J299" i="6"/>
  <c r="I299" i="6"/>
  <c r="K298" i="6"/>
  <c r="J298" i="6"/>
  <c r="I298" i="6"/>
  <c r="K297" i="6"/>
  <c r="J297" i="6"/>
  <c r="I297" i="6"/>
  <c r="K296" i="6"/>
  <c r="J296" i="6"/>
  <c r="I296" i="6"/>
  <c r="K295" i="6"/>
  <c r="J295" i="6"/>
  <c r="I295" i="6"/>
  <c r="K294" i="6"/>
  <c r="J294" i="6"/>
  <c r="I294" i="6"/>
  <c r="K293" i="6"/>
  <c r="J293" i="6"/>
  <c r="I293" i="6"/>
  <c r="K292" i="6"/>
  <c r="J292" i="6"/>
  <c r="I292" i="6"/>
  <c r="K291" i="6"/>
  <c r="J291" i="6"/>
  <c r="I291" i="6"/>
  <c r="K290" i="6"/>
  <c r="J290" i="6"/>
  <c r="I290" i="6"/>
  <c r="K289" i="6"/>
  <c r="J289" i="6"/>
  <c r="I289" i="6"/>
  <c r="K288" i="6"/>
  <c r="J288" i="6"/>
  <c r="I288" i="6"/>
  <c r="K287" i="6"/>
  <c r="J287" i="6"/>
  <c r="I287" i="6"/>
  <c r="K286" i="6"/>
  <c r="J286" i="6"/>
  <c r="I286" i="6"/>
  <c r="K285" i="6"/>
  <c r="J285" i="6"/>
  <c r="I285" i="6"/>
  <c r="K280" i="6"/>
  <c r="J280" i="6"/>
  <c r="I280" i="6"/>
  <c r="K275" i="6"/>
  <c r="J275" i="6"/>
  <c r="I275" i="6"/>
  <c r="K274" i="6"/>
  <c r="J274" i="6"/>
  <c r="I274" i="6"/>
  <c r="K273" i="6"/>
  <c r="J273" i="6"/>
  <c r="I273" i="6"/>
  <c r="K272" i="6"/>
  <c r="J272" i="6"/>
  <c r="I272" i="6"/>
  <c r="K271" i="6"/>
  <c r="J271" i="6"/>
  <c r="I271" i="6"/>
  <c r="K270" i="6"/>
  <c r="J270" i="6"/>
  <c r="I270" i="6"/>
  <c r="K269" i="6"/>
  <c r="J269" i="6"/>
  <c r="I269" i="6"/>
  <c r="K268" i="6"/>
  <c r="J268" i="6"/>
  <c r="I268" i="6"/>
  <c r="K267" i="6"/>
  <c r="J267" i="6"/>
  <c r="I267" i="6"/>
  <c r="K266" i="6"/>
  <c r="J266" i="6"/>
  <c r="I266" i="6"/>
  <c r="K265" i="6"/>
  <c r="J265" i="6"/>
  <c r="I265" i="6"/>
  <c r="K260" i="6"/>
  <c r="J260" i="6"/>
  <c r="I260" i="6"/>
  <c r="K259" i="6"/>
  <c r="J259" i="6"/>
  <c r="I259" i="6"/>
  <c r="K258" i="6"/>
  <c r="J258" i="6"/>
  <c r="I258" i="6"/>
  <c r="K257" i="6"/>
  <c r="J257" i="6"/>
  <c r="I257" i="6"/>
  <c r="K256" i="6"/>
  <c r="J256" i="6"/>
  <c r="I256" i="6"/>
  <c r="K255" i="6"/>
  <c r="J255" i="6"/>
  <c r="I255" i="6"/>
  <c r="K254" i="6"/>
  <c r="J254" i="6"/>
  <c r="I254" i="6"/>
  <c r="K253" i="6"/>
  <c r="J253" i="6"/>
  <c r="I253" i="6"/>
  <c r="K252" i="6"/>
  <c r="J252" i="6"/>
  <c r="I252" i="6"/>
  <c r="K251" i="6"/>
  <c r="J251" i="6"/>
  <c r="I251" i="6"/>
  <c r="K250" i="6"/>
  <c r="J250" i="6"/>
  <c r="I250" i="6"/>
  <c r="K249" i="6"/>
  <c r="J249" i="6"/>
  <c r="I249" i="6"/>
  <c r="K248" i="6"/>
  <c r="J248" i="6"/>
  <c r="I248" i="6"/>
  <c r="K247" i="6"/>
  <c r="J247" i="6"/>
  <c r="I247" i="6"/>
  <c r="K246" i="6"/>
  <c r="J246" i="6"/>
  <c r="I246" i="6"/>
  <c r="K245" i="6"/>
  <c r="J245" i="6"/>
  <c r="I245" i="6"/>
  <c r="K244" i="6"/>
  <c r="J244" i="6"/>
  <c r="I244" i="6"/>
  <c r="K243" i="6"/>
  <c r="J243" i="6"/>
  <c r="I243" i="6"/>
  <c r="K242" i="6"/>
  <c r="J242" i="6"/>
  <c r="I242" i="6"/>
  <c r="K241" i="6"/>
  <c r="J241" i="6"/>
  <c r="I241" i="6"/>
  <c r="K240" i="6"/>
  <c r="J240" i="6"/>
  <c r="I240" i="6"/>
  <c r="K239" i="6"/>
  <c r="J239" i="6"/>
  <c r="I239" i="6"/>
  <c r="K238" i="6"/>
  <c r="J238" i="6"/>
  <c r="I238" i="6"/>
  <c r="K237" i="6"/>
  <c r="J237" i="6"/>
  <c r="I237" i="6"/>
  <c r="K190" i="6"/>
  <c r="J190" i="6"/>
  <c r="I190" i="6"/>
  <c r="K185" i="6"/>
  <c r="J185" i="6"/>
  <c r="I185" i="6"/>
  <c r="K184" i="6"/>
  <c r="J184" i="6"/>
  <c r="I184" i="6"/>
  <c r="K183" i="6"/>
  <c r="J183" i="6"/>
  <c r="I183" i="6"/>
  <c r="K182" i="6"/>
  <c r="J182" i="6"/>
  <c r="I182" i="6"/>
  <c r="K181" i="6"/>
  <c r="J181" i="6"/>
  <c r="I181" i="6"/>
  <c r="K180" i="6"/>
  <c r="J180" i="6"/>
  <c r="I180" i="6"/>
  <c r="K179" i="6"/>
  <c r="J179" i="6"/>
  <c r="I179" i="6"/>
  <c r="K178" i="6"/>
  <c r="J178" i="6"/>
  <c r="I178" i="6"/>
  <c r="K177" i="6"/>
  <c r="J177" i="6"/>
  <c r="I177" i="6"/>
  <c r="K176" i="6"/>
  <c r="J176" i="6"/>
  <c r="I176" i="6"/>
  <c r="K175" i="6"/>
  <c r="J175" i="6"/>
  <c r="I175" i="6"/>
  <c r="K174" i="6"/>
  <c r="J174" i="6"/>
  <c r="I174" i="6"/>
  <c r="K169" i="6"/>
  <c r="J169" i="6"/>
  <c r="I169" i="6"/>
  <c r="K168" i="6"/>
  <c r="J168" i="6"/>
  <c r="I168" i="6"/>
  <c r="K167" i="6"/>
  <c r="J167" i="6"/>
  <c r="I167" i="6"/>
  <c r="K166" i="6"/>
  <c r="J166" i="6"/>
  <c r="I166" i="6"/>
  <c r="K165" i="6"/>
  <c r="J165" i="6"/>
  <c r="I165" i="6"/>
  <c r="K160" i="6"/>
  <c r="J160" i="6"/>
  <c r="I160" i="6"/>
  <c r="K141" i="6"/>
  <c r="J141" i="6"/>
  <c r="I141" i="6"/>
  <c r="K140" i="6"/>
  <c r="J140" i="6"/>
  <c r="I140" i="6"/>
  <c r="K135" i="6"/>
  <c r="J135" i="6"/>
  <c r="I135" i="6"/>
  <c r="K134" i="6"/>
  <c r="J134" i="6"/>
  <c r="I134" i="6"/>
  <c r="K133" i="6"/>
  <c r="J133" i="6"/>
  <c r="I133" i="6"/>
  <c r="K132" i="6"/>
  <c r="J132" i="6"/>
  <c r="I132" i="6"/>
  <c r="K131" i="6"/>
  <c r="J131" i="6"/>
  <c r="I131" i="6"/>
  <c r="K124" i="6"/>
  <c r="J124" i="6"/>
  <c r="I124" i="6"/>
  <c r="K119" i="6"/>
  <c r="J119" i="6"/>
  <c r="I119" i="6"/>
  <c r="K118" i="6"/>
  <c r="J118" i="6"/>
  <c r="I118" i="6"/>
  <c r="K117" i="6"/>
  <c r="J117" i="6"/>
  <c r="I117" i="6"/>
  <c r="K116" i="6"/>
  <c r="J116" i="6"/>
  <c r="I116" i="6"/>
  <c r="K111" i="6"/>
  <c r="J111" i="6"/>
  <c r="I111" i="6"/>
  <c r="K110" i="6"/>
  <c r="J110" i="6"/>
  <c r="I110" i="6"/>
  <c r="K105" i="6"/>
  <c r="J105" i="6"/>
  <c r="I105" i="6"/>
  <c r="K104" i="6"/>
  <c r="J104" i="6"/>
  <c r="I104" i="6"/>
  <c r="K103" i="6"/>
  <c r="J103" i="6"/>
  <c r="I103" i="6"/>
  <c r="K102" i="6"/>
  <c r="J102" i="6"/>
  <c r="I102" i="6"/>
  <c r="K101" i="6"/>
  <c r="J101" i="6"/>
  <c r="I101" i="6"/>
  <c r="K100" i="6"/>
  <c r="J100" i="6"/>
  <c r="I100" i="6"/>
  <c r="K93" i="6"/>
  <c r="J93" i="6"/>
  <c r="I93" i="6"/>
  <c r="K92" i="6"/>
  <c r="J92" i="6"/>
  <c r="I92" i="6"/>
  <c r="K91" i="6"/>
  <c r="J91" i="6"/>
  <c r="I91" i="6"/>
  <c r="K90" i="6"/>
  <c r="J90" i="6"/>
  <c r="I90" i="6"/>
  <c r="K89" i="6"/>
  <c r="J89" i="6"/>
  <c r="I89" i="6"/>
  <c r="K84" i="6"/>
  <c r="J84" i="6"/>
  <c r="I84" i="6"/>
  <c r="K83" i="6"/>
  <c r="J83" i="6"/>
  <c r="I83" i="6"/>
  <c r="K82" i="6"/>
  <c r="J82" i="6"/>
  <c r="I82" i="6"/>
  <c r="K81" i="6"/>
  <c r="J81" i="6"/>
  <c r="I81" i="6"/>
  <c r="K80" i="6"/>
  <c r="J80" i="6"/>
  <c r="I80" i="6"/>
  <c r="K79" i="6"/>
  <c r="J79" i="6"/>
  <c r="I79" i="6"/>
  <c r="K78" i="6"/>
  <c r="J78" i="6"/>
  <c r="I78" i="6"/>
  <c r="K77" i="6"/>
  <c r="J77" i="6"/>
  <c r="I77" i="6"/>
  <c r="K76" i="6"/>
  <c r="J76" i="6"/>
  <c r="I76" i="6"/>
  <c r="K71" i="6"/>
  <c r="J71" i="6"/>
  <c r="I71" i="6"/>
  <c r="K70" i="6"/>
  <c r="J70" i="6"/>
  <c r="I70" i="6"/>
  <c r="K69" i="6"/>
  <c r="J69" i="6"/>
  <c r="I69" i="6"/>
  <c r="K68" i="6"/>
  <c r="J68" i="6"/>
  <c r="I68" i="6"/>
  <c r="K67" i="6"/>
  <c r="J67" i="6"/>
  <c r="I67" i="6"/>
  <c r="K66" i="6"/>
  <c r="J66" i="6"/>
  <c r="I66" i="6"/>
  <c r="K61" i="6"/>
  <c r="J61" i="6"/>
  <c r="I61" i="6"/>
  <c r="K60" i="6"/>
  <c r="J60" i="6"/>
  <c r="I60" i="6"/>
  <c r="K59" i="6"/>
  <c r="J59" i="6"/>
  <c r="I59" i="6"/>
  <c r="K58" i="6"/>
  <c r="J58" i="6"/>
  <c r="I58" i="6"/>
  <c r="K57" i="6"/>
  <c r="J57" i="6"/>
  <c r="I57" i="6"/>
  <c r="K56" i="6"/>
  <c r="J56" i="6"/>
  <c r="I56" i="6"/>
  <c r="K55" i="6"/>
  <c r="J55" i="6"/>
  <c r="I55" i="6"/>
  <c r="K54" i="6"/>
  <c r="J54" i="6"/>
  <c r="I54" i="6"/>
  <c r="K53" i="6"/>
  <c r="J53" i="6"/>
  <c r="I53" i="6"/>
  <c r="K52" i="6"/>
  <c r="J52" i="6"/>
  <c r="I52" i="6"/>
  <c r="K51" i="6"/>
  <c r="J51" i="6"/>
  <c r="I51" i="6"/>
  <c r="K50" i="6"/>
  <c r="J50" i="6"/>
  <c r="I50" i="6"/>
  <c r="K49" i="6"/>
  <c r="J49" i="6"/>
  <c r="I49" i="6"/>
  <c r="K48" i="6"/>
  <c r="J48" i="6"/>
  <c r="I48" i="6"/>
  <c r="K47" i="6"/>
  <c r="J47" i="6"/>
  <c r="I47" i="6"/>
  <c r="K46" i="6"/>
  <c r="J46" i="6"/>
  <c r="I46" i="6"/>
  <c r="K45" i="6"/>
  <c r="J45" i="6"/>
  <c r="I45" i="6"/>
  <c r="K44" i="6"/>
  <c r="J44" i="6"/>
  <c r="I44" i="6"/>
  <c r="K43" i="6"/>
  <c r="J43" i="6"/>
  <c r="I43" i="6"/>
  <c r="K42" i="6"/>
  <c r="J42" i="6"/>
  <c r="I42" i="6"/>
  <c r="K41" i="6"/>
  <c r="J41" i="6"/>
  <c r="I41" i="6"/>
  <c r="K40" i="6"/>
  <c r="J40" i="6"/>
  <c r="I40" i="6"/>
  <c r="K39" i="6"/>
  <c r="J39" i="6"/>
  <c r="I39" i="6"/>
  <c r="K38" i="6"/>
  <c r="J38" i="6"/>
  <c r="I38" i="6"/>
  <c r="K37" i="6"/>
  <c r="J37" i="6"/>
  <c r="I37" i="6"/>
  <c r="K36" i="6"/>
  <c r="J36" i="6"/>
  <c r="I36" i="6"/>
  <c r="K35" i="6"/>
  <c r="J35" i="6"/>
  <c r="I35" i="6"/>
  <c r="K34" i="6"/>
  <c r="J34" i="6"/>
  <c r="I34" i="6"/>
  <c r="K33" i="6"/>
  <c r="J33" i="6"/>
  <c r="I33" i="6"/>
  <c r="K32" i="6"/>
  <c r="J32" i="6"/>
  <c r="I32" i="6"/>
  <c r="K31" i="6"/>
  <c r="J31" i="6"/>
  <c r="I31" i="6"/>
  <c r="K30" i="6"/>
  <c r="J30" i="6"/>
  <c r="I30" i="6"/>
  <c r="K29" i="6"/>
  <c r="J29" i="6"/>
  <c r="I29" i="6"/>
  <c r="K28" i="6"/>
  <c r="J28" i="6"/>
  <c r="I28" i="6"/>
  <c r="K27" i="6"/>
  <c r="J27" i="6"/>
  <c r="I27" i="6"/>
  <c r="K26" i="6"/>
  <c r="J26" i="6"/>
  <c r="I26" i="6"/>
  <c r="K25" i="6"/>
  <c r="J25" i="6"/>
  <c r="I25" i="6"/>
  <c r="K24" i="6"/>
  <c r="J24" i="6"/>
  <c r="I24" i="6"/>
  <c r="K23" i="6"/>
  <c r="J23" i="6"/>
  <c r="I23" i="6"/>
  <c r="K22" i="6"/>
  <c r="J22" i="6"/>
  <c r="I22" i="6"/>
  <c r="K21" i="6"/>
  <c r="J21" i="6"/>
  <c r="I21" i="6"/>
  <c r="K20" i="6"/>
  <c r="J20" i="6"/>
  <c r="I20" i="6"/>
  <c r="K19" i="6"/>
  <c r="J19" i="6"/>
  <c r="I19" i="6"/>
  <c r="K18" i="6"/>
  <c r="J18" i="6"/>
  <c r="I18" i="6"/>
  <c r="K17" i="6"/>
  <c r="J17" i="6"/>
  <c r="I17" i="6"/>
  <c r="K16" i="6"/>
  <c r="J16" i="6"/>
  <c r="I16" i="6"/>
  <c r="K15" i="6"/>
  <c r="J15" i="6"/>
  <c r="I15" i="6"/>
  <c r="K14" i="6"/>
  <c r="J14" i="6"/>
  <c r="I14" i="6"/>
  <c r="K13" i="6"/>
  <c r="J13" i="6"/>
  <c r="I13" i="6"/>
  <c r="K12" i="6"/>
  <c r="J12" i="6"/>
  <c r="I12" i="6"/>
  <c r="K11" i="6"/>
  <c r="J11" i="6"/>
  <c r="I11" i="6"/>
  <c r="K10" i="6"/>
  <c r="J10" i="6"/>
  <c r="I10" i="6"/>
  <c r="K9" i="6"/>
  <c r="J9" i="6"/>
  <c r="I9" i="6"/>
  <c r="K8" i="6"/>
  <c r="J8" i="6"/>
  <c r="I8" i="6"/>
  <c r="K7" i="6"/>
  <c r="J7" i="6"/>
  <c r="I7" i="6"/>
  <c r="K22" i="2" l="1"/>
  <c r="J22" i="2"/>
  <c r="I22" i="2"/>
  <c r="K20" i="2"/>
  <c r="J20" i="2"/>
  <c r="I20" i="2"/>
  <c r="K19" i="2"/>
  <c r="J19" i="2"/>
  <c r="I19" i="2"/>
  <c r="K18" i="2"/>
  <c r="J18" i="2"/>
  <c r="I18" i="2"/>
  <c r="K17" i="2"/>
  <c r="J17" i="2"/>
  <c r="I17" i="2"/>
</calcChain>
</file>

<file path=xl/sharedStrings.xml><?xml version="1.0" encoding="utf-8"?>
<sst xmlns="http://schemas.openxmlformats.org/spreadsheetml/2006/main" count="4753" uniqueCount="795">
  <si>
    <t>Genes</t>
  </si>
  <si>
    <t>At</t>
  </si>
  <si>
    <t>Pt</t>
  </si>
  <si>
    <t>Os</t>
  </si>
  <si>
    <t>TFs</t>
  </si>
  <si>
    <t>…</t>
  </si>
  <si>
    <t>High Avnn</t>
  </si>
  <si>
    <t>Avnn</t>
  </si>
  <si>
    <t>Low Avnn</t>
  </si>
  <si>
    <t>High Density</t>
  </si>
  <si>
    <t>Biological process</t>
  </si>
  <si>
    <t>Subset at os pt</t>
  </si>
  <si>
    <t>Density</t>
  </si>
  <si>
    <t>#nodes/#edges</t>
  </si>
  <si>
    <t>GO term</t>
  </si>
  <si>
    <t>P: GO:0009767: photosynthetic electron transport chain</t>
  </si>
  <si>
    <t>P: GO:0009773: photosynthetic electron transport in photosystem I</t>
  </si>
  <si>
    <t>Subset at pt</t>
  </si>
  <si>
    <t>Subset at os</t>
  </si>
  <si>
    <t>P: GO:0006270: DNA replication initiation</t>
  </si>
  <si>
    <t>P: GO:0009765: photosynthesis, light harvesting</t>
  </si>
  <si>
    <t>P: GO:0009902: chloroplast relocation</t>
  </si>
  <si>
    <t>P: GO:0010109: regulation of photosynthesis</t>
  </si>
  <si>
    <t>P: GO:0010207: photosystem II assembly</t>
  </si>
  <si>
    <t>P: GO:0010389: regulation of G2/M transition of mitotic cell cycle</t>
  </si>
  <si>
    <t>P: GO:0042274: ribosomal small subunit biogenesis</t>
  </si>
  <si>
    <t>P: GO:0042548: regulation of photosynthesis, light reaction</t>
  </si>
  <si>
    <t>P: GO:0042793: transcription from plastid promoter</t>
  </si>
  <si>
    <t>P: GO:0043467: regulation of generation of precursor metabolites and energy</t>
  </si>
  <si>
    <t>P: GO:0045036: protein targeting to chloroplast</t>
  </si>
  <si>
    <t>P: GO:0051644: plastid localization</t>
  </si>
  <si>
    <t>P: GO:0051656: establishment of organelle localization</t>
  </si>
  <si>
    <t>P: GO:0051667: establishment of plastid localization</t>
  </si>
  <si>
    <t>P: GO:0072596: establishment of protein localization to chloroplast</t>
  </si>
  <si>
    <t>P: GO:0072598: protein localization to chloroplast</t>
  </si>
  <si>
    <t>P: GO:2000602: regulation of interphase of mitotic cell cycle</t>
  </si>
  <si>
    <t>Subset os pt</t>
  </si>
  <si>
    <t>Molecular function</t>
  </si>
  <si>
    <t>Cellular compartment</t>
  </si>
  <si>
    <t>C: GO:0009521: photosystem</t>
  </si>
  <si>
    <t>C: GO:0009522: photosystem I</t>
  </si>
  <si>
    <t>C: GO:0009523: photosystem II</t>
  </si>
  <si>
    <t>C: GO:0030076: light-harvesting complex</t>
  </si>
  <si>
    <t>P: GO:0009734: auxin mediated signaling pathway</t>
  </si>
  <si>
    <t>P: GO:0044764: multi-organism cellular process</t>
  </si>
  <si>
    <t>P: GO:0016197: endosomal transport</t>
  </si>
  <si>
    <t>Low Density</t>
  </si>
  <si>
    <t>P: GO:0000302: response to reactive oxygen species</t>
  </si>
  <si>
    <t>P: GO:0000904: cell morphogenesis involved in differentiation</t>
  </si>
  <si>
    <t>P: GO:0006631: fatty acid metabolic process</t>
  </si>
  <si>
    <t>P: GO:0006643: membrane lipid metabolic process</t>
  </si>
  <si>
    <t>P: GO:0006664: glycolipid metabolic process</t>
  </si>
  <si>
    <t>P: GO:0009308: amine metabolic process</t>
  </si>
  <si>
    <t>P: GO:0009555: pollen development</t>
  </si>
  <si>
    <t>P: GO:0009733: response to auxin stimulus</t>
  </si>
  <si>
    <t>P: GO:0009790: embryo development</t>
  </si>
  <si>
    <t>P: GO:0009793: embryo development ending in seed dormancy</t>
  </si>
  <si>
    <t>P: GO:0009966: regulation of signal transduction</t>
  </si>
  <si>
    <t>P: GO:0010228: vegetative to reproductive phase transition of meristem</t>
  </si>
  <si>
    <t>P: GO:0010646: regulation of cell communication</t>
  </si>
  <si>
    <t>P: GO:0016042: lipid catabolic process</t>
  </si>
  <si>
    <t>P: GO:0016054: organic acid catabolic process</t>
  </si>
  <si>
    <t>P: GO:0019439: aromatic compound catabolic process</t>
  </si>
  <si>
    <t>P: GO:0023051: regulation of signaling</t>
  </si>
  <si>
    <t>P: GO:0044242: cellular lipid catabolic process</t>
  </si>
  <si>
    <t>P: GO:0044265: cellular macromolecule catabolic process</t>
  </si>
  <si>
    <t>P: GO:0044270: cellular nitrogen compound catabolic process</t>
  </si>
  <si>
    <t>P: GO:0044282: small molecule catabolic process</t>
  </si>
  <si>
    <t>P: GO:0044703: multi-organism reproductive process</t>
  </si>
  <si>
    <t>P: GO:0044712: single-organism catabolic process</t>
  </si>
  <si>
    <t>P: GO:0046395: carboxylic acid catabolic process</t>
  </si>
  <si>
    <t>P: GO:0046467: membrane lipid biosynthetic process</t>
  </si>
  <si>
    <t>P: GO:0046686: response to cadmium ion</t>
  </si>
  <si>
    <t>P: GO:0046700: heterocycle catabolic process</t>
  </si>
  <si>
    <t>P: GO:0048193: Golgi vesicle transport</t>
  </si>
  <si>
    <t>P: GO:0055085: transmembrane transport</t>
  </si>
  <si>
    <t>P: GO:0070647: protein modification by small protein conjugation or removal</t>
  </si>
  <si>
    <t>P: GO:1901361: organic cyclic compound catabolic process</t>
  </si>
  <si>
    <t>P: GO:0006281: DNA repair</t>
  </si>
  <si>
    <t>P: GO:0006974: response to DNA damage stimulus</t>
  </si>
  <si>
    <t>P: GO:0009062: fatty acid catabolic process</t>
  </si>
  <si>
    <t>P: GO:0009150: purine ribonucleotide metabolic process</t>
  </si>
  <si>
    <t>P: GO:0010876: lipid localization</t>
  </si>
  <si>
    <t>P: GO:0016036: cellular response to phosphate starvation</t>
  </si>
  <si>
    <t>P: GO:0030258: lipid modification</t>
  </si>
  <si>
    <t>P: GO:0046488: phosphatidylinositol metabolic process</t>
  </si>
  <si>
    <t>P: GO:0048437: floral organ development</t>
  </si>
  <si>
    <t>P: GO:0048438: floral whorl development</t>
  </si>
  <si>
    <t>P: GO:0051128: regulation of cellular component organization</t>
  </si>
  <si>
    <t>P: GO:0072329: monocarboxylic acid catabolic process</t>
  </si>
  <si>
    <t>P: GO:0072521: purine-containing compound metabolic process</t>
  </si>
  <si>
    <t>P: GO:0009309: amine biosynthetic process</t>
  </si>
  <si>
    <t>P: GO:0051093: negative regulation of developmental process</t>
  </si>
  <si>
    <t>P: GO:0006972: hyperosmotic response</t>
  </si>
  <si>
    <t>P: GO:0009267: cellular response to starvation</t>
  </si>
  <si>
    <t>P: GO:0009743: response to carbohydrate stimulus</t>
  </si>
  <si>
    <t>P: GO:0009856: pollination</t>
  </si>
  <si>
    <t>P: GO:0009991: response to extracellular stimulus</t>
  </si>
  <si>
    <t>P: GO:0030001: metal ion transport</t>
  </si>
  <si>
    <t>P: GO:0031667: response to nutrient levels</t>
  </si>
  <si>
    <t>P: GO:0031668: cellular response to extracellular stimulus</t>
  </si>
  <si>
    <t>P: GO:0031669: cellular response to nutrient levels</t>
  </si>
  <si>
    <t>P: GO:0034976: response to endoplasmic reticulum stress</t>
  </si>
  <si>
    <t>P: GO:0035556: intracellular signal transduction</t>
  </si>
  <si>
    <t>P: GO:0042445: hormone metabolic process</t>
  </si>
  <si>
    <t>P: GO:0042594: response to starvation</t>
  </si>
  <si>
    <t>P: GO:0044706: multi-multicellular organism process</t>
  </si>
  <si>
    <t>P: GO:0048229: gametophyte development</t>
  </si>
  <si>
    <t>P: GO:0048584: positive regulation of response to stimulus</t>
  </si>
  <si>
    <t>P: GO:0071396: cellular response to lipid</t>
  </si>
  <si>
    <t>P: GO:0071496: cellular response to external stimulus</t>
  </si>
  <si>
    <t>P: GO:1901565: organonitrogen compound catabolic process</t>
  </si>
  <si>
    <t>M: GO:0004871: signal transducer activity</t>
  </si>
  <si>
    <t>M: GO:0008233: peptidase activity</t>
  </si>
  <si>
    <t>M: GO:0015075: ion transmembrane transporter activity</t>
  </si>
  <si>
    <t>M: GO:0016462: pyrophosphatase activity</t>
  </si>
  <si>
    <t>M: GO:0016757: transferase activity, transferring glycosyl groups</t>
  </si>
  <si>
    <t>M: GO:0016788: hydrolase activity, acting on ester bonds</t>
  </si>
  <si>
    <t>M: GO:0016791: phosphatase activity</t>
  </si>
  <si>
    <t>M: GO:0016817: hydrolase activity, acting on acid anhydrides</t>
  </si>
  <si>
    <t>M: GO:0016818: hydrolase activity, acting on acid anhydrides, in phosphorus-containing anhydrides</t>
  </si>
  <si>
    <t>M: GO:0016874: ligase activity</t>
  </si>
  <si>
    <t>M: GO:0016887: ATPase activity</t>
  </si>
  <si>
    <t>M: GO:0017111: nucleoside-triphosphatase activity</t>
  </si>
  <si>
    <t>M: GO:0022891: substrate-specific transmembrane transporter activity</t>
  </si>
  <si>
    <t>M: GO:0042578: phosphoric ester hydrolase activity</t>
  </si>
  <si>
    <t>M: GO:0042802: identical protein binding</t>
  </si>
  <si>
    <t>M: GO:0046914: transition metal ion binding</t>
  </si>
  <si>
    <t>M: GO:0046983: protein dimerization activity</t>
  </si>
  <si>
    <t>M: GO:0048037: cofactor binding</t>
  </si>
  <si>
    <t>M: GO:0008324: cation transmembrane transporter activity</t>
  </si>
  <si>
    <t>M: GO:0016746: transferase activity, transferring acyl groups</t>
  </si>
  <si>
    <t>M: GO:0004721: phosphoprotein phosphatase activity</t>
  </si>
  <si>
    <t>C: GO:0000151: ubiquitin ligase complex</t>
  </si>
  <si>
    <t>C: GO:0005774: vacuolar membrane</t>
  </si>
  <si>
    <t>C: GO:0005783: endoplasmic reticulum</t>
  </si>
  <si>
    <t>C: GO:0012505: endomembrane system</t>
  </si>
  <si>
    <t>C: GO:0016021: integral to membrane</t>
  </si>
  <si>
    <t>C: GO:0044437: vacuolar part</t>
  </si>
  <si>
    <t>C: GO:0005654: nucleoplasm</t>
  </si>
  <si>
    <t>C: GO:0031461: cullin-RING ubiquitin ligase complex</t>
  </si>
  <si>
    <t>C: GO:0000325: plant-type vacuole</t>
  </si>
  <si>
    <t>P: GO:0006753: nucleoside phosphate metabolic process</t>
  </si>
  <si>
    <t>P: GO:0009117: nucleotide metabolic process</t>
  </si>
  <si>
    <t>P: GO:0009892: negative regulation of metabolic process</t>
  </si>
  <si>
    <t>P: GO:0010605: negative regulation of macromolecule metabolic process</t>
  </si>
  <si>
    <t>P: GO:0010629: negative regulation of gene expression</t>
  </si>
  <si>
    <t>P: GO:0015979: photosynthesis</t>
  </si>
  <si>
    <t>P: GO:0019684: photosynthesis, light reaction</t>
  </si>
  <si>
    <t>P: GO:0022613: ribonucleoprotein complex biogenesis</t>
  </si>
  <si>
    <t>P: GO:0031324: negative regulation of cellular metabolic process</t>
  </si>
  <si>
    <t>P: GO:0032259: methylation</t>
  </si>
  <si>
    <t>P: GO:0034470: ncRNA processing</t>
  </si>
  <si>
    <t>P: GO:0034654: nucleobase-containing compound biosynthetic process</t>
  </si>
  <si>
    <t>P: GO:0034660: ncRNA metabolic process</t>
  </si>
  <si>
    <t>P: GO:0042254: ribosome biogenesis</t>
  </si>
  <si>
    <t>P: GO:0043414: macromolecule methylation</t>
  </si>
  <si>
    <t>P: GO:0006325: chromatin organization</t>
  </si>
  <si>
    <t>P: GO:0006790: sulfur compound metabolic process</t>
  </si>
  <si>
    <t>P: GO:0008652: cellular amino acid biosynthetic process</t>
  </si>
  <si>
    <t>P: GO:0009890: negative regulation of biosynthetic process</t>
  </si>
  <si>
    <t>P: GO:0010558: negative regulation of macromolecule biosynthetic process</t>
  </si>
  <si>
    <t>P: GO:0031327: negative regulation of cellular biosynthetic process</t>
  </si>
  <si>
    <t>P: GO:0033365: protein localization to organelle</t>
  </si>
  <si>
    <t>P: GO:0044272: sulfur compound biosynthetic process</t>
  </si>
  <si>
    <t>P: GO:0045892: negative regulation of transcription, DNA-dependent</t>
  </si>
  <si>
    <t>P: GO:0045934: negative regulation of nucleobase-containing compound metabolic process</t>
  </si>
  <si>
    <t>P: GO:0048580: regulation of post-embryonic development</t>
  </si>
  <si>
    <t>P: GO:0051172: negative regulation of nitrogen compound metabolic process</t>
  </si>
  <si>
    <t>P: GO:1901605: alpha-amino acid metabolic process</t>
  </si>
  <si>
    <t>P: GO:2000113: negative regulation of cellular macromolecule biosynthetic process</t>
  </si>
  <si>
    <t>P: GO:0006091: generation of precursor metabolites and energy</t>
  </si>
  <si>
    <t>P: GO:0009891: positive regulation of biosynthetic process</t>
  </si>
  <si>
    <t>P: GO:0009893: positive regulation of metabolic process</t>
  </si>
  <si>
    <t>P: GO:0031325: positive regulation of cellular metabolic process</t>
  </si>
  <si>
    <t>P: GO:0031328: positive regulation of cellular biosynthetic process</t>
  </si>
  <si>
    <t>1 of 1</t>
  </si>
  <si>
    <t>1139 common terms</t>
  </si>
  <si>
    <t>1 of 113</t>
  </si>
  <si>
    <t>2 of 113</t>
  </si>
  <si>
    <t>3 of 113</t>
  </si>
  <si>
    <t>4 of 113</t>
  </si>
  <si>
    <t>5 of 113</t>
  </si>
  <si>
    <t>6 of 113</t>
  </si>
  <si>
    <t>7 of 113</t>
  </si>
  <si>
    <t>8 of 113</t>
  </si>
  <si>
    <t>9 of 113</t>
  </si>
  <si>
    <t>10 of 113</t>
  </si>
  <si>
    <t>11 of 113</t>
  </si>
  <si>
    <t>12 of 113</t>
  </si>
  <si>
    <t>13 of 113</t>
  </si>
  <si>
    <t>14 of 113</t>
  </si>
  <si>
    <t>15 of 113</t>
  </si>
  <si>
    <t>16 of 113</t>
  </si>
  <si>
    <t>17 of 113</t>
  </si>
  <si>
    <t>18 of 113</t>
  </si>
  <si>
    <t>P: GO:0022900: electron transport chain</t>
  </si>
  <si>
    <t>19 of 113</t>
  </si>
  <si>
    <t>P: GO:0015995: chlorophyll biosynthetic process</t>
  </si>
  <si>
    <t>20 of 113</t>
  </si>
  <si>
    <t>21 of 113</t>
  </si>
  <si>
    <t>P: GO:0010027: thylakoid membrane organization</t>
  </si>
  <si>
    <t>22 of 113</t>
  </si>
  <si>
    <t>P: GO:0009668: plastid membrane organization</t>
  </si>
  <si>
    <t>23 of 113</t>
  </si>
  <si>
    <t>24 of 113</t>
  </si>
  <si>
    <t>25 of 113</t>
  </si>
  <si>
    <t>26 of 113</t>
  </si>
  <si>
    <t>P: GO:0000478: endonucleolytic cleavage involved in rRNA processing</t>
  </si>
  <si>
    <t>27 of 113</t>
  </si>
  <si>
    <t>P: GO:0090501: RNA phosphodiester bond hydrolysis</t>
  </si>
  <si>
    <t>28 of 113</t>
  </si>
  <si>
    <t>P: GO:0090502: RNA phosphodiester bond hydrolysis, endonucleolytic</t>
  </si>
  <si>
    <t>29 of 113</t>
  </si>
  <si>
    <t>P: GO:0000469: cleavage involved in rRNA processing</t>
  </si>
  <si>
    <t>30 of 113</t>
  </si>
  <si>
    <t>P: GO:0019288: isopentenyl diphosphate biosynthetic process, mevalonate-independent pathway</t>
  </si>
  <si>
    <t>31 of 113</t>
  </si>
  <si>
    <t>P: GO:0019682: glyceraldehyde-3-phosphate metabolic process</t>
  </si>
  <si>
    <t>32 of 113</t>
  </si>
  <si>
    <t>P: GO:0006740: NADPH regeneration</t>
  </si>
  <si>
    <t>33 of 113</t>
  </si>
  <si>
    <t>P: GO:0006090: pyruvate metabolic process</t>
  </si>
  <si>
    <t>34 of 113</t>
  </si>
  <si>
    <t>P: GO:0006098: pentose-phosphate shunt</t>
  </si>
  <si>
    <t>35 of 113</t>
  </si>
  <si>
    <t>P: GO:0016109: tetraterpenoid biosynthetic process</t>
  </si>
  <si>
    <t>36 of 113</t>
  </si>
  <si>
    <t>P: GO:0016117: carotenoid biosynthetic process</t>
  </si>
  <si>
    <t>37 of 113</t>
  </si>
  <si>
    <t>P: GO:0009240: isopentenyl diphosphate biosynthetic process</t>
  </si>
  <si>
    <t>38 of 113</t>
  </si>
  <si>
    <t>P: GO:0046490: isopentenyl diphosphate metabolic process</t>
  </si>
  <si>
    <t>39 of 113</t>
  </si>
  <si>
    <t>P: GO:0006779: porphyrin-containing compound biosynthetic process</t>
  </si>
  <si>
    <t>40 of 113</t>
  </si>
  <si>
    <t>P: GO:0006739: NADP metabolic process</t>
  </si>
  <si>
    <t>41 of 113</t>
  </si>
  <si>
    <t>P: GO:0016116: carotenoid metabolic process</t>
  </si>
  <si>
    <t>42 of 113</t>
  </si>
  <si>
    <t>P: GO:0016108: tetraterpenoid metabolic process</t>
  </si>
  <si>
    <t>43 of 113</t>
  </si>
  <si>
    <t>P: GO:0007000: nucleolus organization</t>
  </si>
  <si>
    <t>44 of 113</t>
  </si>
  <si>
    <t>P: GO:0033014: tetrapyrrole biosynthetic process</t>
  </si>
  <si>
    <t>45 of 113</t>
  </si>
  <si>
    <t>P: GO:0008283: cell proliferation</t>
  </si>
  <si>
    <t>46 of 113</t>
  </si>
  <si>
    <t>P: GO:0051640: organelle localization</t>
  </si>
  <si>
    <t>47 of 113</t>
  </si>
  <si>
    <t>P: GO:0046496: nicotinamide nucleotide metabolic process</t>
  </si>
  <si>
    <t>48 of 113</t>
  </si>
  <si>
    <t>P: GO:0006275: regulation of DNA replication</t>
  </si>
  <si>
    <t>49 of 113</t>
  </si>
  <si>
    <t>P: GO:0019362: pyridine nucleotide metabolic process</t>
  </si>
  <si>
    <t>50 of 113</t>
  </si>
  <si>
    <t>P: GO:0072524: pyridine-containing compound metabolic process</t>
  </si>
  <si>
    <t>51 of 113</t>
  </si>
  <si>
    <t>P: GO:0016572: histone phosphorylation</t>
  </si>
  <si>
    <t>52 of 113</t>
  </si>
  <si>
    <t>P: GO:0010114: response to red light</t>
  </si>
  <si>
    <t>53 of 113</t>
  </si>
  <si>
    <t>P: GO:0009657: plastid organization</t>
  </si>
  <si>
    <t>54 of 113</t>
  </si>
  <si>
    <t>P: GO:0006099: tricarboxylic acid cycle</t>
  </si>
  <si>
    <t>55 of 113</t>
  </si>
  <si>
    <t>P: GO:0009109: coenzyme catabolic process</t>
  </si>
  <si>
    <t>Conserved: 55 terms P = 0.0000 (0/10000) Rand. median: 1</t>
  </si>
  <si>
    <t>P: GO:0010304: PSII associated light-harvesting complex II catabolic process</t>
  </si>
  <si>
    <t>P: GO:0031163: metallo-sulfur cluster assembly</t>
  </si>
  <si>
    <t>P: GO:0016226: iron-sulfur cluster assembly</t>
  </si>
  <si>
    <t>P: GO:0006733: oxidoreduction coenzyme metabolic process</t>
  </si>
  <si>
    <t>P: GO:0006636: unsaturated fatty acid biosynthetic process</t>
  </si>
  <si>
    <t>P: GO:0033559: unsaturated fatty acid metabolic process</t>
  </si>
  <si>
    <t>P: GO:0051225: spindle assembly</t>
  </si>
  <si>
    <t>P: GO:0007051: spindle organization</t>
  </si>
  <si>
    <t>P: GO:0051322: anaphase</t>
  </si>
  <si>
    <t>P: GO:0010155: regulation of proton transport</t>
  </si>
  <si>
    <t>P: GO:0070925: organelle assembly</t>
  </si>
  <si>
    <t>P: GO:0006655: phosphatidylglycerol biosynthetic process</t>
  </si>
  <si>
    <t>P: GO:0046471: phosphatidylglycerol metabolic process</t>
  </si>
  <si>
    <t>P: GO:0001510: RNA methylation</t>
  </si>
  <si>
    <t>P: GO:0009637: response to blue light</t>
  </si>
  <si>
    <t>P: GO:0045786: negative regulation of cell cycle</t>
  </si>
  <si>
    <t>P: GO:0000079: regulation of cyclin-dependent protein kinase activity</t>
  </si>
  <si>
    <t>P: GO:0006364: rRNA processing</t>
  </si>
  <si>
    <t>P: GO:0016072: rRNA metabolic process</t>
  </si>
  <si>
    <t>P: GO:0010440: stomatal lineage progression</t>
  </si>
  <si>
    <t>248 common terms</t>
  </si>
  <si>
    <t>1 of 24</t>
  </si>
  <si>
    <t>M: GO:0016168: chlorophyll binding</t>
  </si>
  <si>
    <t>2 of 24</t>
  </si>
  <si>
    <t>M: GO:0016538: cyclin-dependent protein kinase regulator activity</t>
  </si>
  <si>
    <t>3 of 24</t>
  </si>
  <si>
    <t>M: GO:0019887: protein kinase regulator activity</t>
  </si>
  <si>
    <t>4 of 24</t>
  </si>
  <si>
    <t>M: GO:0019207: kinase regulator activity</t>
  </si>
  <si>
    <t>5 of 24</t>
  </si>
  <si>
    <t>M: GO:0008266: poly(U) RNA binding</t>
  </si>
  <si>
    <t>6 of 24</t>
  </si>
  <si>
    <t>M: GO:0008187: poly-pyrimidine tract binding</t>
  </si>
  <si>
    <t>Conserved: 6 terms P = 0.0000 (0/10000) Rand. median: 0</t>
  </si>
  <si>
    <t>M: GO:0051537: 2 iron, 2 sulfur cluster binding</t>
  </si>
  <si>
    <t>M: GO:0005200: structural constituent of cytoskeleton</t>
  </si>
  <si>
    <t>M: GO:0004298: threonine-type endopeptidase activity</t>
  </si>
  <si>
    <t>M: GO:0070003: threonine-type peptidase activity</t>
  </si>
  <si>
    <t>M: GO:0003777: microtubule motor activity</t>
  </si>
  <si>
    <t>M: GO:0003774: motor activity</t>
  </si>
  <si>
    <t>M: GO:0004693: cyclin-dependent protein kinase activity</t>
  </si>
  <si>
    <t>Conserved: 1 terms P = 0.7136 (7136/10000) Rand. median: 1</t>
  </si>
  <si>
    <t>146 common terms</t>
  </si>
  <si>
    <t>1 of 14</t>
  </si>
  <si>
    <t>2 of 14</t>
  </si>
  <si>
    <t>3 of 14</t>
  </si>
  <si>
    <t>4 of 14</t>
  </si>
  <si>
    <t>5 of 14</t>
  </si>
  <si>
    <t>C: GO:0031978: plastid thylakoid lumen</t>
  </si>
  <si>
    <t>Conserved: 5 terms P = 0.0000 (0/10000) Rand. median: 0</t>
  </si>
  <si>
    <t>C: GO:0055035: plastid thylakoid membrane</t>
  </si>
  <si>
    <t>C: GO:0009535: chloroplast thylakoid membrane</t>
  </si>
  <si>
    <t>Conserved: 0 terms P = 1.0000 (10000/10000) Rand. median: 0</t>
  </si>
  <si>
    <t>P: GO:0009612: response to mechanical stimulus</t>
  </si>
  <si>
    <t>P: GO:0006417: regulation of translation</t>
  </si>
  <si>
    <t>P: GO:0016101: diterpenoid metabolic process</t>
  </si>
  <si>
    <t>P: GO:0009685: gibberellin metabolic process</t>
  </si>
  <si>
    <t>P: GO:0008356: asymmetric cell division</t>
  </si>
  <si>
    <t>P: GO:0009684: indoleacetic acid biosynthetic process</t>
  </si>
  <si>
    <t>P: GO:0009683: indoleacetic acid metabolic process</t>
  </si>
  <si>
    <t>P: GO:0009851: auxin biosynthetic process</t>
  </si>
  <si>
    <t>P: GO:0009850: auxin metabolic process</t>
  </si>
  <si>
    <t>P: GO:0010051: xylem and phloem pattern formation</t>
  </si>
  <si>
    <t>P: GO:0010267: production of ta-siRNAs involved in RNA interference</t>
  </si>
  <si>
    <t>P: GO:0035196: production of miRNAs involved in gene silencing by miRNA</t>
  </si>
  <si>
    <t>P: GO:0035195: gene silencing by miRNA</t>
  </si>
  <si>
    <t>P: GO:0043331: response to dsRNA</t>
  </si>
  <si>
    <t>P: GO:0071359: cellular response to dsRNA</t>
  </si>
  <si>
    <t>P: GO:0031050: dsRNA fragmentation</t>
  </si>
  <si>
    <t>P: GO:0010074: maintenance of meristem identity</t>
  </si>
  <si>
    <t>11 common terms</t>
  </si>
  <si>
    <t>9 common terms</t>
  </si>
  <si>
    <t>Conserved: 24 terms P = 0.0000 (0/10000) Rand. median: 1</t>
  </si>
  <si>
    <t>P: GO:0015672: monovalent inorganic cation transport</t>
  </si>
  <si>
    <t>Conserved: 22 terms P = 0.0000 (0/10000) Rand. median: 6</t>
  </si>
  <si>
    <t>7 of 24</t>
  </si>
  <si>
    <t>8 of 24</t>
  </si>
  <si>
    <t>9 of 24</t>
  </si>
  <si>
    <t>10 of 24</t>
  </si>
  <si>
    <t>Conserved: 10 terms P = 0.0000 (0/10000) Rand. median: 0</t>
  </si>
  <si>
    <t>M: GO:0022804: active transmembrane transporter activity</t>
  </si>
  <si>
    <t>M: GO:0070011: peptidase activity, acting on L-amino acid peptides</t>
  </si>
  <si>
    <t>Conserved: 6 terms P = 0.0000 (0/10000) Rand. median: 1</t>
  </si>
  <si>
    <t>Conserved: 0 terms P = 1.0000 (10000/10000) Rand. median: 1</t>
  </si>
  <si>
    <t>Conserved: 4 terms P = 0.0000 (0/10000) Rand. median: 0</t>
  </si>
  <si>
    <t>Conserved: 13 terms P = 0.0000 (0/10000) Rand. median: 3</t>
  </si>
  <si>
    <t>Conserved: 0 terms P = 1.0000 (10000/10000) Rand. median: 3</t>
  </si>
  <si>
    <t>High Avpath</t>
  </si>
  <si>
    <t>Avpath</t>
  </si>
  <si>
    <t>P: GO:0009119: ribonucleoside metabolic process</t>
  </si>
  <si>
    <t>P: GO:1901136: carbohydrate derivative catabolic process</t>
  </si>
  <si>
    <t>P: GO:0042278: purine nucleoside metabolic process</t>
  </si>
  <si>
    <t>P: GO:0046128: purine ribonucleoside metabolic process</t>
  </si>
  <si>
    <t>P: GO:0009116: nucleoside metabolic process</t>
  </si>
  <si>
    <t>P: GO:0090351: seedling development</t>
  </si>
  <si>
    <t>P: GO:0034220: ion transmembrane transport</t>
  </si>
  <si>
    <t>P: GO:1901658: glycosyl compound catabolic process</t>
  </si>
  <si>
    <t>Conserved: 10 terms P = 0.0000 (0/10000) Rand. median: 1</t>
  </si>
  <si>
    <t>P: GO:0019374: galactolipid metabolic process</t>
  </si>
  <si>
    <t>P: GO:0009199: ribonucleoside triphosphate metabolic process</t>
  </si>
  <si>
    <t>P: GO:0009205: purine ribonucleoside triphosphate metabolic process</t>
  </si>
  <si>
    <t>P: GO:0009144: purine nucleoside triphosphate metabolic process</t>
  </si>
  <si>
    <t>P: GO:0009624: response to nematode</t>
  </si>
  <si>
    <t>P: GO:0019375: galactolipid biosynthetic process</t>
  </si>
  <si>
    <t>P: GO:0010026: trichome differentiation</t>
  </si>
  <si>
    <t>P: GO:0009741: response to brassinosteroid stimulus</t>
  </si>
  <si>
    <t>P: GO:0042743: hydrogen peroxide metabolic process</t>
  </si>
  <si>
    <t>P: GO:0072593: reactive oxygen species metabolic process</t>
  </si>
  <si>
    <t>P: GO:0032446: protein modification by small protein conjugation</t>
  </si>
  <si>
    <t>P: GO:0042545: cell wall modification</t>
  </si>
  <si>
    <t>P: GO:0065009: regulation of molecular function</t>
  </si>
  <si>
    <t>P: GO:0042592: homeostatic process</t>
  </si>
  <si>
    <t>Conserved: 21 terms P = 0.0000 (0/10000) Rand. median: 8</t>
  </si>
  <si>
    <t>P: GO:0006163: purine nucleotide metabolic process</t>
  </si>
  <si>
    <t>P: GO:0007568: aging</t>
  </si>
  <si>
    <t>P: GO:0009860: pollen tube growth</t>
  </si>
  <si>
    <t>P: GO:0048528: post-embryonic root development</t>
  </si>
  <si>
    <t>P: GO:0009827: plant-type cell wall modification</t>
  </si>
  <si>
    <t>P: GO:0035295: tube development</t>
  </si>
  <si>
    <t>P: GO:0048868: pollen tube development</t>
  </si>
  <si>
    <t>P: GO:0009845: seed germination</t>
  </si>
  <si>
    <t>M: GO:0008168: methyltransferase activity</t>
  </si>
  <si>
    <t>M: GO:0016747: transferase activity, transferring acyl groups other than amino-acyl groups</t>
  </si>
  <si>
    <t>M: GO:0046527: glucosyltransferase activity</t>
  </si>
  <si>
    <t>M: GO:0008194: UDP-glycosyltransferase activity</t>
  </si>
  <si>
    <t>Conserved: 10 terms P = 0.0000 (0/10000) Rand. median: 2</t>
  </si>
  <si>
    <t>M: GO:0031072: heat shock protein binding</t>
  </si>
  <si>
    <t>C: GO:0080008: Cul4-RING ubiquitin ligase complex</t>
  </si>
  <si>
    <t>C: GO:0005777: peroxisome</t>
  </si>
  <si>
    <t>6 of 14</t>
  </si>
  <si>
    <t>C: GO:0042579: microbody</t>
  </si>
  <si>
    <t>C: GO:0044451: nucleoplasm part</t>
  </si>
  <si>
    <t>C: GO:0019866: organelle inner membrane</t>
  </si>
  <si>
    <t>C: GO:0044432: endoplasmic reticulum part</t>
  </si>
  <si>
    <t>P: GO:0009886: post-embryonic morphogenesis</t>
  </si>
  <si>
    <t>P: GO:0009723: response to ethylene stimulus</t>
  </si>
  <si>
    <t>Conserved: 0 terms P = 1.0000 (10000/10000) Rand. median: 5</t>
  </si>
  <si>
    <t>P: GO:0009863: salicylic acid mediated signaling pathway</t>
  </si>
  <si>
    <t>P: GO:0071446: cellular response to salicylic acid stimulus</t>
  </si>
  <si>
    <t>P: GO:0009887: organ morphogenesis</t>
  </si>
  <si>
    <t>P: GO:0048507: meristem development</t>
  </si>
  <si>
    <t>P: GO:0010200: response to chitin</t>
  </si>
  <si>
    <t>P: GO:0048366: leaf development</t>
  </si>
  <si>
    <t>P: GO:0048827: phyllome development</t>
  </si>
  <si>
    <t>P: GO:0003002: regionalization</t>
  </si>
  <si>
    <t>M: GO:0043565: sequence-specific DNA binding</t>
  </si>
  <si>
    <t>Low Avpath</t>
  </si>
  <si>
    <t>P: GO:0043255: regulation of carbohydrate biosynthetic process</t>
  </si>
  <si>
    <t>P: GO:0006662: glycerol ether metabolic process</t>
  </si>
  <si>
    <t>P: GO:0018904: ether metabolic process</t>
  </si>
  <si>
    <t>P: GO:0018208: peptidyl-proline modification</t>
  </si>
  <si>
    <t>Conserved: 15 terms P = 0.0000 (0/10000) Rand. median: 1</t>
  </si>
  <si>
    <t>P: GO:0043603: cellular amide metabolic process</t>
  </si>
  <si>
    <t>P: GO:0018193: peptidyl-amino acid modification</t>
  </si>
  <si>
    <t>P: GO:0046351: disaccharide biosynthetic process</t>
  </si>
  <si>
    <t>P: GO:0006109: regulation of carbohydrate metabolic process</t>
  </si>
  <si>
    <t>P: GO:0009142: nucleoside triphosphate biosynthetic process</t>
  </si>
  <si>
    <t>P: GO:0009201: ribonucleoside triphosphate biosynthetic process</t>
  </si>
  <si>
    <t>P: GO:0009206: purine ribonucleoside triphosphate biosynthetic process</t>
  </si>
  <si>
    <t>P: GO:0009145: purine nucleoside triphosphate biosynthetic process</t>
  </si>
  <si>
    <t>P: GO:0006754: ATP biosynthetic process</t>
  </si>
  <si>
    <t>P: GO:0015986: ATP synthesis coupled proton transport</t>
  </si>
  <si>
    <t>P: GO:0015985: energy coupled proton transport, down electrochemical gradient</t>
  </si>
  <si>
    <t>P: GO:0009556: microsporogenesis</t>
  </si>
  <si>
    <t>P: GO:0048236: plant-type spore development</t>
  </si>
  <si>
    <t>P: GO:0042401: cellular biogenic amine biosynthetic process</t>
  </si>
  <si>
    <t>M: GO:0045735: nutrient reservoir activity</t>
  </si>
  <si>
    <t>M: GO:0015932: nucleobase-containing compound transmembrane transporter activity</t>
  </si>
  <si>
    <t>M: GO:0003727: single-stranded RNA binding</t>
  </si>
  <si>
    <t>P: GO:0009218: pyrimidine ribonucleotide metabolic process</t>
  </si>
  <si>
    <t>P: GO:0019693: ribose phosphate metabolic process</t>
  </si>
  <si>
    <t>P: GO:0009553: embryo sac development</t>
  </si>
  <si>
    <t>P: GO:0009108: coenzyme biosynthetic process</t>
  </si>
  <si>
    <t>P: GO:0006766: vitamin metabolic process</t>
  </si>
  <si>
    <t>P: GO:0009063: cellular amino acid catabolic process</t>
  </si>
  <si>
    <t>P: GO:0009106: lipoate metabolic process</t>
  </si>
  <si>
    <t>P: GO:0006644: phospholipid metabolic process</t>
  </si>
  <si>
    <t>P: GO:0008213: protein alkylation</t>
  </si>
  <si>
    <t>P: GO:0009812: flavonoid metabolic process</t>
  </si>
  <si>
    <t>P: GO:0071822: protein complex subunit organization</t>
  </si>
  <si>
    <t>P: GO:0008299: isoprenoid biosynthetic process</t>
  </si>
  <si>
    <t>P: GO:0006720: isoprenoid metabolic process</t>
  </si>
  <si>
    <t>P: GO:0006081: cellular aldehyde metabolic process</t>
  </si>
  <si>
    <t>P: GO:0051186: cofactor metabolic process</t>
  </si>
  <si>
    <t>P: GO:0006412: translation</t>
  </si>
  <si>
    <t>P: GO:0008654: phospholipid biosynthetic process</t>
  </si>
  <si>
    <t>P: GO:0009658: chloroplast organization</t>
  </si>
  <si>
    <t>P: GO:0042440: pigment metabolic process</t>
  </si>
  <si>
    <t>P: GO:0046148: pigment biosynthetic process</t>
  </si>
  <si>
    <t>P: GO:0006732: coenzyme metabolic process</t>
  </si>
  <si>
    <t>P: GO:0009451: RNA modification</t>
  </si>
  <si>
    <t>P: GO:0033013: tetrapyrrole metabolic process</t>
  </si>
  <si>
    <t>P: GO:0006778: porphyrin-containing compound metabolic process</t>
  </si>
  <si>
    <t>P: GO:0015994: chlorophyll metabolic process</t>
  </si>
  <si>
    <t>P: GO:0051567: histone H3-K9 methylation</t>
  </si>
  <si>
    <t>P: GO:0016570: histone modification</t>
  </si>
  <si>
    <t>56 of 113</t>
  </si>
  <si>
    <t>P: GO:0006260: DNA replication</t>
  </si>
  <si>
    <t>57 of 113</t>
  </si>
  <si>
    <t>P: GO:0061024: membrane organization</t>
  </si>
  <si>
    <t>58 of 113</t>
  </si>
  <si>
    <t>P: GO:0016044: cellular membrane organization</t>
  </si>
  <si>
    <t>59 of 113</t>
  </si>
  <si>
    <t>P: GO:0034968: histone lysine methylation</t>
  </si>
  <si>
    <t>60 of 113</t>
  </si>
  <si>
    <t>61 of 113</t>
  </si>
  <si>
    <t>P: GO:0016569: covalent chromatin modification</t>
  </si>
  <si>
    <t>62 of 113</t>
  </si>
  <si>
    <t>P: GO:0016568: chromatin modification</t>
  </si>
  <si>
    <t>63 of 113</t>
  </si>
  <si>
    <t>64 of 113</t>
  </si>
  <si>
    <t>65 of 113</t>
  </si>
  <si>
    <t>P: GO:0016571: histone methylation</t>
  </si>
  <si>
    <t>66 of 113</t>
  </si>
  <si>
    <t>P: GO:0006479: protein methylation</t>
  </si>
  <si>
    <t>67 of 113</t>
  </si>
  <si>
    <t>68 of 113</t>
  </si>
  <si>
    <t>69 of 113</t>
  </si>
  <si>
    <t>70 of 113</t>
  </si>
  <si>
    <t>71 of 113</t>
  </si>
  <si>
    <t>Conserved: 71 terms P = 0.0000 (0/10000) Rand. median: 1</t>
  </si>
  <si>
    <t>P: GO:0019252: starch biosynthetic process</t>
  </si>
  <si>
    <t>P: GO:0010016: shoot morphogenesis</t>
  </si>
  <si>
    <t>P: GO:0033205: cell cycle cytokinesis</t>
  </si>
  <si>
    <t>P: GO:0044724: single-organism carbohydrate catabolic process</t>
  </si>
  <si>
    <t>P: GO:0016052: carbohydrate catabolic process</t>
  </si>
  <si>
    <t>P: GO:0046365: monosaccharide catabolic process</t>
  </si>
  <si>
    <t>P: GO:0019320: hexose catabolic process</t>
  </si>
  <si>
    <t>P: GO:0006007: glucose catabolic process</t>
  </si>
  <si>
    <t>P: GO:0043623: cellular protein complex assembly</t>
  </si>
  <si>
    <t>P: GO:0006006: glucose metabolic process</t>
  </si>
  <si>
    <t>P: GO:0070271: protein complex biogenesis</t>
  </si>
  <si>
    <t>P: GO:0006461: protein complex assembly</t>
  </si>
  <si>
    <t>P: GO:0019318: hexose metabolic process</t>
  </si>
  <si>
    <t>P: GO:0034622: cellular macromolecular complex assembly</t>
  </si>
  <si>
    <t>P: GO:0051188: cofactor biosynthetic process</t>
  </si>
  <si>
    <t>P: GO:0065003: macromolecular complex assembly</t>
  </si>
  <si>
    <t>P: GO:0043933: macromolecular complex subunit organization</t>
  </si>
  <si>
    <t>P: GO:0006259: DNA metabolic process</t>
  </si>
  <si>
    <t>P: GO:0006261: DNA-dependent DNA replication</t>
  </si>
  <si>
    <t>P: GO:0007017: microtubule-based process</t>
  </si>
  <si>
    <t>P: GO:0007010: cytoskeleton organization</t>
  </si>
  <si>
    <t>Conserved: 23 terms P = 0.0000 (0/10000) Rand. median: 1</t>
  </si>
  <si>
    <t>M: GO:0003735: structural constituent of ribosome</t>
  </si>
  <si>
    <t>M: GO:0005198: structural molecule activity</t>
  </si>
  <si>
    <t>M: GO:0003723: RNA binding</t>
  </si>
  <si>
    <t>Conserved: 9 terms P = 0.0000 (0/10000) Rand. median: 0</t>
  </si>
  <si>
    <t>M: GO:0046906: tetrapyrrole binding</t>
  </si>
  <si>
    <t>M: GO:0009055: electron carrier activity</t>
  </si>
  <si>
    <t>C: GO:0009579: thylakoid</t>
  </si>
  <si>
    <t>C: GO:0031976: plastid thylakoid</t>
  </si>
  <si>
    <t>C: GO:0009534: chloroplast thylakoid</t>
  </si>
  <si>
    <t>C: GO:0031984: organelle subcompartment</t>
  </si>
  <si>
    <t>C: GO:0044436: thylakoid part</t>
  </si>
  <si>
    <t>C: GO:0034357: photosynthetic membrane</t>
  </si>
  <si>
    <t>7 of 14</t>
  </si>
  <si>
    <t>8 of 14</t>
  </si>
  <si>
    <t>C: GO:0042651: thylakoid membrane</t>
  </si>
  <si>
    <t>9 of 14</t>
  </si>
  <si>
    <t>10 of 14</t>
  </si>
  <si>
    <t>C: GO:0009532: plastid stroma</t>
  </si>
  <si>
    <t>11 of 14</t>
  </si>
  <si>
    <t>C: GO:0009570: chloroplast stroma</t>
  </si>
  <si>
    <t>12 of 14</t>
  </si>
  <si>
    <t>C: GO:0009526: plastid envelope</t>
  </si>
  <si>
    <t>Conserved: 12 terms P = 0.0000 (0/10000) Rand. median: 0</t>
  </si>
  <si>
    <t>P: GO:0000910: cytokinesis</t>
  </si>
  <si>
    <t>P: GO:0009165: nucleotide biosynthetic process</t>
  </si>
  <si>
    <t>P: GO:1901293: nucleoside phosphate biosynthetic process</t>
  </si>
  <si>
    <t>P: GO:0071241: cellular response to inorganic substance</t>
  </si>
  <si>
    <t>P: GO:0010351: lithium ion transport</t>
  </si>
  <si>
    <t>P: GO:0006665: sphingolipid metabolic process</t>
  </si>
  <si>
    <t>P: GO:0019722: calcium-mediated signaling</t>
  </si>
  <si>
    <t>P: GO:0043401: steroid hormone mediated signaling pathway</t>
  </si>
  <si>
    <t>P: GO:0071383: cellular response to steroid hormone stimulus</t>
  </si>
  <si>
    <t>P: GO:0048545: response to steroid hormone stimulus</t>
  </si>
  <si>
    <t>P: GO:0009742: brassinosteroid mediated signaling pathway</t>
  </si>
  <si>
    <t>P: GO:0071367: cellular response to brassinosteroid stimulus</t>
  </si>
  <si>
    <t>P: GO:0006200: ATP catabolic process</t>
  </si>
  <si>
    <t>P: GO:0008643: carbohydrate transport</t>
  </si>
  <si>
    <t>P: GO:0006301: postreplication repair</t>
  </si>
  <si>
    <t>P: GO:0000303: response to superoxide</t>
  </si>
  <si>
    <t>P: GO:0051241: negative regulation of multicellular organismal process</t>
  </si>
  <si>
    <t>P: GO:0048581: negative regulation of post-embryonic development</t>
  </si>
  <si>
    <t>P: GO:0016104: triterpenoid biosynthetic process</t>
  </si>
  <si>
    <t>P: GO:0006470: protein dephosphorylation</t>
  </si>
  <si>
    <t>P: GO:0043288: apocarotenoid metabolic process</t>
  </si>
  <si>
    <t>P: GO:0009687: abscisic acid metabolic process</t>
  </si>
  <si>
    <t>P: GO:1900140: regulation of seedling development</t>
  </si>
  <si>
    <t>P: GO:0009894: regulation of catabolic process</t>
  </si>
  <si>
    <t>P: GO:0009312: oligosaccharide biosynthetic process</t>
  </si>
  <si>
    <t>P: GO:1901419: regulation of response to alcohol</t>
  </si>
  <si>
    <t>P: GO:0010029: regulation of seed germination</t>
  </si>
  <si>
    <t>P: GO:0009787: regulation of abscisic acid mediated signaling pathway</t>
  </si>
  <si>
    <t>P: GO:0042752: regulation of circadian rhythm</t>
  </si>
  <si>
    <t>P: GO:0032940: secretion by cell</t>
  </si>
  <si>
    <t>P: GO:0006813: potassium ion transport</t>
  </si>
  <si>
    <t>P: GO:0046903: secretion</t>
  </si>
  <si>
    <t>P: GO:2000242: negative regulation of reproductive process</t>
  </si>
  <si>
    <t>P: GO:0051240: positive regulation of multicellular organismal process</t>
  </si>
  <si>
    <t>P: GO:0009910: negative regulation of flower development</t>
  </si>
  <si>
    <t>P: GO:0010101: post-embryonic root morphogenesis</t>
  </si>
  <si>
    <t>P: GO:0010102: lateral root morphogenesis</t>
  </si>
  <si>
    <t>P: GO:0055065: metal ion homeostasis</t>
  </si>
  <si>
    <t>P: GO:0010311: lateral root formation</t>
  </si>
  <si>
    <t>Conserved: 26 terms P = 0.0000 (0/10000) Rand. median: 9</t>
  </si>
  <si>
    <t>P: GO:0015851: nucleobase transport</t>
  </si>
  <si>
    <t>P: GO:0006863: purine nucleobase transport</t>
  </si>
  <si>
    <t>P: GO:0052482: defense response by cell wall thickening</t>
  </si>
  <si>
    <t>P: GO:0052544: defense response by callose deposition in cell wall</t>
  </si>
  <si>
    <t>P: GO:0009682: induced systemic resistance</t>
  </si>
  <si>
    <t>P: GO:0010020: chloroplast fission</t>
  </si>
  <si>
    <t>P: GO:0052543: callose deposition in cell wall</t>
  </si>
  <si>
    <t>P: GO:0022411: cellular component disassembly</t>
  </si>
  <si>
    <t>P: GO:0019932: second-messenger-mediated signaling</t>
  </si>
  <si>
    <t>M: GO:0008081: phosphoric diester hydrolase activity</t>
  </si>
  <si>
    <t>M: GO:0016877: ligase activity, forming carbon-sulfur bonds</t>
  </si>
  <si>
    <t>Conserved: 0 terms P = 1.0000 (10000/10000) Rand. median: 2</t>
  </si>
  <si>
    <t>M: GO:1901677: phosphate transmembrane transporter activity</t>
  </si>
  <si>
    <t>C: GO:0008287: protein serine/threonine phosphatase complex</t>
  </si>
  <si>
    <t>C: GO:0016592: mediator complex</t>
  </si>
  <si>
    <t>C: GO:0009707: chloroplast outer membrane</t>
  </si>
  <si>
    <t>C: GO:0030880: RNA polymerase complex</t>
  </si>
  <si>
    <t>C: GO:0055029: nuclear DNA-directed RNA polymerase complex</t>
  </si>
  <si>
    <t>C: GO:0000428: DNA-directed RNA polymerase complex</t>
  </si>
  <si>
    <t>P: GO:0010150: leaf senescence</t>
  </si>
  <si>
    <t>P: GO:0048825: cotyledon development</t>
  </si>
  <si>
    <t>P: GO:0045596: negative regulation of cell differentiation</t>
  </si>
  <si>
    <t>P: GO:0043543: protein acylation</t>
  </si>
  <si>
    <t>P: GO:0019827: stem cell maintenance</t>
  </si>
  <si>
    <t>P: GO:0048864: stem cell development</t>
  </si>
  <si>
    <t>P: GO:0009410: response to xenobiotic stimulus</t>
  </si>
  <si>
    <t>P: GO:0048863: stem cell differentiation</t>
  </si>
  <si>
    <t>P: GO:0009813: flavonoid biosynthetic process</t>
  </si>
  <si>
    <t>P: GO:0071368: cellular response to cytokinin stimulus</t>
  </si>
  <si>
    <t>P: GO:0009736: cytokinin mediated signaling pathway</t>
  </si>
  <si>
    <t>High Connectivity</t>
  </si>
  <si>
    <t>Connectivity</t>
  </si>
  <si>
    <t>P: GO:0016998: cell wall macromolecule catabolic process</t>
  </si>
  <si>
    <t>P: GO:0046356: acetyl-CoA catabolic process</t>
  </si>
  <si>
    <t>P: GO:0006897: endocytosis</t>
  </si>
  <si>
    <t>P: GO:0045426: quinone cofactor biosynthetic process</t>
  </si>
  <si>
    <t>P: GO:1901661: quinone metabolic process</t>
  </si>
  <si>
    <t>P: GO:0042375: quinone cofactor metabolic process</t>
  </si>
  <si>
    <t>P: GO:1901663: quinone biosynthetic process</t>
  </si>
  <si>
    <t>P: GO:0010563: negative regulation of phosphorus metabolic process</t>
  </si>
  <si>
    <t>P: GO:0045936: negative regulation of phosphate metabolic process</t>
  </si>
  <si>
    <t>P: GO:0006714: sesquiterpenoid metabolic process</t>
  </si>
  <si>
    <t>P: GO:0009958: positive gravitropism</t>
  </si>
  <si>
    <t>P: GO:0009875: pollen-pistil interaction</t>
  </si>
  <si>
    <t>P: GO:0002218: activation of innate immune response</t>
  </si>
  <si>
    <t>P: GO:0002253: activation of immune response</t>
  </si>
  <si>
    <t>P: GO:0006184: GTP catabolic process</t>
  </si>
  <si>
    <t>P: GO:1901069: guanosine-containing compound catabolic process</t>
  </si>
  <si>
    <t>P: GO:0009225: nucleotide-sugar metabolic process</t>
  </si>
  <si>
    <t>P: GO:0046039: GTP metabolic process</t>
  </si>
  <si>
    <t>P: GO:0048544: recognition of pollen</t>
  </si>
  <si>
    <t>P: GO:0008037: cell recognition</t>
  </si>
  <si>
    <t>P: GO:0006875: cellular metal ion homeostasis</t>
  </si>
  <si>
    <t>P: GO:0071365: cellular response to auxin stimulus</t>
  </si>
  <si>
    <t>Conserved: 30 terms P = 0.0000 (0/10000) Rand. median: 9</t>
  </si>
  <si>
    <t>P: GO:2000243: positive regulation of reproductive process</t>
  </si>
  <si>
    <t>M: GO:0008080: N-acetyltransferase activity</t>
  </si>
  <si>
    <t>M: GO:0016410: N-acyltransferase activity</t>
  </si>
  <si>
    <t>M: GO:0010181: FMN binding</t>
  </si>
  <si>
    <t>M: GO:0016709: oxidoreductase activity, acting on paired donors, with incorporation or reduction of molecular oxygen, NAD(P)H as one donor, and incorporation of one atom of oxygen</t>
  </si>
  <si>
    <t>C: GO:0010008: endosome membrane</t>
  </si>
  <si>
    <t>C: GO:0044440: endosomal part</t>
  </si>
  <si>
    <t>P: GO:0001708: cell fate specification</t>
  </si>
  <si>
    <t>P: GO:0045165: cell fate commitment</t>
  </si>
  <si>
    <t>P: GO:0071478: cellular response to radiation</t>
  </si>
  <si>
    <t>P: GO:0071482: cellular response to light stimulus</t>
  </si>
  <si>
    <t>P: GO:0048527: lateral root development</t>
  </si>
  <si>
    <t>Conserved: 16 terms P = 0.0000 (0/10000) Rand. median: 4</t>
  </si>
  <si>
    <t>Conserved: 0 terms P = 1.0000 (10000/10000) Rand. median: 4</t>
  </si>
  <si>
    <t>Low Connectivity</t>
  </si>
  <si>
    <t>Conserved: 17 terms P = 0.0000 (0/10000) Rand. median: 1</t>
  </si>
  <si>
    <t>P: GO:0016458: gene silencing</t>
  </si>
  <si>
    <t>P: GO:0040029: regulation of gene expression, epigenetic</t>
  </si>
  <si>
    <t>P: GO:0010243: response to organic nitrogen</t>
  </si>
  <si>
    <t>Conserved: 15 terms P = 0.0034 (34/10000) Rand. median: 7</t>
  </si>
  <si>
    <t>P: GO:0000911: cytokinesis by cell plate formation</t>
  </si>
  <si>
    <t>P: GO:0000226: microtubule cytoskeleton organization</t>
  </si>
  <si>
    <t>P: GO:0072528: pyrimidine-containing compound biosynthetic process</t>
  </si>
  <si>
    <t>P: GO:0072527: pyrimidine-containing compound metabolic process</t>
  </si>
  <si>
    <t>P: GO:0006221: pyrimidine nucleotide biosynthetic process</t>
  </si>
  <si>
    <t>P: GO:0006220: pyrimidine nucleotide metabolic process</t>
  </si>
  <si>
    <t>P: GO:0009220: pyrimidine ribonucleotide biosynthetic process</t>
  </si>
  <si>
    <t>High Connectivity in</t>
  </si>
  <si>
    <t>Connectivity in</t>
  </si>
  <si>
    <t>P: GO:0009259: ribonucleotide metabolic process</t>
  </si>
  <si>
    <t>P: GO:0009260: ribonucleotide biosynthetic process</t>
  </si>
  <si>
    <t>P: GO:0046390: ribose phosphate biosynthetic process</t>
  </si>
  <si>
    <t>Low Connectivity in</t>
  </si>
  <si>
    <t>P: GO:2000241: regulation of reproductive process</t>
  </si>
  <si>
    <t>P: GO:0051173: positive regulation of nitrogen compound metabolic process</t>
  </si>
  <si>
    <t>P: GO:0010604: positive regulation of macromolecule metabolic process</t>
  </si>
  <si>
    <t>P: GO:0010557: positive regulation of macromolecule biosynthetic process</t>
  </si>
  <si>
    <t>P: GO:0045935: positive regulation of nucleobase-containing compound metabolic process</t>
  </si>
  <si>
    <t>P: GO:0051254: positive regulation of RNA metabolic process</t>
  </si>
  <si>
    <t>P: GO:0045893: positive regulation of transcription, DNA-dependent</t>
  </si>
  <si>
    <t>P: GO:0010628: positive regulation of gene expression</t>
  </si>
  <si>
    <t>P: GO:0009965: leaf morphogenesis</t>
  </si>
  <si>
    <t>P: GO:0035670: plant-type ovary development</t>
  </si>
  <si>
    <t>P: GO:0048481: ovule development</t>
  </si>
  <si>
    <t>High Connectivity out</t>
  </si>
  <si>
    <t>Connectivity out</t>
  </si>
  <si>
    <t>Conserved: 14 terms P = 0.0000 (0/10000) Rand. median: 3</t>
  </si>
  <si>
    <t>Low Connectivity out</t>
  </si>
  <si>
    <t>Conserved: 7 terms P = 0.0000 (0/10000) Rand. median: 0</t>
  </si>
  <si>
    <t>Conserved: 11 terms P = 0.0008 (8/10000) Rand. median: 4</t>
  </si>
  <si>
    <t>EXAMPLE:</t>
  </si>
  <si>
    <t>Conserved: 6 terms P = 0.0440 (440/10000) Rand. median: 3</t>
  </si>
  <si>
    <t>Conserved: 9 terms P = 0.0005 (5/10000) Rand. median: 3</t>
  </si>
  <si>
    <t>Conserved: 5 terms P = 0.1219 (1219/10000) Rand. median: 3</t>
  </si>
  <si>
    <t>Conserved: 2 terms P = 0.3301 (3301/10000) Rand. median: 1</t>
  </si>
  <si>
    <t>Conserved: 4 terms P = 0.0217 (217/10000) Rand. median: 1</t>
  </si>
  <si>
    <t>Conserved: 2 terms P = 0.0789 (789/10000) Rand. median: 0</t>
  </si>
  <si>
    <t>583 common terms</t>
  </si>
  <si>
    <t>1 of 58</t>
  </si>
  <si>
    <t>Conserved: 1 terms P = 0.4427 (4427/10000) Rand. median: 0</t>
  </si>
  <si>
    <t>2 of 58</t>
  </si>
  <si>
    <t>P: GO:0009686: gibberellin biosynthetic process</t>
  </si>
  <si>
    <t>3 of 58</t>
  </si>
  <si>
    <t>P: GO:0016102: diterpenoid biosynthetic process</t>
  </si>
  <si>
    <t>4 of 58</t>
  </si>
  <si>
    <t>5 of 58</t>
  </si>
  <si>
    <t>Conserved: 5 terms P = 0.5828 (5828/10000) Rand. median: 5</t>
  </si>
  <si>
    <t>6 of 58</t>
  </si>
  <si>
    <t>7 of 58</t>
  </si>
  <si>
    <t>8 of 58</t>
  </si>
  <si>
    <t>9 of 58</t>
  </si>
  <si>
    <t>10 of 58</t>
  </si>
  <si>
    <t>11 of 58</t>
  </si>
  <si>
    <t>12 of 58</t>
  </si>
  <si>
    <t>Conserved: 12 terms P = 0.0022 (22/10000) Rand. median: 5</t>
  </si>
  <si>
    <t>Conserved: 1 terms P = 0.9971 (9971/10000) Rand. median: 5</t>
  </si>
  <si>
    <t>Conserved: 11 terms P = 0.0430 (430/10000) Rand. median: 6</t>
  </si>
  <si>
    <t>Conserved: 1 terms P = 0.9990 (9990/10000) Rand. median: 6</t>
  </si>
  <si>
    <t>Conserved: 2 terms P = 0.1529 (1529/10000) Rand. median: 1</t>
  </si>
  <si>
    <t>Conserved: 1 terms P = 0.4725 (4725/10000) Rand. median: 0</t>
  </si>
  <si>
    <t>P: GO:0051253: negative regulation of RNA metabolic process</t>
  </si>
  <si>
    <t>13 of 58</t>
  </si>
  <si>
    <t>14 of 58</t>
  </si>
  <si>
    <t>Conserved: 1 terms P = 0.0739 (739/10000) Rand. median: 0</t>
  </si>
  <si>
    <t>Conserved: 3 terms P = 0.1640 (1640/10000) Rand. median: 1</t>
  </si>
  <si>
    <t>Conserved: 3 terms P = 0.0354 (354/10000) Rand. median: 1</t>
  </si>
  <si>
    <t>Conserved: 2 terms P = 0.1904 (1904/10000) Rand. median: 1</t>
  </si>
  <si>
    <t>15 of 58</t>
  </si>
  <si>
    <t>16 of 58</t>
  </si>
  <si>
    <t>17 of 58</t>
  </si>
  <si>
    <t>18 of 58</t>
  </si>
  <si>
    <t>19 of 58</t>
  </si>
  <si>
    <t>20 of 58</t>
  </si>
  <si>
    <t>21 of 58</t>
  </si>
  <si>
    <t>22 of 58</t>
  </si>
  <si>
    <t>23 of 58</t>
  </si>
  <si>
    <t>24 of 58</t>
  </si>
  <si>
    <t>25 of 58</t>
  </si>
  <si>
    <t>Conserved: 25 terms P = 0.0000 (0/10000) Rand. median: 0</t>
  </si>
  <si>
    <t>Conserved: 6 terms P = 0.0035 (35/10000) Rand. median: 2</t>
  </si>
  <si>
    <t>Conserved: 3 terms P = 0.2370 (2370/10000) Rand. median: 2</t>
  </si>
  <si>
    <t>Conserved: 6 terms P = 0.0006 (6/10000) Rand. median: 1</t>
  </si>
  <si>
    <t>Conserved: 9 terms P = 0.5544 (5544/10000) Rand. median: 9</t>
  </si>
  <si>
    <t>Conserved: 11 terms P = 0.2881 (2881/10000) Rand. median: 9</t>
  </si>
  <si>
    <t>Conserved: 2 terms P = 0.0191 (191/10000) Rand. median: 0</t>
  </si>
  <si>
    <t>Conserved: 2 terms P = 0.5461 (5461/10000) Rand. median: 2</t>
  </si>
  <si>
    <t>Conserved: 2 terms P = 0.3504 (3504/10000) Rand. median: 1</t>
  </si>
  <si>
    <t>Conserved: 4 terms P = 0.0190 (190/10000) Rand. median: 1</t>
  </si>
  <si>
    <t>Conserved: 2 terms P = 0.1094 (1094/10000) Rand. median: 0</t>
  </si>
  <si>
    <t>Conserved: 7 terms P = 0.1936 (1936/10000) Rand. median: 5</t>
  </si>
  <si>
    <t>P: GO:0071370: cellular response to gibberellin stimulus</t>
  </si>
  <si>
    <t>P: GO:0009740: gibberellic acid mediated signaling pathway</t>
  </si>
  <si>
    <t>P: GO:0010476: gibberellin mediated signaling pathway</t>
  </si>
  <si>
    <t>Conserved: 6 terms P = 0.3520 (3520/10000) Rand. median: 5</t>
  </si>
  <si>
    <t>Conserved: 10 terms P = 0.3259 (3259/10000) Rand. median: 8</t>
  </si>
  <si>
    <t>Conserved: 14 terms P = 0.0327 (327/10000) Rand. median: 8</t>
  </si>
  <si>
    <t>Conserved: 1 terms P = 0.8980 (8980/10000) Rand. median: 2</t>
  </si>
  <si>
    <t>Conserved: 2 terms P = 0.6421 (6421/10000) Rand. median: 2</t>
  </si>
  <si>
    <t>Conserved: 2 terms P = 0.0516 (516/10000) Rand. median: 0</t>
  </si>
  <si>
    <t>Conserved: 2 terms P = 0.0504 (504/10000) Rand. median: 0</t>
  </si>
  <si>
    <t>Conserved: 1 terms P = 0.3326 (3326/10000) Rand. median: 0</t>
  </si>
  <si>
    <t>Conserved: 2 terms P = 0.1087 (1087/10000) Rand. median: 0</t>
  </si>
  <si>
    <t>P: GO:0006986: response to unfolded protein</t>
  </si>
  <si>
    <t>P: GO:0035967: cellular response to topologically incorrect protein</t>
  </si>
  <si>
    <t>P: GO:0034620: cellular response to unfolded protein</t>
  </si>
  <si>
    <t>P: GO:0030968: endoplasmic reticulum unfolded protein response</t>
  </si>
  <si>
    <t>P: GO:0035966: response to topologically incorrect protein</t>
  </si>
  <si>
    <t>P: GO:0006984: ER-nucleus signaling pathway</t>
  </si>
  <si>
    <t>Conserved: 24 terms P = 0.0000 (0/10000) Rand. median: 5</t>
  </si>
  <si>
    <t>Conserved: 5 terms P = 0.5328 (5328/10000) Rand. median: 5</t>
  </si>
  <si>
    <t>Conserved: 1 terms P = 0.9998 (9998/10000) Rand. median: 7</t>
  </si>
  <si>
    <t>Conserved: 22 terms P = 0.0000 (0/10000) Rand. median: 7</t>
  </si>
  <si>
    <t>Conserved: 6 terms P = 0.7936 (7936/10000) Rand. median: 7</t>
  </si>
  <si>
    <t>Conserved: 3 terms P = 0.0018 (18/10000) Rand. median: 0</t>
  </si>
  <si>
    <t>Conserved: 3 terms P = 0.2042 (2042/10000) Rand. median: 1</t>
  </si>
  <si>
    <t>Conserved: 2 terms P = 0.1134 (1134/10000) Rand. median: 0</t>
  </si>
  <si>
    <t>Conserved: 5 terms P = 0.5483 (5483/10000) Rand. median: 5</t>
  </si>
  <si>
    <t>P: GO:1901606: alpha-amino acid catabolic process</t>
  </si>
  <si>
    <t>Conserved: 11 terms P = 0.0054 (54/10000) Rand. median: 5</t>
  </si>
  <si>
    <t>Conserved: 4 terms P = 0.7334 (7334/10000) Rand. median: 5</t>
  </si>
  <si>
    <t>Conserved: 7 terms P = 0.0000 (0/10000) Rand. median: 1</t>
  </si>
  <si>
    <t>Conserved: 8 terms P = 0.6847 (6847/10000) Rand. median: 9</t>
  </si>
  <si>
    <t>Conserved: 6 terms P = 0.8958 (8958/10000) Rand. median: 9</t>
  </si>
  <si>
    <t>Conserved: 3 terms P = 0.3465 (3465/10000) Rand. median: 2</t>
  </si>
  <si>
    <t>Conserved: 1 terms P = 0.8932 (8932/10000) Rand. median: 2</t>
  </si>
  <si>
    <t>Conserved: 3 terms P = 0.0003 (3/10000) Rand. median: 0</t>
  </si>
  <si>
    <t>Conserved: 18 terms P = 0.0000 (0/10000) Rand. median: 4</t>
  </si>
  <si>
    <t>Conserved: 2 terms P = 0.9282 (9282/10000) Rand. median: 4</t>
  </si>
  <si>
    <t>Conserved: 1 terms P = 0.9996 (9996/10000) Rand. median: 7</t>
  </si>
  <si>
    <t>Conserved: 5 terms P = 0.8714 (8714/10000) Rand. median: 7</t>
  </si>
  <si>
    <t>Conserved: 5 terms P = 0.0001 (1/10000) Rand. median: 1</t>
  </si>
  <si>
    <t>Conserved: 2 terms P = 0.3458 (3458/10000) Rand. median: 1</t>
  </si>
  <si>
    <t>Conserved: 8 terms P = 0.0199 (199/10000) Rand. median: 3</t>
  </si>
  <si>
    <t>Conserved: 5 terms P = 0.3141 (3141/10000) Rand. median: 4</t>
  </si>
  <si>
    <t>Conserved: 4 terms P = 0.5181 (5181/10000) Rand. median: 4</t>
  </si>
  <si>
    <t>Conserved: 2 terms P = 0.9028 (9028/10000) Rand. median: 4</t>
  </si>
  <si>
    <t>P: GO:0048440: carpel development</t>
  </si>
  <si>
    <t>Conserved: 18 terms P = 0.0000 (0/10000) Rand. median: 0</t>
  </si>
  <si>
    <t>Conserved: 6 terms P = 0.0317 (317/10000) Rand. median: 2</t>
  </si>
  <si>
    <t>Conserved: 2 terms P = 0.7339 (7339/10000) Rand. median: 2</t>
  </si>
  <si>
    <t>Conserved: 5 terms P = 0.0903 (903/10000) Rand. median: 2</t>
  </si>
  <si>
    <t>Conserved: 1 terms P = 0.0770 (770/10000) Rand. median: 0</t>
  </si>
  <si>
    <t>Conserved: 3 terms P = 0.7381 (7381/10000) Rand. median: 4</t>
  </si>
  <si>
    <t>Conserved: 9 terms P = 0.0135 (135/10000) Rand. median: 4</t>
  </si>
  <si>
    <t>In the example below, we list Gene Ontology subnetworks ("Biological process") that have the top 10% highest density ("High Density") in the gene-gene network ("Genes") in all three species ("Subset at os pt"). At the end, we show the number of the top 10% subnetworks that have conserved high density (e.g. "55"). A P-value for the number of conserved subnetworks(10 000 randomization, "P= 0.0000") is given together with the median number of conserved subnetworks in randomized data ("Rand. median: 1")</t>
  </si>
  <si>
    <t xml:space="preserve">Additional file 3. Conserved network statistics in Gene Ontology subnetworks.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</si>
</sst>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workbookViewId="0">
      <selection activeCell="A2" sqref="A2:F2"/>
    </sheetView>
  </sheetViews>
  <sheetFormatPr defaultRowHeight="15" x14ac:dyDescent="0.25"/>
  <cols>
    <col min="1" max="1" width="6.7109375" bestFit="1" customWidth="1"/>
    <col min="2" max="2" width="16.85546875" bestFit="1" customWidth="1"/>
    <col min="3" max="3" width="13.85546875" bestFit="1" customWidth="1"/>
    <col min="4" max="4" width="61.140625" bestFit="1" customWidth="1"/>
    <col min="5" max="11" width="11" customWidth="1"/>
  </cols>
  <sheetData>
    <row r="2" spans="1:11" x14ac:dyDescent="0.25">
      <c r="A2" s="4" t="s">
        <v>794</v>
      </c>
      <c r="B2" s="4"/>
      <c r="C2" s="4"/>
      <c r="D2" s="4"/>
      <c r="E2" s="4"/>
      <c r="F2" s="4"/>
    </row>
    <row r="3" spans="1:11" x14ac:dyDescent="0.25">
      <c r="A3" s="3" t="s">
        <v>793</v>
      </c>
      <c r="B3" s="3"/>
      <c r="C3" s="3"/>
      <c r="D3" s="3"/>
      <c r="E3" s="3"/>
      <c r="F3" s="3"/>
    </row>
    <row r="4" spans="1:11" x14ac:dyDescent="0.25">
      <c r="A4" s="3"/>
      <c r="B4" s="3"/>
      <c r="C4" s="3"/>
      <c r="D4" s="3"/>
      <c r="E4" s="3"/>
      <c r="F4" s="3"/>
    </row>
    <row r="5" spans="1:11" x14ac:dyDescent="0.25">
      <c r="A5" s="3"/>
      <c r="B5" s="3"/>
      <c r="C5" s="3"/>
      <c r="D5" s="3"/>
      <c r="E5" s="3"/>
      <c r="F5" s="3"/>
    </row>
    <row r="6" spans="1:11" ht="34.5" customHeight="1" x14ac:dyDescent="0.25">
      <c r="A6" s="3"/>
      <c r="B6" s="3"/>
      <c r="C6" s="3"/>
      <c r="D6" s="3"/>
      <c r="E6" s="3"/>
      <c r="F6" s="3"/>
    </row>
    <row r="7" spans="1:11" ht="18" customHeight="1" x14ac:dyDescent="0.25">
      <c r="A7" s="2"/>
      <c r="B7" s="2"/>
      <c r="C7" s="2"/>
      <c r="D7" s="2"/>
      <c r="E7" s="2"/>
      <c r="F7" s="2"/>
    </row>
    <row r="9" spans="1:11" x14ac:dyDescent="0.25">
      <c r="A9" s="1" t="s">
        <v>679</v>
      </c>
      <c r="B9" s="1"/>
    </row>
    <row r="11" spans="1:11" x14ac:dyDescent="0.25">
      <c r="A11" s="1" t="s">
        <v>0</v>
      </c>
      <c r="B11" s="1" t="s">
        <v>9</v>
      </c>
    </row>
    <row r="13" spans="1:11" x14ac:dyDescent="0.25">
      <c r="B13" s="1" t="s">
        <v>10</v>
      </c>
      <c r="C13" t="s">
        <v>177</v>
      </c>
    </row>
    <row r="15" spans="1:11" x14ac:dyDescent="0.25">
      <c r="C15" s="1" t="s">
        <v>11</v>
      </c>
      <c r="F15" t="s">
        <v>12</v>
      </c>
      <c r="J15" t="s">
        <v>13</v>
      </c>
    </row>
    <row r="16" spans="1:11" x14ac:dyDescent="0.25">
      <c r="D16" t="s">
        <v>14</v>
      </c>
      <c r="E16" t="s">
        <v>1</v>
      </c>
      <c r="F16" t="s">
        <v>3</v>
      </c>
      <c r="G16" t="s">
        <v>2</v>
      </c>
      <c r="I16" t="s">
        <v>1</v>
      </c>
      <c r="J16" t="s">
        <v>3</v>
      </c>
      <c r="K16" t="s">
        <v>2</v>
      </c>
    </row>
    <row r="17" spans="3:11" x14ac:dyDescent="0.25">
      <c r="C17" t="s">
        <v>178</v>
      </c>
      <c r="D17" t="s">
        <v>16</v>
      </c>
      <c r="E17">
        <v>0.96</v>
      </c>
      <c r="F17">
        <v>0.95</v>
      </c>
      <c r="G17">
        <v>0.87</v>
      </c>
      <c r="I17" t="str">
        <f>"51/1221"</f>
        <v>51/1221</v>
      </c>
      <c r="J17" t="str">
        <f>"35/567"</f>
        <v>35/567</v>
      </c>
      <c r="K17" t="str">
        <f>"59/1491"</f>
        <v>59/1491</v>
      </c>
    </row>
    <row r="18" spans="3:11" x14ac:dyDescent="0.25">
      <c r="C18" t="s">
        <v>179</v>
      </c>
      <c r="D18" t="s">
        <v>15</v>
      </c>
      <c r="E18">
        <v>0.84</v>
      </c>
      <c r="F18">
        <v>0.96</v>
      </c>
      <c r="G18">
        <v>0.78</v>
      </c>
      <c r="I18" t="str">
        <f>"70/2032"</f>
        <v>70/2032</v>
      </c>
      <c r="J18" t="str">
        <f>"41/785"</f>
        <v>41/785</v>
      </c>
      <c r="K18" t="str">
        <f>"69/1827"</f>
        <v>69/1827</v>
      </c>
    </row>
    <row r="19" spans="3:11" x14ac:dyDescent="0.25">
      <c r="C19" t="s">
        <v>180</v>
      </c>
      <c r="D19" t="s">
        <v>20</v>
      </c>
      <c r="E19">
        <v>0.81</v>
      </c>
      <c r="F19">
        <v>0.92</v>
      </c>
      <c r="G19">
        <v>0.66</v>
      </c>
      <c r="I19" t="str">
        <f>"35/483"</f>
        <v>35/483</v>
      </c>
      <c r="J19" t="str">
        <f>"25/277"</f>
        <v>25/277</v>
      </c>
      <c r="K19" t="str">
        <f>"39/486"</f>
        <v>39/486</v>
      </c>
    </row>
    <row r="20" spans="3:11" x14ac:dyDescent="0.25">
      <c r="C20" t="s">
        <v>181</v>
      </c>
      <c r="D20" t="s">
        <v>26</v>
      </c>
      <c r="E20">
        <v>0.83</v>
      </c>
      <c r="F20">
        <v>0.78</v>
      </c>
      <c r="G20">
        <v>0.54</v>
      </c>
      <c r="I20" t="str">
        <f>"13/65"</f>
        <v>13/65</v>
      </c>
      <c r="J20" t="str">
        <f>"10/35"</f>
        <v>10/35</v>
      </c>
      <c r="K20" t="str">
        <f>"16/65"</f>
        <v>16/65</v>
      </c>
    </row>
    <row r="21" spans="3:11" x14ac:dyDescent="0.25">
      <c r="C21" t="s">
        <v>5</v>
      </c>
    </row>
    <row r="22" spans="3:11" x14ac:dyDescent="0.25">
      <c r="C22" t="s">
        <v>265</v>
      </c>
      <c r="D22" t="s">
        <v>266</v>
      </c>
      <c r="E22">
        <v>0.47</v>
      </c>
      <c r="F22">
        <v>0.36</v>
      </c>
      <c r="G22">
        <v>0.24</v>
      </c>
      <c r="I22" t="str">
        <f>"12/31"</f>
        <v>12/31</v>
      </c>
      <c r="J22" t="str">
        <f>"11/20"</f>
        <v>11/20</v>
      </c>
      <c r="K22" t="str">
        <f>"10/11"</f>
        <v>10/11</v>
      </c>
    </row>
    <row r="23" spans="3:11" x14ac:dyDescent="0.25">
      <c r="C23" t="s">
        <v>267</v>
      </c>
    </row>
    <row r="29" spans="3:11" x14ac:dyDescent="0.25">
      <c r="C29" s="1"/>
      <c r="D29" s="1"/>
      <c r="E29" s="1"/>
    </row>
    <row r="30" spans="3:11" x14ac:dyDescent="0.25">
      <c r="C30" s="1"/>
      <c r="D30" s="1"/>
      <c r="E30" s="1"/>
    </row>
    <row r="31" spans="3:11" x14ac:dyDescent="0.25">
      <c r="C31" s="1"/>
      <c r="D31" s="1"/>
      <c r="E31" s="1"/>
    </row>
    <row r="32" spans="3:11" x14ac:dyDescent="0.25">
      <c r="C32" s="1"/>
      <c r="D32" s="1"/>
      <c r="E32" s="1"/>
    </row>
    <row r="34" spans="3:4" x14ac:dyDescent="0.25">
      <c r="C34" s="1"/>
      <c r="D34" s="1"/>
    </row>
  </sheetData>
  <mergeCells count="2">
    <mergeCell ref="A3:F6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1"/>
  <sheetViews>
    <sheetView workbookViewId="0">
      <selection activeCell="D375" sqref="D375"/>
    </sheetView>
  </sheetViews>
  <sheetFormatPr defaultRowHeight="15" x14ac:dyDescent="0.25"/>
  <cols>
    <col min="1" max="1" width="6.5703125" bestFit="1" customWidth="1"/>
    <col min="2" max="2" width="20.5703125" bestFit="1" customWidth="1"/>
    <col min="3" max="3" width="20" customWidth="1"/>
    <col min="4" max="4" width="90.42578125" bestFit="1" customWidth="1"/>
    <col min="5" max="5" width="5" bestFit="1" customWidth="1"/>
    <col min="6" max="6" width="7.7109375" bestFit="1" customWidth="1"/>
    <col min="7" max="7" width="5" bestFit="1" customWidth="1"/>
    <col min="9" max="9" width="9.85546875" bestFit="1" customWidth="1"/>
    <col min="10" max="10" width="14.7109375" bestFit="1" customWidth="1"/>
    <col min="11" max="11" width="9.85546875" bestFit="1" customWidth="1"/>
  </cols>
  <sheetData>
    <row r="1" spans="1:11" x14ac:dyDescent="0.25">
      <c r="A1" t="s">
        <v>0</v>
      </c>
      <c r="B1" t="s">
        <v>9</v>
      </c>
    </row>
    <row r="3" spans="1:11" x14ac:dyDescent="0.25">
      <c r="B3" t="s">
        <v>10</v>
      </c>
      <c r="C3" t="s">
        <v>177</v>
      </c>
    </row>
    <row r="5" spans="1:11" x14ac:dyDescent="0.25">
      <c r="C5" t="s">
        <v>11</v>
      </c>
      <c r="F5" t="s">
        <v>12</v>
      </c>
      <c r="J5" t="s">
        <v>13</v>
      </c>
    </row>
    <row r="6" spans="1:11" x14ac:dyDescent="0.25">
      <c r="D6" t="s">
        <v>14</v>
      </c>
      <c r="E6" t="s">
        <v>1</v>
      </c>
      <c r="F6" t="s">
        <v>3</v>
      </c>
      <c r="G6" t="s">
        <v>2</v>
      </c>
      <c r="I6" t="s">
        <v>1</v>
      </c>
      <c r="J6" t="s">
        <v>3</v>
      </c>
      <c r="K6" t="s">
        <v>2</v>
      </c>
    </row>
    <row r="7" spans="1:11" x14ac:dyDescent="0.25">
      <c r="C7" t="s">
        <v>178</v>
      </c>
      <c r="D7" t="s">
        <v>16</v>
      </c>
      <c r="E7">
        <v>0.96</v>
      </c>
      <c r="F7">
        <v>0.95</v>
      </c>
      <c r="G7">
        <v>0.87</v>
      </c>
      <c r="I7" t="str">
        <f>"51/1221"</f>
        <v>51/1221</v>
      </c>
      <c r="J7" t="str">
        <f>"35/567"</f>
        <v>35/567</v>
      </c>
      <c r="K7" t="str">
        <f>"59/1491"</f>
        <v>59/1491</v>
      </c>
    </row>
    <row r="8" spans="1:11" x14ac:dyDescent="0.25">
      <c r="C8" t="s">
        <v>179</v>
      </c>
      <c r="D8" t="s">
        <v>15</v>
      </c>
      <c r="E8">
        <v>0.84</v>
      </c>
      <c r="F8">
        <v>0.96</v>
      </c>
      <c r="G8">
        <v>0.78</v>
      </c>
      <c r="I8" t="str">
        <f>"70/2032"</f>
        <v>70/2032</v>
      </c>
      <c r="J8" t="str">
        <f>"41/785"</f>
        <v>41/785</v>
      </c>
      <c r="K8" t="str">
        <f>"69/1827"</f>
        <v>69/1827</v>
      </c>
    </row>
    <row r="9" spans="1:11" x14ac:dyDescent="0.25">
      <c r="C9" t="s">
        <v>180</v>
      </c>
      <c r="D9" t="s">
        <v>20</v>
      </c>
      <c r="E9">
        <v>0.81</v>
      </c>
      <c r="F9">
        <v>0.92</v>
      </c>
      <c r="G9">
        <v>0.66</v>
      </c>
      <c r="I9" t="str">
        <f>"35/483"</f>
        <v>35/483</v>
      </c>
      <c r="J9" t="str">
        <f>"25/277"</f>
        <v>25/277</v>
      </c>
      <c r="K9" t="str">
        <f>"39/486"</f>
        <v>39/486</v>
      </c>
    </row>
    <row r="10" spans="1:11" x14ac:dyDescent="0.25">
      <c r="C10" t="s">
        <v>181</v>
      </c>
      <c r="D10" t="s">
        <v>26</v>
      </c>
      <c r="E10">
        <v>0.83</v>
      </c>
      <c r="F10">
        <v>0.78</v>
      </c>
      <c r="G10">
        <v>0.54</v>
      </c>
      <c r="I10" t="str">
        <f>"13/65"</f>
        <v>13/65</v>
      </c>
      <c r="J10" t="str">
        <f>"10/35"</f>
        <v>10/35</v>
      </c>
      <c r="K10" t="str">
        <f>"16/65"</f>
        <v>16/65</v>
      </c>
    </row>
    <row r="11" spans="1:11" x14ac:dyDescent="0.25">
      <c r="C11" t="s">
        <v>182</v>
      </c>
      <c r="D11" t="s">
        <v>28</v>
      </c>
      <c r="E11">
        <v>0.83</v>
      </c>
      <c r="F11">
        <v>0.78</v>
      </c>
      <c r="G11">
        <v>0.54</v>
      </c>
      <c r="I11" t="str">
        <f>"13/65"</f>
        <v>13/65</v>
      </c>
      <c r="J11" t="str">
        <f>"10/35"</f>
        <v>10/35</v>
      </c>
      <c r="K11" t="str">
        <f>"16/65"</f>
        <v>16/65</v>
      </c>
    </row>
    <row r="12" spans="1:11" x14ac:dyDescent="0.25">
      <c r="C12" t="s">
        <v>183</v>
      </c>
      <c r="D12" t="s">
        <v>24</v>
      </c>
      <c r="E12">
        <v>0.78</v>
      </c>
      <c r="F12">
        <v>0.88</v>
      </c>
      <c r="G12">
        <v>0.43</v>
      </c>
      <c r="I12" t="str">
        <f>"58/1284"</f>
        <v>58/1284</v>
      </c>
      <c r="J12" t="str">
        <f>"38/618"</f>
        <v>38/618</v>
      </c>
      <c r="K12" t="str">
        <f>"71/1074"</f>
        <v>71/1074</v>
      </c>
    </row>
    <row r="13" spans="1:11" x14ac:dyDescent="0.25">
      <c r="C13" t="s">
        <v>184</v>
      </c>
      <c r="D13" t="s">
        <v>35</v>
      </c>
      <c r="E13">
        <v>0.76</v>
      </c>
      <c r="F13">
        <v>0.79</v>
      </c>
      <c r="G13">
        <v>0.43</v>
      </c>
      <c r="I13" t="str">
        <f>"59/1298"</f>
        <v>59/1298</v>
      </c>
      <c r="J13" t="str">
        <f>"40/620"</f>
        <v>40/620</v>
      </c>
      <c r="K13" t="str">
        <f>"73/1129"</f>
        <v>73/1129</v>
      </c>
    </row>
    <row r="14" spans="1:11" x14ac:dyDescent="0.25">
      <c r="C14" t="s">
        <v>185</v>
      </c>
      <c r="D14" t="s">
        <v>25</v>
      </c>
      <c r="E14">
        <v>0.92</v>
      </c>
      <c r="F14">
        <v>0.59</v>
      </c>
      <c r="G14">
        <v>0.46</v>
      </c>
      <c r="I14" t="str">
        <f>"13/72"</f>
        <v>13/72</v>
      </c>
      <c r="J14" t="str">
        <f>"12/39"</f>
        <v>12/39</v>
      </c>
      <c r="K14" t="str">
        <f>"17/63"</f>
        <v>17/63</v>
      </c>
    </row>
    <row r="15" spans="1:11" x14ac:dyDescent="0.25">
      <c r="C15" t="s">
        <v>186</v>
      </c>
      <c r="D15" t="s">
        <v>22</v>
      </c>
      <c r="E15">
        <v>0.77</v>
      </c>
      <c r="F15">
        <v>0.72</v>
      </c>
      <c r="G15">
        <v>0.41</v>
      </c>
      <c r="I15" t="str">
        <f>"20/146"</f>
        <v>20/146</v>
      </c>
      <c r="J15" t="str">
        <f>"15/76"</f>
        <v>15/76</v>
      </c>
      <c r="K15" t="str">
        <f>"26/134"</f>
        <v>26/134</v>
      </c>
    </row>
    <row r="16" spans="1:11" x14ac:dyDescent="0.25">
      <c r="C16" t="s">
        <v>187</v>
      </c>
      <c r="D16" t="s">
        <v>19</v>
      </c>
      <c r="E16">
        <v>0.7</v>
      </c>
      <c r="F16">
        <v>0.71</v>
      </c>
      <c r="G16">
        <v>0.46</v>
      </c>
      <c r="I16" t="str">
        <f>"60/1234"</f>
        <v>60/1234</v>
      </c>
      <c r="J16" t="str">
        <f>"43/639"</f>
        <v>43/639</v>
      </c>
      <c r="K16" t="str">
        <f>"65/948"</f>
        <v>65/948</v>
      </c>
    </row>
    <row r="17" spans="3:11" x14ac:dyDescent="0.25">
      <c r="C17" t="s">
        <v>188</v>
      </c>
      <c r="D17" t="s">
        <v>23</v>
      </c>
      <c r="E17">
        <v>0.72</v>
      </c>
      <c r="F17">
        <v>0.57999999999999996</v>
      </c>
      <c r="G17">
        <v>0.53</v>
      </c>
      <c r="I17" t="str">
        <f>"165/9732"</f>
        <v>165/9732</v>
      </c>
      <c r="J17" t="str">
        <f>"107/3292"</f>
        <v>107/3292</v>
      </c>
      <c r="K17" t="str">
        <f>"175/8132"</f>
        <v>175/8132</v>
      </c>
    </row>
    <row r="18" spans="3:11" x14ac:dyDescent="0.25">
      <c r="C18" t="s">
        <v>189</v>
      </c>
      <c r="D18" t="s">
        <v>32</v>
      </c>
      <c r="E18">
        <v>0.77</v>
      </c>
      <c r="F18">
        <v>0.55000000000000004</v>
      </c>
      <c r="G18">
        <v>0.43</v>
      </c>
      <c r="I18" t="str">
        <f>"100/3813"</f>
        <v>100/3813</v>
      </c>
      <c r="J18" t="str">
        <f>"77/1611"</f>
        <v>77/1611</v>
      </c>
      <c r="K18" t="str">
        <f>"123/3239"</f>
        <v>123/3239</v>
      </c>
    </row>
    <row r="19" spans="3:11" x14ac:dyDescent="0.25">
      <c r="C19" t="s">
        <v>190</v>
      </c>
      <c r="D19" t="s">
        <v>21</v>
      </c>
      <c r="E19">
        <v>0.77</v>
      </c>
      <c r="F19">
        <v>0.55000000000000004</v>
      </c>
      <c r="G19">
        <v>0.43</v>
      </c>
      <c r="I19" t="str">
        <f>"100/3813"</f>
        <v>100/3813</v>
      </c>
      <c r="J19" t="str">
        <f>"77/1611"</f>
        <v>77/1611</v>
      </c>
      <c r="K19" t="str">
        <f>"123/3239"</f>
        <v>123/3239</v>
      </c>
    </row>
    <row r="20" spans="3:11" x14ac:dyDescent="0.25">
      <c r="C20" t="s">
        <v>191</v>
      </c>
      <c r="D20" t="s">
        <v>31</v>
      </c>
      <c r="E20">
        <v>0.77</v>
      </c>
      <c r="F20">
        <v>0.55000000000000004</v>
      </c>
      <c r="G20">
        <v>0.41</v>
      </c>
      <c r="I20" t="str">
        <f>"100/3813"</f>
        <v>100/3813</v>
      </c>
      <c r="J20" t="str">
        <f>"77/1611"</f>
        <v>77/1611</v>
      </c>
      <c r="K20" t="str">
        <f>"127/3241"</f>
        <v>127/3241</v>
      </c>
    </row>
    <row r="21" spans="3:11" x14ac:dyDescent="0.25">
      <c r="C21" t="s">
        <v>192</v>
      </c>
      <c r="D21" t="s">
        <v>30</v>
      </c>
      <c r="E21">
        <v>0.77</v>
      </c>
      <c r="F21">
        <v>0.52</v>
      </c>
      <c r="G21">
        <v>0.43</v>
      </c>
      <c r="I21" t="str">
        <f>"100/3813"</f>
        <v>100/3813</v>
      </c>
      <c r="J21" t="str">
        <f>"79/1612"</f>
        <v>79/1612</v>
      </c>
      <c r="K21" t="str">
        <f>"123/3239"</f>
        <v>123/3239</v>
      </c>
    </row>
    <row r="22" spans="3:11" x14ac:dyDescent="0.25">
      <c r="C22" t="s">
        <v>193</v>
      </c>
      <c r="D22" t="s">
        <v>148</v>
      </c>
      <c r="E22">
        <v>0.66</v>
      </c>
      <c r="F22">
        <v>0.54</v>
      </c>
      <c r="G22">
        <v>0.48</v>
      </c>
      <c r="I22" t="str">
        <f>"303/30166"</f>
        <v>303/30166</v>
      </c>
      <c r="J22" t="str">
        <f>"204/11162"</f>
        <v>204/11162</v>
      </c>
      <c r="K22" t="str">
        <f>"313/23389"</f>
        <v>313/23389</v>
      </c>
    </row>
    <row r="23" spans="3:11" x14ac:dyDescent="0.25">
      <c r="C23" t="s">
        <v>194</v>
      </c>
      <c r="D23" t="s">
        <v>27</v>
      </c>
      <c r="E23">
        <v>0.77</v>
      </c>
      <c r="F23">
        <v>0.52</v>
      </c>
      <c r="G23">
        <v>0.36</v>
      </c>
      <c r="I23" t="str">
        <f>"71/1905"</f>
        <v>71/1905</v>
      </c>
      <c r="J23" t="str">
        <f>"60/929"</f>
        <v>60/929</v>
      </c>
      <c r="K23" t="str">
        <f>"87/1331"</f>
        <v>87/1331</v>
      </c>
    </row>
    <row r="24" spans="3:11" x14ac:dyDescent="0.25">
      <c r="C24" t="s">
        <v>195</v>
      </c>
      <c r="D24" t="s">
        <v>196</v>
      </c>
      <c r="E24">
        <v>0.51</v>
      </c>
      <c r="F24">
        <v>0.53</v>
      </c>
      <c r="G24">
        <v>0.48</v>
      </c>
      <c r="I24" t="str">
        <f>"98/2417"</f>
        <v>98/2417</v>
      </c>
      <c r="J24" t="str">
        <f>"61/971"</f>
        <v>61/971</v>
      </c>
      <c r="K24" t="str">
        <f>"95/2126"</f>
        <v>95/2126</v>
      </c>
    </row>
    <row r="25" spans="3:11" x14ac:dyDescent="0.25">
      <c r="C25" t="s">
        <v>197</v>
      </c>
      <c r="D25" t="s">
        <v>198</v>
      </c>
      <c r="E25">
        <v>0.75</v>
      </c>
      <c r="F25">
        <v>0.39</v>
      </c>
      <c r="G25">
        <v>0.37</v>
      </c>
      <c r="I25" t="str">
        <f>"101/3773"</f>
        <v>101/3773</v>
      </c>
      <c r="J25" t="str">
        <f>"96/1771"</f>
        <v>96/1771</v>
      </c>
      <c r="K25" t="str">
        <f>"131/3147"</f>
        <v>131/3147</v>
      </c>
    </row>
    <row r="26" spans="3:11" x14ac:dyDescent="0.25">
      <c r="C26" t="s">
        <v>199</v>
      </c>
      <c r="D26" t="s">
        <v>147</v>
      </c>
      <c r="E26">
        <v>0.56999999999999995</v>
      </c>
      <c r="F26">
        <v>0.47</v>
      </c>
      <c r="G26">
        <v>0.43</v>
      </c>
      <c r="I26" t="str">
        <f>"385/42304"</f>
        <v>385/42304</v>
      </c>
      <c r="J26" t="str">
        <f>"253/14929"</f>
        <v>253/14929</v>
      </c>
      <c r="K26" t="str">
        <f>"382/31608"</f>
        <v>382/31608</v>
      </c>
    </row>
    <row r="27" spans="3:11" x14ac:dyDescent="0.25">
      <c r="C27" t="s">
        <v>200</v>
      </c>
      <c r="D27" t="s">
        <v>201</v>
      </c>
      <c r="E27">
        <v>0.77</v>
      </c>
      <c r="F27">
        <v>0.38</v>
      </c>
      <c r="G27">
        <v>0.33</v>
      </c>
      <c r="I27" t="str">
        <f>"192/14046"</f>
        <v>192/14046</v>
      </c>
      <c r="J27" t="str">
        <f>"173/5581"</f>
        <v>173/5581</v>
      </c>
      <c r="K27" t="str">
        <f>"254/10617"</f>
        <v>254/10617</v>
      </c>
    </row>
    <row r="28" spans="3:11" x14ac:dyDescent="0.25">
      <c r="C28" t="s">
        <v>202</v>
      </c>
      <c r="D28" t="s">
        <v>203</v>
      </c>
      <c r="E28">
        <v>0.77</v>
      </c>
      <c r="F28">
        <v>0.38</v>
      </c>
      <c r="G28">
        <v>0.33</v>
      </c>
      <c r="I28" t="str">
        <f>"192/14046"</f>
        <v>192/14046</v>
      </c>
      <c r="J28" t="str">
        <f>"173/5581"</f>
        <v>173/5581</v>
      </c>
      <c r="K28" t="str">
        <f>"254/10617"</f>
        <v>254/10617</v>
      </c>
    </row>
    <row r="29" spans="3:11" x14ac:dyDescent="0.25">
      <c r="C29" t="s">
        <v>204</v>
      </c>
      <c r="D29" t="s">
        <v>33</v>
      </c>
      <c r="E29">
        <v>0.74</v>
      </c>
      <c r="F29">
        <v>0.42</v>
      </c>
      <c r="G29">
        <v>0.26</v>
      </c>
      <c r="I29" t="str">
        <f>"51/944"</f>
        <v>51/944</v>
      </c>
      <c r="J29" t="str">
        <f>"40/330"</f>
        <v>40/330</v>
      </c>
      <c r="K29" t="str">
        <f>"73/694"</f>
        <v>73/694</v>
      </c>
    </row>
    <row r="30" spans="3:11" x14ac:dyDescent="0.25">
      <c r="C30" t="s">
        <v>205</v>
      </c>
      <c r="D30" t="s">
        <v>29</v>
      </c>
      <c r="E30">
        <v>0.74</v>
      </c>
      <c r="F30">
        <v>0.42</v>
      </c>
      <c r="G30">
        <v>0.26</v>
      </c>
      <c r="I30" t="str">
        <f>"51/944"</f>
        <v>51/944</v>
      </c>
      <c r="J30" t="str">
        <f>"40/330"</f>
        <v>40/330</v>
      </c>
      <c r="K30" t="str">
        <f>"73/694"</f>
        <v>73/694</v>
      </c>
    </row>
    <row r="31" spans="3:11" x14ac:dyDescent="0.25">
      <c r="C31" t="s">
        <v>206</v>
      </c>
      <c r="D31" t="s">
        <v>34</v>
      </c>
      <c r="E31">
        <v>0.74</v>
      </c>
      <c r="F31">
        <v>0.42</v>
      </c>
      <c r="G31">
        <v>0.26</v>
      </c>
      <c r="I31" t="str">
        <f>"51/944"</f>
        <v>51/944</v>
      </c>
      <c r="J31" t="str">
        <f>"40/330"</f>
        <v>40/330</v>
      </c>
      <c r="K31" t="str">
        <f>"73/694"</f>
        <v>73/694</v>
      </c>
    </row>
    <row r="32" spans="3:11" x14ac:dyDescent="0.25">
      <c r="C32" t="s">
        <v>207</v>
      </c>
      <c r="D32" t="s">
        <v>208</v>
      </c>
      <c r="E32">
        <v>0.59</v>
      </c>
      <c r="F32">
        <v>0.51</v>
      </c>
      <c r="G32">
        <v>0.28000000000000003</v>
      </c>
      <c r="I32" t="str">
        <f>"16/71"</f>
        <v>16/71</v>
      </c>
      <c r="J32" t="str">
        <f>"11/28"</f>
        <v>11/28</v>
      </c>
      <c r="K32" t="str">
        <f>"16/33"</f>
        <v>16/33</v>
      </c>
    </row>
    <row r="33" spans="3:11" x14ac:dyDescent="0.25">
      <c r="C33" t="s">
        <v>209</v>
      </c>
      <c r="D33" t="s">
        <v>210</v>
      </c>
      <c r="E33">
        <v>0.59</v>
      </c>
      <c r="F33">
        <v>0.51</v>
      </c>
      <c r="G33">
        <v>0.28000000000000003</v>
      </c>
      <c r="I33" t="str">
        <f>"16/71"</f>
        <v>16/71</v>
      </c>
      <c r="J33" t="str">
        <f>"11/28"</f>
        <v>11/28</v>
      </c>
      <c r="K33" t="str">
        <f>"16/33"</f>
        <v>16/33</v>
      </c>
    </row>
    <row r="34" spans="3:11" x14ac:dyDescent="0.25">
      <c r="C34" t="s">
        <v>211</v>
      </c>
      <c r="D34" t="s">
        <v>212</v>
      </c>
      <c r="E34">
        <v>0.59</v>
      </c>
      <c r="F34">
        <v>0.51</v>
      </c>
      <c r="G34">
        <v>0.28000000000000003</v>
      </c>
      <c r="I34" t="str">
        <f>"16/71"</f>
        <v>16/71</v>
      </c>
      <c r="J34" t="str">
        <f>"11/28"</f>
        <v>11/28</v>
      </c>
      <c r="K34" t="str">
        <f>"16/33"</f>
        <v>16/33</v>
      </c>
    </row>
    <row r="35" spans="3:11" x14ac:dyDescent="0.25">
      <c r="C35" t="s">
        <v>213</v>
      </c>
      <c r="D35" t="s">
        <v>214</v>
      </c>
      <c r="E35">
        <v>0.59</v>
      </c>
      <c r="F35">
        <v>0.51</v>
      </c>
      <c r="G35">
        <v>0.28000000000000003</v>
      </c>
      <c r="I35" t="str">
        <f>"16/71"</f>
        <v>16/71</v>
      </c>
      <c r="J35" t="str">
        <f>"11/28"</f>
        <v>11/28</v>
      </c>
      <c r="K35" t="str">
        <f>"16/33"</f>
        <v>16/33</v>
      </c>
    </row>
    <row r="36" spans="3:11" x14ac:dyDescent="0.25">
      <c r="C36" t="s">
        <v>215</v>
      </c>
      <c r="D36" t="s">
        <v>216</v>
      </c>
      <c r="E36">
        <v>0.68</v>
      </c>
      <c r="F36">
        <v>0.36</v>
      </c>
      <c r="G36">
        <v>0.33</v>
      </c>
      <c r="I36" t="str">
        <f>"220/16434"</f>
        <v>220/16434</v>
      </c>
      <c r="J36" t="str">
        <f>"207/7632"</f>
        <v>207/7632</v>
      </c>
      <c r="K36" t="str">
        <f>"272/12102"</f>
        <v>272/12102</v>
      </c>
    </row>
    <row r="37" spans="3:11" x14ac:dyDescent="0.25">
      <c r="C37" t="s">
        <v>217</v>
      </c>
      <c r="D37" t="s">
        <v>218</v>
      </c>
      <c r="E37">
        <v>0.68</v>
      </c>
      <c r="F37">
        <v>0.36</v>
      </c>
      <c r="G37">
        <v>0.33</v>
      </c>
      <c r="I37" t="str">
        <f>"220/16434"</f>
        <v>220/16434</v>
      </c>
      <c r="J37" t="str">
        <f>"207/7632"</f>
        <v>207/7632</v>
      </c>
      <c r="K37" t="str">
        <f>"272/12102"</f>
        <v>272/12102</v>
      </c>
    </row>
    <row r="38" spans="3:11" x14ac:dyDescent="0.25">
      <c r="C38" t="s">
        <v>219</v>
      </c>
      <c r="D38" t="s">
        <v>220</v>
      </c>
      <c r="E38">
        <v>0.62</v>
      </c>
      <c r="F38">
        <v>0.35</v>
      </c>
      <c r="G38">
        <v>0.34</v>
      </c>
      <c r="I38" t="str">
        <f>"185/10578"</f>
        <v>185/10578</v>
      </c>
      <c r="J38" t="str">
        <f>"172/5170"</f>
        <v>172/5170</v>
      </c>
      <c r="K38" t="str">
        <f>"235/9436"</f>
        <v>235/9436</v>
      </c>
    </row>
    <row r="39" spans="3:11" x14ac:dyDescent="0.25">
      <c r="C39" t="s">
        <v>221</v>
      </c>
      <c r="D39" t="s">
        <v>222</v>
      </c>
      <c r="E39">
        <v>0.65</v>
      </c>
      <c r="F39">
        <v>0.35</v>
      </c>
      <c r="G39">
        <v>0.31</v>
      </c>
      <c r="I39" t="str">
        <f>"225/16438"</f>
        <v>225/16438</v>
      </c>
      <c r="J39" t="str">
        <f>"210/7638"</f>
        <v>210/7638</v>
      </c>
      <c r="K39" t="str">
        <f>"278/12112"</f>
        <v>278/12112</v>
      </c>
    </row>
    <row r="40" spans="3:11" x14ac:dyDescent="0.25">
      <c r="C40" t="s">
        <v>223</v>
      </c>
      <c r="D40" t="s">
        <v>224</v>
      </c>
      <c r="E40">
        <v>0.62</v>
      </c>
      <c r="F40">
        <v>0.35</v>
      </c>
      <c r="G40">
        <v>0.34</v>
      </c>
      <c r="I40" t="str">
        <f>"184/10442"</f>
        <v>184/10442</v>
      </c>
      <c r="J40" t="str">
        <f>"171/5071"</f>
        <v>171/5071</v>
      </c>
      <c r="K40" t="str">
        <f>"233/9173"</f>
        <v>233/9173</v>
      </c>
    </row>
    <row r="41" spans="3:11" x14ac:dyDescent="0.25">
      <c r="C41" t="s">
        <v>225</v>
      </c>
      <c r="D41" t="s">
        <v>226</v>
      </c>
      <c r="E41">
        <v>0.69</v>
      </c>
      <c r="F41">
        <v>0.32</v>
      </c>
      <c r="G41">
        <v>0.28999999999999998</v>
      </c>
      <c r="I41" t="str">
        <f>"97/3224"</f>
        <v>97/3224</v>
      </c>
      <c r="J41" t="str">
        <f>"100/1605"</f>
        <v>100/1605</v>
      </c>
      <c r="K41" t="str">
        <f>"130/2427"</f>
        <v>130/2427</v>
      </c>
    </row>
    <row r="42" spans="3:11" x14ac:dyDescent="0.25">
      <c r="C42" t="s">
        <v>227</v>
      </c>
      <c r="D42" t="s">
        <v>228</v>
      </c>
      <c r="E42">
        <v>0.69</v>
      </c>
      <c r="F42">
        <v>0.32</v>
      </c>
      <c r="G42">
        <v>0.28999999999999998</v>
      </c>
      <c r="I42" t="str">
        <f>"97/3224"</f>
        <v>97/3224</v>
      </c>
      <c r="J42" t="str">
        <f>"100/1605"</f>
        <v>100/1605</v>
      </c>
      <c r="K42" t="str">
        <f>"130/2427"</f>
        <v>130/2427</v>
      </c>
    </row>
    <row r="43" spans="3:11" x14ac:dyDescent="0.25">
      <c r="C43" t="s">
        <v>229</v>
      </c>
      <c r="D43" t="s">
        <v>230</v>
      </c>
      <c r="E43">
        <v>0.66</v>
      </c>
      <c r="F43">
        <v>0.34</v>
      </c>
      <c r="G43">
        <v>0.31</v>
      </c>
      <c r="I43" t="str">
        <f>"224/16437"</f>
        <v>224/16437</v>
      </c>
      <c r="J43" t="str">
        <f>"213/7659"</f>
        <v>213/7659</v>
      </c>
      <c r="K43" t="str">
        <f>"282/12139"</f>
        <v>282/12139</v>
      </c>
    </row>
    <row r="44" spans="3:11" x14ac:dyDescent="0.25">
      <c r="C44" t="s">
        <v>231</v>
      </c>
      <c r="D44" t="s">
        <v>232</v>
      </c>
      <c r="E44">
        <v>0.66</v>
      </c>
      <c r="F44">
        <v>0.34</v>
      </c>
      <c r="G44">
        <v>0.31</v>
      </c>
      <c r="I44" t="str">
        <f>"224/16437"</f>
        <v>224/16437</v>
      </c>
      <c r="J44" t="str">
        <f>"213/7659"</f>
        <v>213/7659</v>
      </c>
      <c r="K44" t="str">
        <f>"282/12139"</f>
        <v>282/12139</v>
      </c>
    </row>
    <row r="45" spans="3:11" x14ac:dyDescent="0.25">
      <c r="C45" t="s">
        <v>233</v>
      </c>
      <c r="D45" t="s">
        <v>234</v>
      </c>
      <c r="E45">
        <v>0.65</v>
      </c>
      <c r="F45">
        <v>0.35</v>
      </c>
      <c r="G45">
        <v>0.28999999999999998</v>
      </c>
      <c r="I45" t="str">
        <f>"118/4508"</f>
        <v>118/4508</v>
      </c>
      <c r="J45" t="str">
        <f>"106/1966"</f>
        <v>106/1966</v>
      </c>
      <c r="K45" t="str">
        <f>"157/3570"</f>
        <v>157/3570</v>
      </c>
    </row>
    <row r="46" spans="3:11" x14ac:dyDescent="0.25">
      <c r="C46" t="s">
        <v>235</v>
      </c>
      <c r="D46" t="s">
        <v>236</v>
      </c>
      <c r="E46">
        <v>0.62</v>
      </c>
      <c r="F46">
        <v>0.35</v>
      </c>
      <c r="G46">
        <v>0.33</v>
      </c>
      <c r="I46" t="str">
        <f>"186/10583"</f>
        <v>186/10583</v>
      </c>
      <c r="J46" t="str">
        <f>"173/5171"</f>
        <v>173/5171</v>
      </c>
      <c r="K46" t="str">
        <f>"239/9469"</f>
        <v>239/9469</v>
      </c>
    </row>
    <row r="47" spans="3:11" x14ac:dyDescent="0.25">
      <c r="C47" t="s">
        <v>237</v>
      </c>
      <c r="D47" t="s">
        <v>238</v>
      </c>
      <c r="E47">
        <v>0.67</v>
      </c>
      <c r="F47">
        <v>0.32</v>
      </c>
      <c r="G47">
        <v>0.28000000000000003</v>
      </c>
      <c r="I47" t="str">
        <f>"99/3257"</f>
        <v>99/3257</v>
      </c>
      <c r="J47" t="str">
        <f>"101/1606"</f>
        <v>101/1606</v>
      </c>
      <c r="K47" t="str">
        <f>"132/2428"</f>
        <v>132/2428</v>
      </c>
    </row>
    <row r="48" spans="3:11" x14ac:dyDescent="0.25">
      <c r="C48" t="s">
        <v>239</v>
      </c>
      <c r="D48" t="s">
        <v>240</v>
      </c>
      <c r="E48">
        <v>0.67</v>
      </c>
      <c r="F48">
        <v>0.32</v>
      </c>
      <c r="G48">
        <v>0.28000000000000003</v>
      </c>
      <c r="I48" t="str">
        <f>"99/3257"</f>
        <v>99/3257</v>
      </c>
      <c r="J48" t="str">
        <f>"101/1606"</f>
        <v>101/1606</v>
      </c>
      <c r="K48" t="str">
        <f>"132/2428"</f>
        <v>132/2428</v>
      </c>
    </row>
    <row r="49" spans="3:11" x14ac:dyDescent="0.25">
      <c r="C49" t="s">
        <v>241</v>
      </c>
      <c r="D49" t="s">
        <v>242</v>
      </c>
      <c r="E49">
        <v>0.5</v>
      </c>
      <c r="F49">
        <v>0.53</v>
      </c>
      <c r="G49">
        <v>0.24</v>
      </c>
      <c r="I49" t="str">
        <f>"15/53"</f>
        <v>15/53</v>
      </c>
      <c r="J49" t="str">
        <f>"13/41"</f>
        <v>13/41</v>
      </c>
      <c r="K49" t="str">
        <f>"22/55"</f>
        <v>22/55</v>
      </c>
    </row>
    <row r="50" spans="3:11" x14ac:dyDescent="0.25">
      <c r="C50" t="s">
        <v>243</v>
      </c>
      <c r="D50" t="s">
        <v>244</v>
      </c>
      <c r="E50">
        <v>0.64</v>
      </c>
      <c r="F50">
        <v>0.35</v>
      </c>
      <c r="G50">
        <v>0.28000000000000003</v>
      </c>
      <c r="I50" t="str">
        <f>"121/4637"</f>
        <v>121/4637</v>
      </c>
      <c r="J50" t="str">
        <f>"109/2035"</f>
        <v>109/2035</v>
      </c>
      <c r="K50" t="str">
        <f>"161/3600"</f>
        <v>161/3600</v>
      </c>
    </row>
    <row r="51" spans="3:11" x14ac:dyDescent="0.25">
      <c r="C51" t="s">
        <v>245</v>
      </c>
      <c r="D51" t="s">
        <v>246</v>
      </c>
      <c r="E51">
        <v>0.54</v>
      </c>
      <c r="F51">
        <v>0.48</v>
      </c>
      <c r="G51">
        <v>0.23</v>
      </c>
      <c r="I51" t="str">
        <f>"136/4939"</f>
        <v>136/4939</v>
      </c>
      <c r="J51" t="str">
        <f>"106/2691"</f>
        <v>106/2691</v>
      </c>
      <c r="K51" t="str">
        <f>"194/4279"</f>
        <v>194/4279</v>
      </c>
    </row>
    <row r="52" spans="3:11" x14ac:dyDescent="0.25">
      <c r="C52" t="s">
        <v>247</v>
      </c>
      <c r="D52" t="s">
        <v>248</v>
      </c>
      <c r="E52">
        <v>0.59</v>
      </c>
      <c r="F52">
        <v>0.36</v>
      </c>
      <c r="G52">
        <v>0.28000000000000003</v>
      </c>
      <c r="I52" t="str">
        <f>"115/3885"</f>
        <v>115/3885</v>
      </c>
      <c r="J52" t="str">
        <f>"95/1624"</f>
        <v>95/1624</v>
      </c>
      <c r="K52" t="str">
        <f>"153/3284"</f>
        <v>153/3284</v>
      </c>
    </row>
    <row r="53" spans="3:11" x14ac:dyDescent="0.25">
      <c r="C53" t="s">
        <v>249</v>
      </c>
      <c r="D53" t="s">
        <v>250</v>
      </c>
      <c r="E53">
        <v>0.57999999999999996</v>
      </c>
      <c r="F53">
        <v>0.33</v>
      </c>
      <c r="G53">
        <v>0.32</v>
      </c>
      <c r="I53" t="str">
        <f>"192/10588"</f>
        <v>192/10588</v>
      </c>
      <c r="J53" t="str">
        <f>"177/5184"</f>
        <v>177/5184</v>
      </c>
      <c r="K53" t="str">
        <f>"243/9480"</f>
        <v>243/9480</v>
      </c>
    </row>
    <row r="54" spans="3:11" x14ac:dyDescent="0.25">
      <c r="C54" t="s">
        <v>251</v>
      </c>
      <c r="D54" t="s">
        <v>252</v>
      </c>
      <c r="E54">
        <v>0.5</v>
      </c>
      <c r="F54">
        <v>0.44</v>
      </c>
      <c r="G54">
        <v>0.28000000000000003</v>
      </c>
      <c r="I54" t="str">
        <f>"116/3331"</f>
        <v>116/3331</v>
      </c>
      <c r="J54" t="str">
        <f>"78/1334"</f>
        <v>78/1334</v>
      </c>
      <c r="K54" t="str">
        <f>"133/2423"</f>
        <v>133/2423</v>
      </c>
    </row>
    <row r="55" spans="3:11" x14ac:dyDescent="0.25">
      <c r="C55" t="s">
        <v>253</v>
      </c>
      <c r="D55" t="s">
        <v>254</v>
      </c>
      <c r="E55">
        <v>0.56999999999999995</v>
      </c>
      <c r="F55">
        <v>0.33</v>
      </c>
      <c r="G55">
        <v>0.31</v>
      </c>
      <c r="I55" t="str">
        <f>"193/10596"</f>
        <v>193/10596</v>
      </c>
      <c r="J55" t="str">
        <f>"179/5258"</f>
        <v>179/5258</v>
      </c>
      <c r="K55" t="str">
        <f>"247/9483"</f>
        <v>247/9483</v>
      </c>
    </row>
    <row r="56" spans="3:11" x14ac:dyDescent="0.25">
      <c r="C56" t="s">
        <v>255</v>
      </c>
      <c r="D56" t="s">
        <v>256</v>
      </c>
      <c r="E56">
        <v>0.56999999999999995</v>
      </c>
      <c r="F56">
        <v>0.32</v>
      </c>
      <c r="G56">
        <v>0.3</v>
      </c>
      <c r="I56" t="str">
        <f>"195/10700"</f>
        <v>195/10700</v>
      </c>
      <c r="J56" t="str">
        <f>"182/5319"</f>
        <v>182/5319</v>
      </c>
      <c r="K56" t="str">
        <f>"254/9571"</f>
        <v>254/9571</v>
      </c>
    </row>
    <row r="57" spans="3:11" x14ac:dyDescent="0.25">
      <c r="C57" t="s">
        <v>257</v>
      </c>
      <c r="D57" t="s">
        <v>258</v>
      </c>
      <c r="E57">
        <v>0.56000000000000005</v>
      </c>
      <c r="F57">
        <v>0.37</v>
      </c>
      <c r="G57">
        <v>0.23</v>
      </c>
      <c r="I57" t="str">
        <f>"55/833"</f>
        <v>55/833</v>
      </c>
      <c r="J57" t="str">
        <f>"53/509"</f>
        <v>53/509</v>
      </c>
      <c r="K57" t="str">
        <f>"83/785"</f>
        <v>83/785</v>
      </c>
    </row>
    <row r="58" spans="3:11" x14ac:dyDescent="0.25">
      <c r="C58" t="s">
        <v>259</v>
      </c>
      <c r="D58" t="s">
        <v>260</v>
      </c>
      <c r="E58">
        <v>0.54</v>
      </c>
      <c r="F58">
        <v>0.34</v>
      </c>
      <c r="G58">
        <v>0.25</v>
      </c>
      <c r="I58" t="str">
        <f>"80/1716"</f>
        <v>80/1716</v>
      </c>
      <c r="J58" t="str">
        <f>"66/736"</f>
        <v>66/736</v>
      </c>
      <c r="K58" t="str">
        <f>"154/2954"</f>
        <v>154/2954</v>
      </c>
    </row>
    <row r="59" spans="3:11" x14ac:dyDescent="0.25">
      <c r="C59" t="s">
        <v>261</v>
      </c>
      <c r="D59" t="s">
        <v>262</v>
      </c>
      <c r="E59">
        <v>0.55000000000000004</v>
      </c>
      <c r="F59">
        <v>0.31</v>
      </c>
      <c r="G59">
        <v>0.25</v>
      </c>
      <c r="I59" t="str">
        <f>"360/35759"</f>
        <v>360/35759</v>
      </c>
      <c r="J59" t="str">
        <f>"319/15720"</f>
        <v>319/15720</v>
      </c>
      <c r="K59" t="str">
        <f>"482/28709"</f>
        <v>482/28709</v>
      </c>
    </row>
    <row r="60" spans="3:11" x14ac:dyDescent="0.25">
      <c r="C60" t="s">
        <v>263</v>
      </c>
      <c r="D60" t="s">
        <v>264</v>
      </c>
      <c r="E60">
        <v>0.47</v>
      </c>
      <c r="F60">
        <v>0.36</v>
      </c>
      <c r="G60">
        <v>0.24</v>
      </c>
      <c r="I60" t="str">
        <f>"12/31"</f>
        <v>12/31</v>
      </c>
      <c r="J60" t="str">
        <f>"11/20"</f>
        <v>11/20</v>
      </c>
      <c r="K60" t="str">
        <f>"10/11"</f>
        <v>10/11</v>
      </c>
    </row>
    <row r="61" spans="3:11" x14ac:dyDescent="0.25">
      <c r="C61" t="s">
        <v>265</v>
      </c>
      <c r="D61" t="s">
        <v>266</v>
      </c>
      <c r="E61">
        <v>0.47</v>
      </c>
      <c r="F61">
        <v>0.36</v>
      </c>
      <c r="G61">
        <v>0.24</v>
      </c>
      <c r="I61" t="str">
        <f>"12/31"</f>
        <v>12/31</v>
      </c>
      <c r="J61" t="str">
        <f>"11/20"</f>
        <v>11/20</v>
      </c>
      <c r="K61" t="str">
        <f>"10/11"</f>
        <v>10/11</v>
      </c>
    </row>
    <row r="62" spans="3:11" x14ac:dyDescent="0.25">
      <c r="C62" t="s">
        <v>267</v>
      </c>
    </row>
    <row r="64" spans="3:11" x14ac:dyDescent="0.25">
      <c r="C64" t="s">
        <v>17</v>
      </c>
      <c r="F64" t="s">
        <v>12</v>
      </c>
      <c r="J64" t="s">
        <v>13</v>
      </c>
    </row>
    <row r="65" spans="3:11" x14ac:dyDescent="0.25">
      <c r="D65" t="s">
        <v>14</v>
      </c>
      <c r="E65" t="s">
        <v>1</v>
      </c>
      <c r="F65" t="s">
        <v>3</v>
      </c>
      <c r="G65" t="s">
        <v>2</v>
      </c>
      <c r="I65" t="s">
        <v>1</v>
      </c>
      <c r="J65" t="s">
        <v>3</v>
      </c>
      <c r="K65" t="s">
        <v>2</v>
      </c>
    </row>
    <row r="66" spans="3:11" x14ac:dyDescent="0.25">
      <c r="C66" t="s">
        <v>178</v>
      </c>
      <c r="D66" t="s">
        <v>268</v>
      </c>
      <c r="E66">
        <v>0.72</v>
      </c>
      <c r="F66">
        <v>0.26</v>
      </c>
      <c r="G66">
        <v>0.52</v>
      </c>
      <c r="I66" t="str">
        <f>"25/216"</f>
        <v>25/216</v>
      </c>
      <c r="J66" t="str">
        <f>"29/105"</f>
        <v>29/105</v>
      </c>
      <c r="K66" t="str">
        <f>"23/131"</f>
        <v>23/131</v>
      </c>
    </row>
    <row r="67" spans="3:11" x14ac:dyDescent="0.25">
      <c r="C67" t="s">
        <v>179</v>
      </c>
      <c r="D67" t="s">
        <v>269</v>
      </c>
      <c r="E67">
        <v>0.63</v>
      </c>
      <c r="F67">
        <v>0.28000000000000003</v>
      </c>
      <c r="G67">
        <v>0.22</v>
      </c>
      <c r="I67" t="str">
        <f>"87/2358"</f>
        <v>87/2358</v>
      </c>
      <c r="J67" t="str">
        <f>"78/836"</f>
        <v>78/836</v>
      </c>
      <c r="K67" t="str">
        <f>"103/1172"</f>
        <v>103/1172</v>
      </c>
    </row>
    <row r="68" spans="3:11" x14ac:dyDescent="0.25">
      <c r="C68" t="s">
        <v>180</v>
      </c>
      <c r="D68" t="s">
        <v>270</v>
      </c>
      <c r="E68">
        <v>0.63</v>
      </c>
      <c r="F68">
        <v>0.28000000000000003</v>
      </c>
      <c r="G68">
        <v>0.22</v>
      </c>
      <c r="I68" t="str">
        <f>"87/2358"</f>
        <v>87/2358</v>
      </c>
      <c r="J68" t="str">
        <f>"78/836"</f>
        <v>78/836</v>
      </c>
      <c r="K68" t="str">
        <f>"103/1172"</f>
        <v>103/1172</v>
      </c>
    </row>
    <row r="69" spans="3:11" x14ac:dyDescent="0.25">
      <c r="C69" t="s">
        <v>181</v>
      </c>
      <c r="D69" t="s">
        <v>271</v>
      </c>
      <c r="E69">
        <v>0.49</v>
      </c>
      <c r="F69">
        <v>0.24</v>
      </c>
      <c r="G69">
        <v>0.23</v>
      </c>
      <c r="I69" t="str">
        <f>"232/13023"</f>
        <v>232/13023</v>
      </c>
      <c r="J69" t="str">
        <f>"235/6608"</f>
        <v>235/6608</v>
      </c>
      <c r="K69" t="str">
        <f>"322/12047"</f>
        <v>322/12047</v>
      </c>
    </row>
    <row r="70" spans="3:11" x14ac:dyDescent="0.25">
      <c r="C70" t="s">
        <v>182</v>
      </c>
      <c r="D70" t="s">
        <v>272</v>
      </c>
      <c r="E70">
        <v>0.48</v>
      </c>
      <c r="F70">
        <v>0.21</v>
      </c>
      <c r="G70">
        <v>0.23</v>
      </c>
      <c r="I70" t="str">
        <f>"65/1000"</f>
        <v>65/1000</v>
      </c>
      <c r="J70" t="str">
        <f>"64/427"</f>
        <v>64/427</v>
      </c>
      <c r="K70" t="str">
        <f>"86/825"</f>
        <v>86/825</v>
      </c>
    </row>
    <row r="71" spans="3:11" x14ac:dyDescent="0.25">
      <c r="C71" t="s">
        <v>183</v>
      </c>
      <c r="D71" t="s">
        <v>273</v>
      </c>
      <c r="E71">
        <v>0.48</v>
      </c>
      <c r="F71">
        <v>0.21</v>
      </c>
      <c r="G71">
        <v>0.23</v>
      </c>
      <c r="I71" t="str">
        <f>"65/1000"</f>
        <v>65/1000</v>
      </c>
      <c r="J71" t="str">
        <f>"64/427"</f>
        <v>64/427</v>
      </c>
      <c r="K71" t="str">
        <f>"86/825"</f>
        <v>86/825</v>
      </c>
    </row>
    <row r="72" spans="3:11" x14ac:dyDescent="0.25">
      <c r="C72" t="s">
        <v>680</v>
      </c>
    </row>
    <row r="74" spans="3:11" x14ac:dyDescent="0.25">
      <c r="C74" t="s">
        <v>18</v>
      </c>
      <c r="F74" t="s">
        <v>12</v>
      </c>
      <c r="J74" t="s">
        <v>13</v>
      </c>
    </row>
    <row r="75" spans="3:11" x14ac:dyDescent="0.25">
      <c r="D75" t="s">
        <v>14</v>
      </c>
      <c r="E75" t="s">
        <v>1</v>
      </c>
      <c r="F75" t="s">
        <v>3</v>
      </c>
      <c r="G75" t="s">
        <v>2</v>
      </c>
      <c r="I75" t="s">
        <v>1</v>
      </c>
      <c r="J75" t="s">
        <v>3</v>
      </c>
      <c r="K75" t="s">
        <v>2</v>
      </c>
    </row>
    <row r="76" spans="3:11" x14ac:dyDescent="0.25">
      <c r="C76" t="s">
        <v>178</v>
      </c>
      <c r="D76" t="s">
        <v>274</v>
      </c>
      <c r="E76">
        <v>0.62</v>
      </c>
      <c r="F76">
        <v>0.56999999999999995</v>
      </c>
      <c r="G76">
        <v>0.22</v>
      </c>
      <c r="I76" t="str">
        <f>"43/563"</f>
        <v>43/563</v>
      </c>
      <c r="J76" t="str">
        <f>"33/303"</f>
        <v>33/303</v>
      </c>
      <c r="K76" t="str">
        <f>"62/409"</f>
        <v>62/409</v>
      </c>
    </row>
    <row r="77" spans="3:11" x14ac:dyDescent="0.25">
      <c r="C77" t="s">
        <v>179</v>
      </c>
      <c r="D77" t="s">
        <v>275</v>
      </c>
      <c r="E77">
        <v>0.62</v>
      </c>
      <c r="F77">
        <v>0.51</v>
      </c>
      <c r="G77">
        <v>0.22</v>
      </c>
      <c r="I77" t="str">
        <f>"43/563"</f>
        <v>43/563</v>
      </c>
      <c r="J77" t="str">
        <f>"35/304"</f>
        <v>35/304</v>
      </c>
      <c r="K77" t="str">
        <f>"62/409"</f>
        <v>62/409</v>
      </c>
    </row>
    <row r="78" spans="3:11" x14ac:dyDescent="0.25">
      <c r="C78" t="s">
        <v>180</v>
      </c>
      <c r="D78" t="s">
        <v>276</v>
      </c>
      <c r="E78">
        <v>0.6</v>
      </c>
      <c r="F78">
        <v>0.51</v>
      </c>
      <c r="G78">
        <v>0.19</v>
      </c>
      <c r="I78" t="str">
        <f>"105/3260"</f>
        <v>105/3260</v>
      </c>
      <c r="J78" t="str">
        <f>"78/1541"</f>
        <v>78/1541</v>
      </c>
      <c r="K78" t="str">
        <f>"177/2926"</f>
        <v>177/2926</v>
      </c>
    </row>
    <row r="79" spans="3:11" x14ac:dyDescent="0.25">
      <c r="C79" t="s">
        <v>181</v>
      </c>
      <c r="D79" t="s">
        <v>277</v>
      </c>
      <c r="E79">
        <v>0.75</v>
      </c>
      <c r="F79">
        <v>0.33</v>
      </c>
      <c r="G79">
        <v>0.16</v>
      </c>
      <c r="I79" t="str">
        <f>"65/1558"</f>
        <v>65/1558</v>
      </c>
      <c r="J79" t="str">
        <f>"64/656"</f>
        <v>64/656</v>
      </c>
      <c r="K79" t="str">
        <f>"146/1643"</f>
        <v>146/1643</v>
      </c>
    </row>
    <row r="80" spans="3:11" x14ac:dyDescent="0.25">
      <c r="C80" t="s">
        <v>182</v>
      </c>
      <c r="D80" t="s">
        <v>278</v>
      </c>
      <c r="E80">
        <v>0.51</v>
      </c>
      <c r="F80">
        <v>0.51</v>
      </c>
      <c r="G80">
        <v>0.19</v>
      </c>
      <c r="I80" t="str">
        <f>"48/572"</f>
        <v>48/572</v>
      </c>
      <c r="J80" t="str">
        <f>"35/305"</f>
        <v>35/305</v>
      </c>
      <c r="K80" t="str">
        <f>"68/433"</f>
        <v>68/433</v>
      </c>
    </row>
    <row r="81" spans="2:11" x14ac:dyDescent="0.25">
      <c r="C81" t="s">
        <v>183</v>
      </c>
      <c r="D81" t="s">
        <v>279</v>
      </c>
      <c r="E81">
        <v>0.72</v>
      </c>
      <c r="F81">
        <v>0.28999999999999998</v>
      </c>
      <c r="G81">
        <v>0.2</v>
      </c>
      <c r="I81" t="str">
        <f>"50/880"</f>
        <v>50/880</v>
      </c>
      <c r="J81" t="str">
        <f>"42/246"</f>
        <v>42/246</v>
      </c>
      <c r="K81" t="str">
        <f>"64/395"</f>
        <v>64/395</v>
      </c>
    </row>
    <row r="82" spans="2:11" x14ac:dyDescent="0.25">
      <c r="C82" t="s">
        <v>184</v>
      </c>
      <c r="D82" t="s">
        <v>280</v>
      </c>
      <c r="E82">
        <v>0.7</v>
      </c>
      <c r="F82">
        <v>0.28999999999999998</v>
      </c>
      <c r="G82">
        <v>0.2</v>
      </c>
      <c r="I82" t="str">
        <f>"51/892"</f>
        <v>51/892</v>
      </c>
      <c r="J82" t="str">
        <f>"42/246"</f>
        <v>42/246</v>
      </c>
      <c r="K82" t="str">
        <f>"65/412"</f>
        <v>65/412</v>
      </c>
    </row>
    <row r="83" spans="2:11" x14ac:dyDescent="0.25">
      <c r="C83" t="s">
        <v>185</v>
      </c>
      <c r="D83" t="s">
        <v>281</v>
      </c>
      <c r="E83">
        <v>0.55000000000000004</v>
      </c>
      <c r="F83">
        <v>0.32</v>
      </c>
      <c r="G83">
        <v>0.21</v>
      </c>
      <c r="I83" t="str">
        <f>"172/8035"</f>
        <v>172/8035</v>
      </c>
      <c r="J83" t="str">
        <f>"160/4086"</f>
        <v>160/4086</v>
      </c>
      <c r="K83" t="str">
        <f>"251/6741"</f>
        <v>251/6741</v>
      </c>
    </row>
    <row r="84" spans="2:11" x14ac:dyDescent="0.25">
      <c r="C84" t="s">
        <v>186</v>
      </c>
      <c r="D84" t="s">
        <v>282</v>
      </c>
      <c r="E84">
        <v>0.59</v>
      </c>
      <c r="F84">
        <v>0.3</v>
      </c>
      <c r="G84">
        <v>0.17</v>
      </c>
      <c r="I84" t="str">
        <f>"90/2354"</f>
        <v>90/2354</v>
      </c>
      <c r="J84" t="str">
        <f>"87/1104"</f>
        <v>87/1104</v>
      </c>
      <c r="K84" t="str">
        <f>"201/3475"</f>
        <v>201/3475</v>
      </c>
    </row>
    <row r="85" spans="2:11" x14ac:dyDescent="0.25">
      <c r="C85" t="s">
        <v>681</v>
      </c>
    </row>
    <row r="87" spans="2:11" x14ac:dyDescent="0.25">
      <c r="C87" t="s">
        <v>36</v>
      </c>
      <c r="F87" t="s">
        <v>12</v>
      </c>
      <c r="J87" t="s">
        <v>13</v>
      </c>
    </row>
    <row r="88" spans="2:11" x14ac:dyDescent="0.25">
      <c r="D88" t="s">
        <v>14</v>
      </c>
      <c r="E88" t="s">
        <v>1</v>
      </c>
      <c r="F88" t="s">
        <v>3</v>
      </c>
      <c r="G88" t="s">
        <v>2</v>
      </c>
      <c r="I88" t="s">
        <v>1</v>
      </c>
      <c r="J88" t="s">
        <v>3</v>
      </c>
      <c r="K88" t="s">
        <v>2</v>
      </c>
    </row>
    <row r="89" spans="2:11" x14ac:dyDescent="0.25">
      <c r="C89" t="s">
        <v>178</v>
      </c>
      <c r="D89" t="s">
        <v>283</v>
      </c>
      <c r="E89">
        <v>0.36</v>
      </c>
      <c r="F89">
        <v>0.82</v>
      </c>
      <c r="G89">
        <v>0.28999999999999998</v>
      </c>
      <c r="I89" t="str">
        <f>"14/33"</f>
        <v>14/33</v>
      </c>
      <c r="J89" t="str">
        <f>"10/37"</f>
        <v>10/37</v>
      </c>
      <c r="K89" t="str">
        <f>"20/56"</f>
        <v>20/56</v>
      </c>
    </row>
    <row r="90" spans="2:11" x14ac:dyDescent="0.25">
      <c r="C90" t="s">
        <v>179</v>
      </c>
      <c r="D90" t="s">
        <v>284</v>
      </c>
      <c r="E90">
        <v>0.32</v>
      </c>
      <c r="F90">
        <v>0.37</v>
      </c>
      <c r="G90">
        <v>0.47</v>
      </c>
      <c r="I90" t="str">
        <f>"28/121"</f>
        <v>28/121</v>
      </c>
      <c r="J90" t="str">
        <f>"18/57"</f>
        <v>18/57</v>
      </c>
      <c r="K90" t="str">
        <f>"21/99"</f>
        <v>21/99</v>
      </c>
    </row>
    <row r="91" spans="2:11" x14ac:dyDescent="0.25">
      <c r="C91" t="s">
        <v>180</v>
      </c>
      <c r="D91" t="s">
        <v>285</v>
      </c>
      <c r="E91">
        <v>0.43</v>
      </c>
      <c r="F91">
        <v>0.3</v>
      </c>
      <c r="G91">
        <v>0.26</v>
      </c>
      <c r="I91" t="str">
        <f>"243/12653"</f>
        <v>243/12653</v>
      </c>
      <c r="J91" t="str">
        <f>"195/5631"</f>
        <v>195/5631</v>
      </c>
      <c r="K91" t="str">
        <f>"295/11092"</f>
        <v>295/11092</v>
      </c>
    </row>
    <row r="92" spans="2:11" x14ac:dyDescent="0.25">
      <c r="C92" t="s">
        <v>181</v>
      </c>
      <c r="D92" t="s">
        <v>286</v>
      </c>
      <c r="E92">
        <v>0.43</v>
      </c>
      <c r="F92">
        <v>0.28999999999999998</v>
      </c>
      <c r="G92">
        <v>0.25</v>
      </c>
      <c r="I92" t="str">
        <f>"243/12653"</f>
        <v>243/12653</v>
      </c>
      <c r="J92" t="str">
        <f>"197/5632"</f>
        <v>197/5632</v>
      </c>
      <c r="K92" t="str">
        <f>"296/11094"</f>
        <v>296/11094</v>
      </c>
    </row>
    <row r="93" spans="2:11" x14ac:dyDescent="0.25">
      <c r="C93" t="s">
        <v>182</v>
      </c>
      <c r="D93" t="s">
        <v>287</v>
      </c>
      <c r="E93">
        <v>0.2</v>
      </c>
      <c r="F93">
        <v>0.34</v>
      </c>
      <c r="G93">
        <v>0.22</v>
      </c>
      <c r="I93" t="str">
        <f>"27/70"</f>
        <v>27/70</v>
      </c>
      <c r="J93" t="str">
        <f>"17/46"</f>
        <v>17/46</v>
      </c>
      <c r="K93" t="str">
        <f>"29/89"</f>
        <v>29/89</v>
      </c>
    </row>
    <row r="94" spans="2:11" x14ac:dyDescent="0.25">
      <c r="C94" t="s">
        <v>682</v>
      </c>
    </row>
    <row r="96" spans="2:11" x14ac:dyDescent="0.25">
      <c r="B96" t="s">
        <v>37</v>
      </c>
      <c r="C96" t="s">
        <v>288</v>
      </c>
    </row>
    <row r="98" spans="3:11" x14ac:dyDescent="0.25">
      <c r="C98" t="s">
        <v>11</v>
      </c>
      <c r="F98" t="s">
        <v>12</v>
      </c>
      <c r="J98" t="s">
        <v>13</v>
      </c>
    </row>
    <row r="99" spans="3:11" x14ac:dyDescent="0.25">
      <c r="D99" t="s">
        <v>14</v>
      </c>
      <c r="E99" t="s">
        <v>1</v>
      </c>
      <c r="F99" t="s">
        <v>3</v>
      </c>
      <c r="G99" t="s">
        <v>2</v>
      </c>
      <c r="I99" t="s">
        <v>1</v>
      </c>
      <c r="J99" t="s">
        <v>3</v>
      </c>
      <c r="K99" t="s">
        <v>2</v>
      </c>
    </row>
    <row r="100" spans="3:11" x14ac:dyDescent="0.25">
      <c r="C100" t="s">
        <v>289</v>
      </c>
      <c r="D100" t="s">
        <v>290</v>
      </c>
      <c r="E100">
        <v>0.82</v>
      </c>
      <c r="F100">
        <v>0.82</v>
      </c>
      <c r="G100">
        <v>0.72</v>
      </c>
      <c r="I100" t="str">
        <f>"25/245"</f>
        <v>25/245</v>
      </c>
      <c r="J100" t="str">
        <f>"15/86"</f>
        <v>15/86</v>
      </c>
      <c r="K100" t="str">
        <f>"21/152"</f>
        <v>21/152</v>
      </c>
    </row>
    <row r="101" spans="3:11" x14ac:dyDescent="0.25">
      <c r="C101" t="s">
        <v>291</v>
      </c>
      <c r="D101" t="s">
        <v>292</v>
      </c>
      <c r="E101">
        <v>0.69</v>
      </c>
      <c r="F101">
        <v>0.87</v>
      </c>
      <c r="G101">
        <v>0.71</v>
      </c>
      <c r="I101" t="str">
        <f>"17/94"</f>
        <v>17/94</v>
      </c>
      <c r="J101" t="str">
        <f>"10/39"</f>
        <v>10/39</v>
      </c>
      <c r="K101" t="str">
        <f>"17/96"</f>
        <v>17/96</v>
      </c>
    </row>
    <row r="102" spans="3:11" x14ac:dyDescent="0.25">
      <c r="C102" t="s">
        <v>293</v>
      </c>
      <c r="D102" t="s">
        <v>294</v>
      </c>
      <c r="E102">
        <v>0.46</v>
      </c>
      <c r="F102">
        <v>0.87</v>
      </c>
      <c r="G102">
        <v>0.63</v>
      </c>
      <c r="I102" t="str">
        <f>"21/97"</f>
        <v>21/97</v>
      </c>
      <c r="J102" t="str">
        <f>"10/39"</f>
        <v>10/39</v>
      </c>
      <c r="K102" t="str">
        <f>"18/97"</f>
        <v>18/97</v>
      </c>
    </row>
    <row r="103" spans="3:11" x14ac:dyDescent="0.25">
      <c r="C103" t="s">
        <v>295</v>
      </c>
      <c r="D103" t="s">
        <v>296</v>
      </c>
      <c r="E103">
        <v>0.46</v>
      </c>
      <c r="F103">
        <v>0.87</v>
      </c>
      <c r="G103">
        <v>0.63</v>
      </c>
      <c r="I103" t="str">
        <f>"21/97"</f>
        <v>21/97</v>
      </c>
      <c r="J103" t="str">
        <f>"10/39"</f>
        <v>10/39</v>
      </c>
      <c r="K103" t="str">
        <f>"18/97"</f>
        <v>18/97</v>
      </c>
    </row>
    <row r="104" spans="3:11" x14ac:dyDescent="0.25">
      <c r="C104" t="s">
        <v>297</v>
      </c>
      <c r="D104" t="s">
        <v>298</v>
      </c>
      <c r="E104">
        <v>0.9</v>
      </c>
      <c r="F104">
        <v>0.42</v>
      </c>
      <c r="G104">
        <v>0.56000000000000005</v>
      </c>
      <c r="I104" t="str">
        <f>"13/70"</f>
        <v>13/70</v>
      </c>
      <c r="J104" t="str">
        <f>"16/51"</f>
        <v>16/51</v>
      </c>
      <c r="K104" t="str">
        <f>"20/107"</f>
        <v>20/107</v>
      </c>
    </row>
    <row r="105" spans="3:11" x14ac:dyDescent="0.25">
      <c r="C105" t="s">
        <v>299</v>
      </c>
      <c r="D105" t="s">
        <v>300</v>
      </c>
      <c r="E105">
        <v>0.9</v>
      </c>
      <c r="F105">
        <v>0.42</v>
      </c>
      <c r="G105">
        <v>0.56000000000000005</v>
      </c>
      <c r="I105" t="str">
        <f>"13/70"</f>
        <v>13/70</v>
      </c>
      <c r="J105" t="str">
        <f>"16/51"</f>
        <v>16/51</v>
      </c>
      <c r="K105" t="str">
        <f>"20/107"</f>
        <v>20/107</v>
      </c>
    </row>
    <row r="106" spans="3:11" x14ac:dyDescent="0.25">
      <c r="C106" t="s">
        <v>301</v>
      </c>
    </row>
    <row r="108" spans="3:11" x14ac:dyDescent="0.25">
      <c r="C108" t="s">
        <v>17</v>
      </c>
      <c r="F108" t="s">
        <v>12</v>
      </c>
      <c r="J108" t="s">
        <v>13</v>
      </c>
    </row>
    <row r="109" spans="3:11" x14ac:dyDescent="0.25">
      <c r="D109" t="s">
        <v>14</v>
      </c>
      <c r="E109" t="s">
        <v>1</v>
      </c>
      <c r="F109" t="s">
        <v>3</v>
      </c>
      <c r="G109" t="s">
        <v>2</v>
      </c>
      <c r="I109" t="s">
        <v>1</v>
      </c>
      <c r="J109" t="s">
        <v>3</v>
      </c>
      <c r="K109" t="s">
        <v>2</v>
      </c>
    </row>
    <row r="110" spans="3:11" x14ac:dyDescent="0.25">
      <c r="C110" t="s">
        <v>289</v>
      </c>
      <c r="D110" t="s">
        <v>302</v>
      </c>
      <c r="E110">
        <v>0.56999999999999995</v>
      </c>
      <c r="F110">
        <v>0.28999999999999998</v>
      </c>
      <c r="G110">
        <v>0.54</v>
      </c>
      <c r="I110" t="str">
        <f>"14/52"</f>
        <v>14/52</v>
      </c>
      <c r="J110" t="str">
        <f>"16/35"</f>
        <v>16/35</v>
      </c>
      <c r="K110" t="str">
        <f>"17/74"</f>
        <v>17/74</v>
      </c>
    </row>
    <row r="111" spans="3:11" x14ac:dyDescent="0.25">
      <c r="C111" t="s">
        <v>291</v>
      </c>
      <c r="D111" t="s">
        <v>303</v>
      </c>
      <c r="E111">
        <v>0.37</v>
      </c>
      <c r="F111">
        <v>0.28000000000000003</v>
      </c>
      <c r="G111">
        <v>0.3</v>
      </c>
      <c r="I111" t="str">
        <f>"16/44"</f>
        <v>16/44</v>
      </c>
      <c r="J111" t="str">
        <f>"20/54"</f>
        <v>20/54</v>
      </c>
      <c r="K111" t="str">
        <f>"24/84"</f>
        <v>24/84</v>
      </c>
    </row>
    <row r="112" spans="3:11" x14ac:dyDescent="0.25">
      <c r="C112" t="s">
        <v>683</v>
      </c>
    </row>
    <row r="114" spans="2:11" x14ac:dyDescent="0.25">
      <c r="C114" t="s">
        <v>18</v>
      </c>
      <c r="F114" t="s">
        <v>12</v>
      </c>
      <c r="J114" t="s">
        <v>13</v>
      </c>
    </row>
    <row r="115" spans="2:11" x14ac:dyDescent="0.25">
      <c r="D115" t="s">
        <v>14</v>
      </c>
      <c r="E115" t="s">
        <v>1</v>
      </c>
      <c r="F115" t="s">
        <v>3</v>
      </c>
      <c r="G115" t="s">
        <v>2</v>
      </c>
      <c r="I115" t="s">
        <v>1</v>
      </c>
      <c r="J115" t="s">
        <v>3</v>
      </c>
      <c r="K115" t="s">
        <v>2</v>
      </c>
    </row>
    <row r="116" spans="2:11" x14ac:dyDescent="0.25">
      <c r="C116" t="s">
        <v>289</v>
      </c>
      <c r="D116" t="s">
        <v>304</v>
      </c>
      <c r="E116">
        <v>0.41</v>
      </c>
      <c r="F116">
        <v>0.79</v>
      </c>
      <c r="G116">
        <v>0.15</v>
      </c>
      <c r="I116" t="str">
        <f>"21/87"</f>
        <v>21/87</v>
      </c>
      <c r="J116" t="str">
        <f>"17/108"</f>
        <v>17/108</v>
      </c>
      <c r="K116" t="str">
        <f>"18/23"</f>
        <v>18/23</v>
      </c>
    </row>
    <row r="117" spans="2:11" x14ac:dyDescent="0.25">
      <c r="C117" t="s">
        <v>291</v>
      </c>
      <c r="D117" t="s">
        <v>305</v>
      </c>
      <c r="E117">
        <v>0.41</v>
      </c>
      <c r="F117">
        <v>0.79</v>
      </c>
      <c r="G117">
        <v>0.15</v>
      </c>
      <c r="I117" t="str">
        <f>"21/87"</f>
        <v>21/87</v>
      </c>
      <c r="J117" t="str">
        <f>"17/108"</f>
        <v>17/108</v>
      </c>
      <c r="K117" t="str">
        <f>"18/23"</f>
        <v>18/23</v>
      </c>
    </row>
    <row r="118" spans="2:11" x14ac:dyDescent="0.25">
      <c r="C118" t="s">
        <v>293</v>
      </c>
      <c r="D118" t="s">
        <v>306</v>
      </c>
      <c r="E118">
        <v>0.42</v>
      </c>
      <c r="F118">
        <v>0.51</v>
      </c>
      <c r="G118">
        <v>0.23</v>
      </c>
      <c r="I118" t="str">
        <f>"36/266"</f>
        <v>36/266</v>
      </c>
      <c r="J118" t="str">
        <f>"23/130"</f>
        <v>23/130</v>
      </c>
      <c r="K118" t="str">
        <f>"51/299"</f>
        <v>51/299</v>
      </c>
    </row>
    <row r="119" spans="2:11" x14ac:dyDescent="0.25">
      <c r="C119" t="s">
        <v>295</v>
      </c>
      <c r="D119" t="s">
        <v>307</v>
      </c>
      <c r="E119">
        <v>0.35</v>
      </c>
      <c r="F119">
        <v>0.33</v>
      </c>
      <c r="G119">
        <v>0.18</v>
      </c>
      <c r="I119" t="str">
        <f>"40/272"</f>
        <v>40/272</v>
      </c>
      <c r="J119" t="str">
        <f>"29/133"</f>
        <v>29/133</v>
      </c>
      <c r="K119" t="str">
        <f>"61/324"</f>
        <v>61/324</v>
      </c>
    </row>
    <row r="120" spans="2:11" x14ac:dyDescent="0.25">
      <c r="C120" t="s">
        <v>684</v>
      </c>
    </row>
    <row r="122" spans="2:11" x14ac:dyDescent="0.25">
      <c r="C122" t="s">
        <v>36</v>
      </c>
      <c r="F122" t="s">
        <v>12</v>
      </c>
      <c r="J122" t="s">
        <v>13</v>
      </c>
    </row>
    <row r="123" spans="2:11" x14ac:dyDescent="0.25">
      <c r="D123" t="s">
        <v>14</v>
      </c>
      <c r="E123" t="s">
        <v>1</v>
      </c>
      <c r="F123" t="s">
        <v>3</v>
      </c>
      <c r="G123" t="s">
        <v>2</v>
      </c>
      <c r="I123" t="s">
        <v>1</v>
      </c>
      <c r="J123" t="s">
        <v>3</v>
      </c>
      <c r="K123" t="s">
        <v>2</v>
      </c>
    </row>
    <row r="124" spans="2:11" x14ac:dyDescent="0.25">
      <c r="C124" t="s">
        <v>289</v>
      </c>
      <c r="D124" t="s">
        <v>308</v>
      </c>
      <c r="E124">
        <v>0.26</v>
      </c>
      <c r="F124">
        <v>0.38</v>
      </c>
      <c r="G124">
        <v>0.51</v>
      </c>
      <c r="I124" t="str">
        <f>"13/20"</f>
        <v>13/20</v>
      </c>
      <c r="J124" t="str">
        <f>"11/21"</f>
        <v>11/21</v>
      </c>
      <c r="K124" t="str">
        <f>"11/28"</f>
        <v>11/28</v>
      </c>
    </row>
    <row r="125" spans="2:11" x14ac:dyDescent="0.25">
      <c r="C125" t="s">
        <v>309</v>
      </c>
    </row>
    <row r="127" spans="2:11" x14ac:dyDescent="0.25">
      <c r="B127" t="s">
        <v>38</v>
      </c>
      <c r="C127" t="s">
        <v>310</v>
      </c>
    </row>
    <row r="129" spans="3:11" x14ac:dyDescent="0.25">
      <c r="C129" t="s">
        <v>11</v>
      </c>
      <c r="F129" t="s">
        <v>12</v>
      </c>
      <c r="J129" t="s">
        <v>13</v>
      </c>
    </row>
    <row r="130" spans="3:11" x14ac:dyDescent="0.25">
      <c r="D130" t="s">
        <v>14</v>
      </c>
      <c r="E130" t="s">
        <v>1</v>
      </c>
      <c r="F130" t="s">
        <v>3</v>
      </c>
      <c r="G130" t="s">
        <v>2</v>
      </c>
      <c r="I130" t="s">
        <v>1</v>
      </c>
      <c r="J130" t="s">
        <v>3</v>
      </c>
      <c r="K130" t="s">
        <v>2</v>
      </c>
    </row>
    <row r="131" spans="3:11" x14ac:dyDescent="0.25">
      <c r="C131" t="s">
        <v>311</v>
      </c>
      <c r="D131" t="s">
        <v>40</v>
      </c>
      <c r="E131">
        <v>0.94</v>
      </c>
      <c r="F131">
        <v>1</v>
      </c>
      <c r="G131">
        <v>0.91</v>
      </c>
      <c r="I131" t="str">
        <f>"21/198"</f>
        <v>21/198</v>
      </c>
      <c r="J131" t="str">
        <f>"11/55"</f>
        <v>11/55</v>
      </c>
      <c r="K131" t="str">
        <f>"18/139"</f>
        <v>18/139</v>
      </c>
    </row>
    <row r="132" spans="3:11" x14ac:dyDescent="0.25">
      <c r="C132" t="s">
        <v>312</v>
      </c>
      <c r="D132" t="s">
        <v>42</v>
      </c>
      <c r="E132">
        <v>0.88</v>
      </c>
      <c r="F132">
        <v>0.96</v>
      </c>
      <c r="G132">
        <v>0.8</v>
      </c>
      <c r="I132" t="str">
        <f>"19/150"</f>
        <v>19/150</v>
      </c>
      <c r="J132" t="str">
        <f>"13/75"</f>
        <v>13/75</v>
      </c>
      <c r="K132" t="str">
        <f>"20/152"</f>
        <v>20/152</v>
      </c>
    </row>
    <row r="133" spans="3:11" x14ac:dyDescent="0.25">
      <c r="C133" t="s">
        <v>313</v>
      </c>
      <c r="D133" t="s">
        <v>39</v>
      </c>
      <c r="E133">
        <v>0.89</v>
      </c>
      <c r="F133">
        <v>0.91</v>
      </c>
      <c r="G133">
        <v>0.76</v>
      </c>
      <c r="I133" t="str">
        <f>"63/1732"</f>
        <v>63/1732</v>
      </c>
      <c r="J133" t="str">
        <f>"24/252"</f>
        <v>24/252</v>
      </c>
      <c r="K133" t="str">
        <f>"53/1041"</f>
        <v>53/1041</v>
      </c>
    </row>
    <row r="134" spans="3:11" x14ac:dyDescent="0.25">
      <c r="C134" t="s">
        <v>314</v>
      </c>
      <c r="D134" t="s">
        <v>41</v>
      </c>
      <c r="E134">
        <v>0.85</v>
      </c>
      <c r="F134">
        <v>0.85</v>
      </c>
      <c r="G134">
        <v>0.73</v>
      </c>
      <c r="I134" t="str">
        <f>"42/733"</f>
        <v>42/733</v>
      </c>
      <c r="J134" t="str">
        <f>"13/66"</f>
        <v>13/66</v>
      </c>
      <c r="K134" t="str">
        <f>"34/408"</f>
        <v>34/408</v>
      </c>
    </row>
    <row r="135" spans="3:11" x14ac:dyDescent="0.25">
      <c r="C135" t="s">
        <v>315</v>
      </c>
      <c r="D135" t="s">
        <v>316</v>
      </c>
      <c r="E135">
        <v>0.7</v>
      </c>
      <c r="F135">
        <v>0.63</v>
      </c>
      <c r="G135">
        <v>0.59</v>
      </c>
      <c r="I135" t="str">
        <f>"59/1205"</f>
        <v>59/1205</v>
      </c>
      <c r="J135" t="str">
        <f>"44/597"</f>
        <v>44/597</v>
      </c>
      <c r="K135" t="str">
        <f>"62/1112"</f>
        <v>62/1112</v>
      </c>
    </row>
    <row r="136" spans="3:11" x14ac:dyDescent="0.25">
      <c r="C136" t="s">
        <v>317</v>
      </c>
    </row>
    <row r="138" spans="3:11" x14ac:dyDescent="0.25">
      <c r="C138" t="s">
        <v>17</v>
      </c>
      <c r="F138" t="s">
        <v>12</v>
      </c>
      <c r="J138" t="s">
        <v>13</v>
      </c>
    </row>
    <row r="139" spans="3:11" x14ac:dyDescent="0.25">
      <c r="D139" t="s">
        <v>14</v>
      </c>
      <c r="E139" t="s">
        <v>1</v>
      </c>
      <c r="F139" t="s">
        <v>3</v>
      </c>
      <c r="G139" t="s">
        <v>2</v>
      </c>
      <c r="I139" t="s">
        <v>1</v>
      </c>
      <c r="J139" t="s">
        <v>3</v>
      </c>
      <c r="K139" t="s">
        <v>2</v>
      </c>
    </row>
    <row r="140" spans="3:11" x14ac:dyDescent="0.25">
      <c r="C140" t="s">
        <v>311</v>
      </c>
      <c r="D140" t="s">
        <v>318</v>
      </c>
      <c r="E140">
        <v>0.72</v>
      </c>
      <c r="F140">
        <v>0.51</v>
      </c>
      <c r="G140">
        <v>0.44</v>
      </c>
      <c r="I140" t="str">
        <f>"267/25459"</f>
        <v>267/25459</v>
      </c>
      <c r="J140" t="str">
        <f>"184/8581"</f>
        <v>184/8581</v>
      </c>
      <c r="K140" t="str">
        <f>"299/19783"</f>
        <v>299/19783</v>
      </c>
    </row>
    <row r="141" spans="3:11" x14ac:dyDescent="0.25">
      <c r="C141" t="s">
        <v>312</v>
      </c>
      <c r="D141" t="s">
        <v>319</v>
      </c>
      <c r="E141">
        <v>0.72</v>
      </c>
      <c r="F141">
        <v>0.51</v>
      </c>
      <c r="G141">
        <v>0.44</v>
      </c>
      <c r="I141" t="str">
        <f>"266/25261"</f>
        <v>266/25261</v>
      </c>
      <c r="J141" t="str">
        <f>"184/8581"</f>
        <v>184/8581</v>
      </c>
      <c r="K141" t="str">
        <f>"298/19586"</f>
        <v>298/19586</v>
      </c>
    </row>
    <row r="142" spans="3:11" x14ac:dyDescent="0.25">
      <c r="C142" t="s">
        <v>685</v>
      </c>
    </row>
    <row r="144" spans="3:11" x14ac:dyDescent="0.25">
      <c r="C144" t="s">
        <v>18</v>
      </c>
      <c r="F144" t="s">
        <v>12</v>
      </c>
      <c r="J144" t="s">
        <v>13</v>
      </c>
    </row>
    <row r="145" spans="1:11" x14ac:dyDescent="0.25">
      <c r="D145" t="s">
        <v>14</v>
      </c>
      <c r="E145" t="s">
        <v>1</v>
      </c>
      <c r="F145" t="s">
        <v>3</v>
      </c>
      <c r="G145" t="s">
        <v>2</v>
      </c>
      <c r="I145" t="s">
        <v>1</v>
      </c>
      <c r="J145" t="s">
        <v>3</v>
      </c>
      <c r="K145" t="s">
        <v>2</v>
      </c>
    </row>
    <row r="146" spans="1:11" x14ac:dyDescent="0.25">
      <c r="C146" t="s">
        <v>320</v>
      </c>
    </row>
    <row r="148" spans="1:11" x14ac:dyDescent="0.25">
      <c r="C148" t="s">
        <v>36</v>
      </c>
      <c r="F148" t="s">
        <v>12</v>
      </c>
      <c r="J148" t="s">
        <v>13</v>
      </c>
    </row>
    <row r="149" spans="1:11" x14ac:dyDescent="0.25">
      <c r="D149" t="s">
        <v>14</v>
      </c>
      <c r="E149" t="s">
        <v>1</v>
      </c>
      <c r="F149" t="s">
        <v>3</v>
      </c>
      <c r="G149" t="s">
        <v>2</v>
      </c>
      <c r="I149" t="s">
        <v>1</v>
      </c>
      <c r="J149" t="s">
        <v>3</v>
      </c>
      <c r="K149" t="s">
        <v>2</v>
      </c>
    </row>
    <row r="150" spans="1:11" x14ac:dyDescent="0.25">
      <c r="C150" t="s">
        <v>320</v>
      </c>
    </row>
    <row r="154" spans="1:11" x14ac:dyDescent="0.25">
      <c r="A154" t="s">
        <v>4</v>
      </c>
      <c r="B154" t="s">
        <v>9</v>
      </c>
    </row>
    <row r="156" spans="1:11" x14ac:dyDescent="0.25">
      <c r="B156" t="s">
        <v>10</v>
      </c>
      <c r="C156" t="s">
        <v>686</v>
      </c>
    </row>
    <row r="158" spans="1:11" x14ac:dyDescent="0.25">
      <c r="C158" t="s">
        <v>11</v>
      </c>
      <c r="F158" t="s">
        <v>12</v>
      </c>
      <c r="J158" t="s">
        <v>13</v>
      </c>
    </row>
    <row r="159" spans="1:11" x14ac:dyDescent="0.25">
      <c r="D159" t="s">
        <v>14</v>
      </c>
      <c r="E159" t="s">
        <v>1</v>
      </c>
      <c r="F159" t="s">
        <v>3</v>
      </c>
      <c r="G159" t="s">
        <v>2</v>
      </c>
      <c r="I159" t="s">
        <v>1</v>
      </c>
      <c r="J159" t="s">
        <v>3</v>
      </c>
      <c r="K159" t="s">
        <v>2</v>
      </c>
    </row>
    <row r="160" spans="1:11" x14ac:dyDescent="0.25">
      <c r="C160" t="s">
        <v>687</v>
      </c>
      <c r="D160" t="s">
        <v>321</v>
      </c>
      <c r="E160">
        <v>0.22</v>
      </c>
      <c r="F160">
        <v>0.17</v>
      </c>
      <c r="G160">
        <v>0.18</v>
      </c>
      <c r="I160" t="str">
        <f>"35/141"</f>
        <v>35/141</v>
      </c>
      <c r="J160" t="str">
        <f>"18/30"</f>
        <v>18/30</v>
      </c>
      <c r="K160" t="str">
        <f>"38/161"</f>
        <v>38/161</v>
      </c>
    </row>
    <row r="161" spans="3:11" x14ac:dyDescent="0.25">
      <c r="C161" t="s">
        <v>688</v>
      </c>
    </row>
    <row r="163" spans="3:11" x14ac:dyDescent="0.25">
      <c r="C163" t="s">
        <v>17</v>
      </c>
      <c r="F163" t="s">
        <v>12</v>
      </c>
      <c r="J163" t="s">
        <v>13</v>
      </c>
    </row>
    <row r="164" spans="3:11" x14ac:dyDescent="0.25">
      <c r="D164" t="s">
        <v>14</v>
      </c>
      <c r="E164" t="s">
        <v>1</v>
      </c>
      <c r="F164" t="s">
        <v>3</v>
      </c>
      <c r="G164" t="s">
        <v>2</v>
      </c>
      <c r="I164" t="s">
        <v>1</v>
      </c>
      <c r="J164" t="s">
        <v>3</v>
      </c>
      <c r="K164" t="s">
        <v>2</v>
      </c>
    </row>
    <row r="165" spans="3:11" x14ac:dyDescent="0.25">
      <c r="C165" t="s">
        <v>687</v>
      </c>
      <c r="D165" t="s">
        <v>322</v>
      </c>
      <c r="E165">
        <v>0.46</v>
      </c>
      <c r="F165">
        <v>0.14000000000000001</v>
      </c>
      <c r="G165">
        <v>0.28000000000000003</v>
      </c>
      <c r="I165" t="str">
        <f>"17/75"</f>
        <v>17/75</v>
      </c>
      <c r="J165" t="str">
        <f>"13/13"</f>
        <v>13/13</v>
      </c>
      <c r="K165" t="str">
        <f>"20/61"</f>
        <v>20/61</v>
      </c>
    </row>
    <row r="166" spans="3:11" x14ac:dyDescent="0.25">
      <c r="C166" t="s">
        <v>689</v>
      </c>
      <c r="D166" t="s">
        <v>690</v>
      </c>
      <c r="E166">
        <v>0.32</v>
      </c>
      <c r="F166">
        <v>0.15</v>
      </c>
      <c r="G166">
        <v>0.2</v>
      </c>
      <c r="I166" t="str">
        <f>"22/92"</f>
        <v>22/92</v>
      </c>
      <c r="J166" t="str">
        <f>"12/10"</f>
        <v>12/10</v>
      </c>
      <c r="K166" t="str">
        <f>"10/13"</f>
        <v>10/13</v>
      </c>
    </row>
    <row r="167" spans="3:11" x14ac:dyDescent="0.25">
      <c r="C167" t="s">
        <v>691</v>
      </c>
      <c r="D167" t="s">
        <v>692</v>
      </c>
      <c r="E167">
        <v>0.32</v>
      </c>
      <c r="F167">
        <v>0.15</v>
      </c>
      <c r="G167">
        <v>0.2</v>
      </c>
      <c r="I167" t="str">
        <f>"22/92"</f>
        <v>22/92</v>
      </c>
      <c r="J167" t="str">
        <f>"12/10"</f>
        <v>12/10</v>
      </c>
      <c r="K167" t="str">
        <f>"10/13"</f>
        <v>10/13</v>
      </c>
    </row>
    <row r="168" spans="3:11" x14ac:dyDescent="0.25">
      <c r="C168" t="s">
        <v>693</v>
      </c>
      <c r="D168" t="s">
        <v>323</v>
      </c>
      <c r="E168">
        <v>0.32</v>
      </c>
      <c r="F168">
        <v>0.15</v>
      </c>
      <c r="G168">
        <v>0.15</v>
      </c>
      <c r="I168" t="str">
        <f>"22/92"</f>
        <v>22/92</v>
      </c>
      <c r="J168" t="str">
        <f>"12/10"</f>
        <v>12/10</v>
      </c>
      <c r="K168" t="str">
        <f>"12/14"</f>
        <v>12/14</v>
      </c>
    </row>
    <row r="169" spans="3:11" x14ac:dyDescent="0.25">
      <c r="C169" t="s">
        <v>694</v>
      </c>
      <c r="D169" t="s">
        <v>324</v>
      </c>
      <c r="E169">
        <v>0.32</v>
      </c>
      <c r="F169">
        <v>0.15</v>
      </c>
      <c r="G169">
        <v>0.15</v>
      </c>
      <c r="I169" t="str">
        <f>"22/92"</f>
        <v>22/92</v>
      </c>
      <c r="J169" t="str">
        <f>"12/10"</f>
        <v>12/10</v>
      </c>
      <c r="K169" t="str">
        <f>"12/14"</f>
        <v>12/14</v>
      </c>
    </row>
    <row r="170" spans="3:11" x14ac:dyDescent="0.25">
      <c r="C170" t="s">
        <v>695</v>
      </c>
    </row>
    <row r="172" spans="3:11" x14ac:dyDescent="0.25">
      <c r="C172" t="s">
        <v>18</v>
      </c>
      <c r="F172" t="s">
        <v>12</v>
      </c>
      <c r="J172" t="s">
        <v>13</v>
      </c>
    </row>
    <row r="173" spans="3:11" x14ac:dyDescent="0.25">
      <c r="D173" t="s">
        <v>14</v>
      </c>
      <c r="E173" t="s">
        <v>1</v>
      </c>
      <c r="F173" t="s">
        <v>3</v>
      </c>
      <c r="G173" t="s">
        <v>2</v>
      </c>
      <c r="I173" t="s">
        <v>1</v>
      </c>
      <c r="J173" t="s">
        <v>3</v>
      </c>
      <c r="K173" t="s">
        <v>2</v>
      </c>
    </row>
    <row r="174" spans="3:11" x14ac:dyDescent="0.25">
      <c r="C174" t="s">
        <v>687</v>
      </c>
      <c r="D174" t="s">
        <v>325</v>
      </c>
      <c r="E174">
        <v>0.18</v>
      </c>
      <c r="F174">
        <v>0.24</v>
      </c>
      <c r="G174">
        <v>0.13</v>
      </c>
      <c r="I174" t="str">
        <f>"11/10"</f>
        <v>11/10</v>
      </c>
      <c r="J174" t="str">
        <f>"16/32"</f>
        <v>16/32</v>
      </c>
      <c r="K174" t="str">
        <f>"24/43"</f>
        <v>24/43</v>
      </c>
    </row>
    <row r="175" spans="3:11" x14ac:dyDescent="0.25">
      <c r="C175" t="s">
        <v>689</v>
      </c>
      <c r="D175" t="s">
        <v>326</v>
      </c>
      <c r="E175">
        <v>0.17</v>
      </c>
      <c r="F175">
        <v>0.22</v>
      </c>
      <c r="G175">
        <v>0.13</v>
      </c>
      <c r="I175" t="str">
        <f>"12/11"</f>
        <v>12/11</v>
      </c>
      <c r="J175" t="str">
        <f>"10/10"</f>
        <v>10/10</v>
      </c>
      <c r="K175" t="str">
        <f>"23/33"</f>
        <v>23/33</v>
      </c>
    </row>
    <row r="176" spans="3:11" x14ac:dyDescent="0.25">
      <c r="C176" t="s">
        <v>691</v>
      </c>
      <c r="D176" t="s">
        <v>327</v>
      </c>
      <c r="E176">
        <v>0.17</v>
      </c>
      <c r="F176">
        <v>0.22</v>
      </c>
      <c r="G176">
        <v>0.13</v>
      </c>
      <c r="I176" t="str">
        <f>"12/11"</f>
        <v>12/11</v>
      </c>
      <c r="J176" t="str">
        <f>"10/10"</f>
        <v>10/10</v>
      </c>
      <c r="K176" t="str">
        <f>"23/33"</f>
        <v>23/33</v>
      </c>
    </row>
    <row r="177" spans="3:11" x14ac:dyDescent="0.25">
      <c r="C177" t="s">
        <v>693</v>
      </c>
      <c r="D177" t="s">
        <v>328</v>
      </c>
      <c r="E177">
        <v>0.17</v>
      </c>
      <c r="F177">
        <v>0.22</v>
      </c>
      <c r="G177">
        <v>0.12</v>
      </c>
      <c r="I177" t="str">
        <f>"12/11"</f>
        <v>12/11</v>
      </c>
      <c r="J177" t="str">
        <f>"10/10"</f>
        <v>10/10</v>
      </c>
      <c r="K177" t="str">
        <f>"24/34"</f>
        <v>24/34</v>
      </c>
    </row>
    <row r="178" spans="3:11" x14ac:dyDescent="0.25">
      <c r="C178" t="s">
        <v>694</v>
      </c>
      <c r="D178" t="s">
        <v>329</v>
      </c>
      <c r="E178">
        <v>0.17</v>
      </c>
      <c r="F178">
        <v>0.15</v>
      </c>
      <c r="G178">
        <v>0.1</v>
      </c>
      <c r="I178" t="str">
        <f>"12/11"</f>
        <v>12/11</v>
      </c>
      <c r="J178" t="str">
        <f>"14/15"</f>
        <v>14/15</v>
      </c>
      <c r="K178" t="str">
        <f>"26/35"</f>
        <v>26/35</v>
      </c>
    </row>
    <row r="179" spans="3:11" x14ac:dyDescent="0.25">
      <c r="C179" t="s">
        <v>696</v>
      </c>
      <c r="D179" t="s">
        <v>330</v>
      </c>
      <c r="E179">
        <v>0.17</v>
      </c>
      <c r="F179">
        <v>0.16</v>
      </c>
      <c r="G179">
        <v>0.08</v>
      </c>
      <c r="I179" t="str">
        <f>"43/190"</f>
        <v>43/190</v>
      </c>
      <c r="J179" t="str">
        <f>"54/289"</f>
        <v>54/289</v>
      </c>
      <c r="K179" t="str">
        <f>"88/396"</f>
        <v>88/396</v>
      </c>
    </row>
    <row r="180" spans="3:11" x14ac:dyDescent="0.25">
      <c r="C180" t="s">
        <v>697</v>
      </c>
      <c r="D180" t="s">
        <v>331</v>
      </c>
      <c r="E180">
        <v>0.17</v>
      </c>
      <c r="F180">
        <v>0.17</v>
      </c>
      <c r="G180">
        <v>0.08</v>
      </c>
      <c r="I180" t="str">
        <f>"12/11"</f>
        <v>12/11</v>
      </c>
      <c r="J180" t="str">
        <f t="shared" ref="J180:J185" si="0">"13/15"</f>
        <v>13/15</v>
      </c>
      <c r="K180" t="str">
        <f>"22/18"</f>
        <v>22/18</v>
      </c>
    </row>
    <row r="181" spans="3:11" x14ac:dyDescent="0.25">
      <c r="C181" t="s">
        <v>698</v>
      </c>
      <c r="D181" t="s">
        <v>332</v>
      </c>
      <c r="E181">
        <v>0.17</v>
      </c>
      <c r="F181">
        <v>0.17</v>
      </c>
      <c r="G181">
        <v>0.08</v>
      </c>
      <c r="I181" t="str">
        <f>"12/11"</f>
        <v>12/11</v>
      </c>
      <c r="J181" t="str">
        <f t="shared" si="0"/>
        <v>13/15</v>
      </c>
      <c r="K181" t="str">
        <f>"23/19"</f>
        <v>23/19</v>
      </c>
    </row>
    <row r="182" spans="3:11" x14ac:dyDescent="0.25">
      <c r="C182" t="s">
        <v>699</v>
      </c>
      <c r="D182" t="s">
        <v>333</v>
      </c>
      <c r="E182">
        <v>0.17</v>
      </c>
      <c r="F182">
        <v>0.17</v>
      </c>
      <c r="G182">
        <v>7.0000000000000007E-2</v>
      </c>
      <c r="I182" t="str">
        <f>"12/11"</f>
        <v>12/11</v>
      </c>
      <c r="J182" t="str">
        <f t="shared" si="0"/>
        <v>13/15</v>
      </c>
      <c r="K182" t="str">
        <f>"25/20"</f>
        <v>25/20</v>
      </c>
    </row>
    <row r="183" spans="3:11" x14ac:dyDescent="0.25">
      <c r="C183" t="s">
        <v>700</v>
      </c>
      <c r="D183" t="s">
        <v>334</v>
      </c>
      <c r="E183">
        <v>0.15</v>
      </c>
      <c r="F183">
        <v>0.17</v>
      </c>
      <c r="G183">
        <v>7.0000000000000007E-2</v>
      </c>
      <c r="I183" t="str">
        <f>"13/12"</f>
        <v>13/12</v>
      </c>
      <c r="J183" t="str">
        <f t="shared" si="0"/>
        <v>13/15</v>
      </c>
      <c r="K183" t="str">
        <f>"24/20"</f>
        <v>24/20</v>
      </c>
    </row>
    <row r="184" spans="3:11" x14ac:dyDescent="0.25">
      <c r="C184" t="s">
        <v>701</v>
      </c>
      <c r="D184" t="s">
        <v>335</v>
      </c>
      <c r="E184">
        <v>0.15</v>
      </c>
      <c r="F184">
        <v>0.17</v>
      </c>
      <c r="G184">
        <v>7.0000000000000007E-2</v>
      </c>
      <c r="I184" t="str">
        <f>"13/12"</f>
        <v>13/12</v>
      </c>
      <c r="J184" t="str">
        <f t="shared" si="0"/>
        <v>13/15</v>
      </c>
      <c r="K184" t="str">
        <f>"24/20"</f>
        <v>24/20</v>
      </c>
    </row>
    <row r="185" spans="3:11" x14ac:dyDescent="0.25">
      <c r="C185" t="s">
        <v>702</v>
      </c>
      <c r="D185" t="s">
        <v>336</v>
      </c>
      <c r="E185">
        <v>0.15</v>
      </c>
      <c r="F185">
        <v>0.17</v>
      </c>
      <c r="G185">
        <v>7.0000000000000007E-2</v>
      </c>
      <c r="I185" t="str">
        <f>"13/12"</f>
        <v>13/12</v>
      </c>
      <c r="J185" t="str">
        <f t="shared" si="0"/>
        <v>13/15</v>
      </c>
      <c r="K185" t="str">
        <f>"24/20"</f>
        <v>24/20</v>
      </c>
    </row>
    <row r="186" spans="3:11" x14ac:dyDescent="0.25">
      <c r="C186" t="s">
        <v>703</v>
      </c>
    </row>
    <row r="188" spans="3:11" x14ac:dyDescent="0.25">
      <c r="C188" t="s">
        <v>36</v>
      </c>
      <c r="F188" t="s">
        <v>12</v>
      </c>
      <c r="J188" t="s">
        <v>13</v>
      </c>
    </row>
    <row r="189" spans="3:11" x14ac:dyDescent="0.25">
      <c r="D189" t="s">
        <v>14</v>
      </c>
      <c r="E189" t="s">
        <v>1</v>
      </c>
      <c r="F189" t="s">
        <v>3</v>
      </c>
      <c r="G189" t="s">
        <v>2</v>
      </c>
      <c r="I189" t="s">
        <v>1</v>
      </c>
      <c r="J189" t="s">
        <v>3</v>
      </c>
      <c r="K189" t="s">
        <v>2</v>
      </c>
    </row>
    <row r="190" spans="3:11" x14ac:dyDescent="0.25">
      <c r="C190" t="s">
        <v>687</v>
      </c>
      <c r="D190" t="s">
        <v>337</v>
      </c>
      <c r="E190">
        <v>0.12</v>
      </c>
      <c r="F190">
        <v>0.24</v>
      </c>
      <c r="G190">
        <v>0.33</v>
      </c>
      <c r="I190" t="str">
        <f>"16/26"</f>
        <v>16/26</v>
      </c>
      <c r="J190" t="str">
        <f>"10/20"</f>
        <v>10/20</v>
      </c>
      <c r="K190" t="str">
        <f>"12/37"</f>
        <v>12/37</v>
      </c>
    </row>
    <row r="191" spans="3:11" x14ac:dyDescent="0.25">
      <c r="C191" t="s">
        <v>704</v>
      </c>
    </row>
    <row r="193" spans="2:11" x14ac:dyDescent="0.25">
      <c r="B193" t="s">
        <v>37</v>
      </c>
      <c r="C193" t="s">
        <v>338</v>
      </c>
    </row>
    <row r="195" spans="2:11" x14ac:dyDescent="0.25">
      <c r="C195" t="s">
        <v>11</v>
      </c>
      <c r="F195" t="s">
        <v>12</v>
      </c>
      <c r="J195" t="s">
        <v>13</v>
      </c>
    </row>
    <row r="196" spans="2:11" x14ac:dyDescent="0.25">
      <c r="D196" t="s">
        <v>14</v>
      </c>
      <c r="E196" t="s">
        <v>1</v>
      </c>
      <c r="F196" t="s">
        <v>3</v>
      </c>
      <c r="G196" t="s">
        <v>2</v>
      </c>
      <c r="I196" t="s">
        <v>1</v>
      </c>
      <c r="J196" t="s">
        <v>3</v>
      </c>
      <c r="K196" t="s">
        <v>2</v>
      </c>
    </row>
    <row r="197" spans="2:11" x14ac:dyDescent="0.25">
      <c r="C197" t="s">
        <v>320</v>
      </c>
    </row>
    <row r="199" spans="2:11" x14ac:dyDescent="0.25">
      <c r="C199" t="s">
        <v>17</v>
      </c>
      <c r="F199" t="s">
        <v>12</v>
      </c>
      <c r="J199" t="s">
        <v>13</v>
      </c>
    </row>
    <row r="200" spans="2:11" x14ac:dyDescent="0.25">
      <c r="D200" t="s">
        <v>14</v>
      </c>
      <c r="E200" t="s">
        <v>1</v>
      </c>
      <c r="F200" t="s">
        <v>3</v>
      </c>
      <c r="G200" t="s">
        <v>2</v>
      </c>
      <c r="I200" t="s">
        <v>1</v>
      </c>
      <c r="J200" t="s">
        <v>3</v>
      </c>
      <c r="K200" t="s">
        <v>2</v>
      </c>
    </row>
    <row r="201" spans="2:11" x14ac:dyDescent="0.25">
      <c r="C201" t="s">
        <v>320</v>
      </c>
    </row>
    <row r="203" spans="2:11" x14ac:dyDescent="0.25">
      <c r="C203" t="s">
        <v>18</v>
      </c>
      <c r="F203" t="s">
        <v>12</v>
      </c>
      <c r="J203" t="s">
        <v>13</v>
      </c>
    </row>
    <row r="204" spans="2:11" x14ac:dyDescent="0.25">
      <c r="D204" t="s">
        <v>14</v>
      </c>
      <c r="E204" t="s">
        <v>1</v>
      </c>
      <c r="F204" t="s">
        <v>3</v>
      </c>
      <c r="G204" t="s">
        <v>2</v>
      </c>
      <c r="I204" t="s">
        <v>1</v>
      </c>
      <c r="J204" t="s">
        <v>3</v>
      </c>
      <c r="K204" t="s">
        <v>2</v>
      </c>
    </row>
    <row r="205" spans="2:11" x14ac:dyDescent="0.25">
      <c r="C205" t="s">
        <v>320</v>
      </c>
    </row>
    <row r="207" spans="2:11" x14ac:dyDescent="0.25">
      <c r="C207" t="s">
        <v>36</v>
      </c>
      <c r="F207" t="s">
        <v>12</v>
      </c>
      <c r="J207" t="s">
        <v>13</v>
      </c>
    </row>
    <row r="208" spans="2:11" x14ac:dyDescent="0.25">
      <c r="D208" t="s">
        <v>14</v>
      </c>
      <c r="E208" t="s">
        <v>1</v>
      </c>
      <c r="F208" t="s">
        <v>3</v>
      </c>
      <c r="G208" t="s">
        <v>2</v>
      </c>
      <c r="I208" t="s">
        <v>1</v>
      </c>
      <c r="J208" t="s">
        <v>3</v>
      </c>
      <c r="K208" t="s">
        <v>2</v>
      </c>
    </row>
    <row r="209" spans="2:11" x14ac:dyDescent="0.25">
      <c r="C209" t="s">
        <v>320</v>
      </c>
    </row>
    <row r="211" spans="2:11" x14ac:dyDescent="0.25">
      <c r="B211" t="s">
        <v>38</v>
      </c>
      <c r="C211" t="s">
        <v>339</v>
      </c>
    </row>
    <row r="213" spans="2:11" x14ac:dyDescent="0.25">
      <c r="C213" t="s">
        <v>11</v>
      </c>
      <c r="F213" t="s">
        <v>12</v>
      </c>
      <c r="J213" t="s">
        <v>13</v>
      </c>
    </row>
    <row r="214" spans="2:11" x14ac:dyDescent="0.25">
      <c r="D214" t="s">
        <v>14</v>
      </c>
      <c r="E214" t="s">
        <v>1</v>
      </c>
      <c r="F214" t="s">
        <v>3</v>
      </c>
      <c r="G214" t="s">
        <v>2</v>
      </c>
      <c r="I214" t="s">
        <v>1</v>
      </c>
      <c r="J214" t="s">
        <v>3</v>
      </c>
      <c r="K214" t="s">
        <v>2</v>
      </c>
    </row>
    <row r="215" spans="2:11" x14ac:dyDescent="0.25">
      <c r="C215" t="s">
        <v>320</v>
      </c>
    </row>
    <row r="217" spans="2:11" x14ac:dyDescent="0.25">
      <c r="C217" t="s">
        <v>17</v>
      </c>
      <c r="F217" t="s">
        <v>12</v>
      </c>
      <c r="J217" t="s">
        <v>13</v>
      </c>
    </row>
    <row r="218" spans="2:11" x14ac:dyDescent="0.25">
      <c r="D218" t="s">
        <v>14</v>
      </c>
      <c r="E218" t="s">
        <v>1</v>
      </c>
      <c r="F218" t="s">
        <v>3</v>
      </c>
      <c r="G218" t="s">
        <v>2</v>
      </c>
      <c r="I218" t="s">
        <v>1</v>
      </c>
      <c r="J218" t="s">
        <v>3</v>
      </c>
      <c r="K218" t="s">
        <v>2</v>
      </c>
    </row>
    <row r="219" spans="2:11" x14ac:dyDescent="0.25">
      <c r="C219" t="s">
        <v>320</v>
      </c>
    </row>
    <row r="221" spans="2:11" x14ac:dyDescent="0.25">
      <c r="C221" t="s">
        <v>18</v>
      </c>
      <c r="F221" t="s">
        <v>12</v>
      </c>
      <c r="J221" t="s">
        <v>13</v>
      </c>
    </row>
    <row r="222" spans="2:11" x14ac:dyDescent="0.25">
      <c r="D222" t="s">
        <v>14</v>
      </c>
      <c r="E222" t="s">
        <v>1</v>
      </c>
      <c r="F222" t="s">
        <v>3</v>
      </c>
      <c r="G222" t="s">
        <v>2</v>
      </c>
      <c r="I222" t="s">
        <v>1</v>
      </c>
      <c r="J222" t="s">
        <v>3</v>
      </c>
      <c r="K222" t="s">
        <v>2</v>
      </c>
    </row>
    <row r="223" spans="2:11" x14ac:dyDescent="0.25">
      <c r="C223" t="s">
        <v>320</v>
      </c>
    </row>
    <row r="225" spans="1:11" x14ac:dyDescent="0.25">
      <c r="C225" t="s">
        <v>36</v>
      </c>
      <c r="F225" t="s">
        <v>12</v>
      </c>
      <c r="J225" t="s">
        <v>13</v>
      </c>
    </row>
    <row r="226" spans="1:11" x14ac:dyDescent="0.25">
      <c r="D226" t="s">
        <v>14</v>
      </c>
      <c r="E226" t="s">
        <v>1</v>
      </c>
      <c r="F226" t="s">
        <v>3</v>
      </c>
      <c r="G226" t="s">
        <v>2</v>
      </c>
      <c r="I226" t="s">
        <v>1</v>
      </c>
      <c r="J226" t="s">
        <v>3</v>
      </c>
      <c r="K226" t="s">
        <v>2</v>
      </c>
    </row>
    <row r="227" spans="1:11" x14ac:dyDescent="0.25">
      <c r="C227" t="s">
        <v>320</v>
      </c>
    </row>
    <row r="231" spans="1:11" x14ac:dyDescent="0.25">
      <c r="A231" t="s">
        <v>0</v>
      </c>
      <c r="B231" t="s">
        <v>46</v>
      </c>
    </row>
    <row r="233" spans="1:11" x14ac:dyDescent="0.25">
      <c r="B233" t="s">
        <v>10</v>
      </c>
      <c r="C233" t="s">
        <v>177</v>
      </c>
    </row>
    <row r="235" spans="1:11" x14ac:dyDescent="0.25">
      <c r="C235" t="s">
        <v>11</v>
      </c>
      <c r="F235" t="s">
        <v>12</v>
      </c>
      <c r="J235" t="s">
        <v>13</v>
      </c>
    </row>
    <row r="236" spans="1:11" x14ac:dyDescent="0.25">
      <c r="D236" t="s">
        <v>14</v>
      </c>
      <c r="E236" t="s">
        <v>1</v>
      </c>
      <c r="F236" t="s">
        <v>3</v>
      </c>
      <c r="G236" t="s">
        <v>2</v>
      </c>
      <c r="I236" t="s">
        <v>1</v>
      </c>
      <c r="J236" t="s">
        <v>3</v>
      </c>
      <c r="K236" t="s">
        <v>2</v>
      </c>
    </row>
    <row r="237" spans="1:11" x14ac:dyDescent="0.25">
      <c r="C237" t="s">
        <v>178</v>
      </c>
      <c r="D237" t="s">
        <v>71</v>
      </c>
      <c r="E237">
        <v>0.05</v>
      </c>
      <c r="F237">
        <v>0.03</v>
      </c>
      <c r="G237">
        <v>0.03</v>
      </c>
      <c r="I237" t="str">
        <f>"96/210"</f>
        <v>96/210</v>
      </c>
      <c r="J237" t="str">
        <f>"101/149"</f>
        <v>101/149</v>
      </c>
      <c r="K237" t="str">
        <f>"146/267"</f>
        <v>146/267</v>
      </c>
    </row>
    <row r="238" spans="1:11" x14ac:dyDescent="0.25">
      <c r="C238" t="s">
        <v>179</v>
      </c>
      <c r="D238" t="s">
        <v>72</v>
      </c>
      <c r="E238">
        <v>0.05</v>
      </c>
      <c r="F238">
        <v>0.03</v>
      </c>
      <c r="G238">
        <v>0.02</v>
      </c>
      <c r="I238" t="str">
        <f>"380/3293"</f>
        <v>380/3293</v>
      </c>
      <c r="J238" t="str">
        <f>"513/3971"</f>
        <v>513/3971</v>
      </c>
      <c r="K238" t="str">
        <f>"789/7558"</f>
        <v>789/7558</v>
      </c>
    </row>
    <row r="239" spans="1:11" x14ac:dyDescent="0.25">
      <c r="C239" t="s">
        <v>180</v>
      </c>
      <c r="D239" t="s">
        <v>56</v>
      </c>
      <c r="E239">
        <v>0.05</v>
      </c>
      <c r="F239">
        <v>0.03</v>
      </c>
      <c r="G239">
        <v>0.02</v>
      </c>
      <c r="I239" t="str">
        <f>"382/3769"</f>
        <v>382/3769</v>
      </c>
      <c r="J239" t="str">
        <f>"450/2681"</f>
        <v>450/2681</v>
      </c>
      <c r="K239" t="str">
        <f>"656/4695"</f>
        <v>656/4695</v>
      </c>
    </row>
    <row r="240" spans="1:11" x14ac:dyDescent="0.25">
      <c r="C240" t="s">
        <v>181</v>
      </c>
      <c r="D240" t="s">
        <v>62</v>
      </c>
      <c r="E240">
        <v>0.05</v>
      </c>
      <c r="F240">
        <v>0.03</v>
      </c>
      <c r="G240">
        <v>0.02</v>
      </c>
      <c r="I240" t="str">
        <f>"296/2187"</f>
        <v>296/2187</v>
      </c>
      <c r="J240" t="str">
        <f>"276/1029"</f>
        <v>276/1029</v>
      </c>
      <c r="K240" t="str">
        <f>"528/2663"</f>
        <v>528/2663</v>
      </c>
    </row>
    <row r="241" spans="3:11" x14ac:dyDescent="0.25">
      <c r="C241" t="s">
        <v>182</v>
      </c>
      <c r="D241" t="s">
        <v>47</v>
      </c>
      <c r="E241">
        <v>0.04</v>
      </c>
      <c r="F241">
        <v>0.03</v>
      </c>
      <c r="G241">
        <v>0.02</v>
      </c>
      <c r="I241" t="str">
        <f>"299/2002"</f>
        <v>299/2002</v>
      </c>
      <c r="J241" t="str">
        <f>"324/1657"</f>
        <v>324/1657</v>
      </c>
      <c r="K241" t="str">
        <f>"550/2791"</f>
        <v>550/2791</v>
      </c>
    </row>
    <row r="242" spans="3:11" x14ac:dyDescent="0.25">
      <c r="C242" t="s">
        <v>183</v>
      </c>
      <c r="D242" t="s">
        <v>77</v>
      </c>
      <c r="E242">
        <v>0.05</v>
      </c>
      <c r="F242">
        <v>0.03</v>
      </c>
      <c r="G242">
        <v>0.02</v>
      </c>
      <c r="I242" t="str">
        <f>"301/2209"</f>
        <v>301/2209</v>
      </c>
      <c r="J242" t="str">
        <f>"284/1055"</f>
        <v>284/1055</v>
      </c>
      <c r="K242" t="str">
        <f>"542/2767"</f>
        <v>542/2767</v>
      </c>
    </row>
    <row r="243" spans="3:11" x14ac:dyDescent="0.25">
      <c r="C243" t="s">
        <v>184</v>
      </c>
      <c r="D243" t="s">
        <v>48</v>
      </c>
      <c r="E243">
        <v>0.04</v>
      </c>
      <c r="F243">
        <v>0.03</v>
      </c>
      <c r="G243">
        <v>0.02</v>
      </c>
      <c r="I243" t="str">
        <f>"241/1227"</f>
        <v>241/1227</v>
      </c>
      <c r="J243" t="str">
        <f>"363/2059"</f>
        <v>363/2059</v>
      </c>
      <c r="K243" t="str">
        <f>"482/2079"</f>
        <v>482/2079</v>
      </c>
    </row>
    <row r="244" spans="3:11" x14ac:dyDescent="0.25">
      <c r="C244" t="s">
        <v>185</v>
      </c>
      <c r="D244" t="s">
        <v>55</v>
      </c>
      <c r="E244">
        <v>0.04</v>
      </c>
      <c r="F244">
        <v>0.03</v>
      </c>
      <c r="G244">
        <v>0.02</v>
      </c>
      <c r="I244" t="str">
        <f>"439/4231"</f>
        <v>439/4231</v>
      </c>
      <c r="J244" t="str">
        <f>"499/3192"</f>
        <v>499/3192</v>
      </c>
      <c r="K244" t="str">
        <f>"745/5815"</f>
        <v>745/5815</v>
      </c>
    </row>
    <row r="245" spans="3:11" x14ac:dyDescent="0.25">
      <c r="C245" t="s">
        <v>186</v>
      </c>
      <c r="D245" t="s">
        <v>64</v>
      </c>
      <c r="E245">
        <v>0.03</v>
      </c>
      <c r="F245">
        <v>0.03</v>
      </c>
      <c r="G245">
        <v>0.02</v>
      </c>
      <c r="I245" t="str">
        <f>"184/539"</f>
        <v>184/539</v>
      </c>
      <c r="J245" t="str">
        <f>"197/636"</f>
        <v>197/636</v>
      </c>
      <c r="K245" t="str">
        <f>"315/1194"</f>
        <v>315/1194</v>
      </c>
    </row>
    <row r="246" spans="3:11" x14ac:dyDescent="0.25">
      <c r="C246" t="s">
        <v>187</v>
      </c>
      <c r="D246" t="s">
        <v>57</v>
      </c>
      <c r="E246">
        <v>0.04</v>
      </c>
      <c r="F246">
        <v>0.03</v>
      </c>
      <c r="G246">
        <v>0.03</v>
      </c>
      <c r="I246" t="str">
        <f>"85/127"</f>
        <v>85/127</v>
      </c>
      <c r="J246" t="str">
        <f>"124/213"</f>
        <v>124/213</v>
      </c>
      <c r="K246" t="str">
        <f>"221/618"</f>
        <v>221/618</v>
      </c>
    </row>
    <row r="247" spans="3:11" x14ac:dyDescent="0.25">
      <c r="C247" t="s">
        <v>188</v>
      </c>
      <c r="D247" t="s">
        <v>63</v>
      </c>
      <c r="E247">
        <v>0.04</v>
      </c>
      <c r="F247">
        <v>0.03</v>
      </c>
      <c r="G247">
        <v>0.03</v>
      </c>
      <c r="I247" t="str">
        <f>"85/127"</f>
        <v>85/127</v>
      </c>
      <c r="J247" t="str">
        <f>"124/213"</f>
        <v>124/213</v>
      </c>
      <c r="K247" t="str">
        <f>"221/618"</f>
        <v>221/618</v>
      </c>
    </row>
    <row r="248" spans="3:11" x14ac:dyDescent="0.25">
      <c r="C248" t="s">
        <v>189</v>
      </c>
      <c r="D248" t="s">
        <v>50</v>
      </c>
      <c r="E248">
        <v>0.04</v>
      </c>
      <c r="F248">
        <v>0.03</v>
      </c>
      <c r="G248">
        <v>0.02</v>
      </c>
      <c r="I248" t="str">
        <f>"113/255"</f>
        <v>113/255</v>
      </c>
      <c r="J248" t="str">
        <f>"127/201"</f>
        <v>127/201</v>
      </c>
      <c r="K248" t="str">
        <f>"182/366"</f>
        <v>182/366</v>
      </c>
    </row>
    <row r="249" spans="3:11" x14ac:dyDescent="0.25">
      <c r="C249" t="s">
        <v>190</v>
      </c>
      <c r="D249" t="s">
        <v>60</v>
      </c>
      <c r="E249">
        <v>0.03</v>
      </c>
      <c r="F249">
        <v>0.03</v>
      </c>
      <c r="G249">
        <v>0.02</v>
      </c>
      <c r="I249" t="str">
        <f>"184/539"</f>
        <v>184/539</v>
      </c>
      <c r="J249" t="str">
        <f>"201/649"</f>
        <v>201/649</v>
      </c>
      <c r="K249" t="str">
        <f>"327/1238"</f>
        <v>327/1238</v>
      </c>
    </row>
    <row r="250" spans="3:11" x14ac:dyDescent="0.25">
      <c r="C250" t="s">
        <v>191</v>
      </c>
      <c r="D250" t="s">
        <v>70</v>
      </c>
      <c r="E250">
        <v>0.04</v>
      </c>
      <c r="F250">
        <v>0.02</v>
      </c>
      <c r="G250">
        <v>0.02</v>
      </c>
      <c r="I250" t="str">
        <f>"320/2209"</f>
        <v>320/2209</v>
      </c>
      <c r="J250" t="str">
        <f>"313/1181"</f>
        <v>313/1181</v>
      </c>
      <c r="K250" t="str">
        <f>"494/2423"</f>
        <v>494/2423</v>
      </c>
    </row>
    <row r="251" spans="3:11" x14ac:dyDescent="0.25">
      <c r="C251" t="s">
        <v>192</v>
      </c>
      <c r="D251" t="s">
        <v>61</v>
      </c>
      <c r="E251">
        <v>0.04</v>
      </c>
      <c r="F251">
        <v>0.02</v>
      </c>
      <c r="G251">
        <v>0.02</v>
      </c>
      <c r="I251" t="str">
        <f>"320/2209"</f>
        <v>320/2209</v>
      </c>
      <c r="J251" t="str">
        <f>"313/1181"</f>
        <v>313/1181</v>
      </c>
      <c r="K251" t="str">
        <f>"494/2423"</f>
        <v>494/2423</v>
      </c>
    </row>
    <row r="252" spans="3:11" x14ac:dyDescent="0.25">
      <c r="C252" t="s">
        <v>193</v>
      </c>
      <c r="D252" t="s">
        <v>52</v>
      </c>
      <c r="E252">
        <v>0.05</v>
      </c>
      <c r="F252">
        <v>0.02</v>
      </c>
      <c r="G252">
        <v>0.02</v>
      </c>
      <c r="I252" t="str">
        <f>"281/1942"</f>
        <v>281/1942</v>
      </c>
      <c r="J252" t="str">
        <f>"294/895"</f>
        <v>294/895</v>
      </c>
      <c r="K252" t="str">
        <f>"486/1951"</f>
        <v>486/1951</v>
      </c>
    </row>
    <row r="253" spans="3:11" x14ac:dyDescent="0.25">
      <c r="C253" t="s">
        <v>194</v>
      </c>
      <c r="D253" t="s">
        <v>59</v>
      </c>
      <c r="E253">
        <v>0.03</v>
      </c>
      <c r="F253">
        <v>0.03</v>
      </c>
      <c r="G253">
        <v>0.03</v>
      </c>
      <c r="I253" t="str">
        <f>"89/135"</f>
        <v>89/135</v>
      </c>
      <c r="J253" t="str">
        <f>"127/216"</f>
        <v>127/216</v>
      </c>
      <c r="K253" t="str">
        <f>"223/620"</f>
        <v>223/620</v>
      </c>
    </row>
    <row r="254" spans="3:11" x14ac:dyDescent="0.25">
      <c r="C254" t="s">
        <v>195</v>
      </c>
      <c r="D254" t="s">
        <v>54</v>
      </c>
      <c r="E254">
        <v>0.04</v>
      </c>
      <c r="F254">
        <v>0.03</v>
      </c>
      <c r="G254">
        <v>0.02</v>
      </c>
      <c r="I254" t="str">
        <f>"269/1402"</f>
        <v>269/1402</v>
      </c>
      <c r="J254" t="str">
        <f>"248/887"</f>
        <v>248/887</v>
      </c>
      <c r="K254" t="str">
        <f>"480/2018"</f>
        <v>480/2018</v>
      </c>
    </row>
    <row r="255" spans="3:11" x14ac:dyDescent="0.25">
      <c r="C255" t="s">
        <v>197</v>
      </c>
      <c r="D255" t="s">
        <v>49</v>
      </c>
      <c r="E255">
        <v>0.04</v>
      </c>
      <c r="F255">
        <v>0.02</v>
      </c>
      <c r="G255">
        <v>0.02</v>
      </c>
      <c r="I255" t="str">
        <f>"459/3687"</f>
        <v>459/3687</v>
      </c>
      <c r="J255" t="str">
        <f>"490/2964"</f>
        <v>490/2964</v>
      </c>
      <c r="K255" t="str">
        <f>"700/5785"</f>
        <v>700/5785</v>
      </c>
    </row>
    <row r="256" spans="3:11" x14ac:dyDescent="0.25">
      <c r="C256" t="s">
        <v>199</v>
      </c>
      <c r="D256" t="s">
        <v>69</v>
      </c>
      <c r="E256">
        <v>0.04</v>
      </c>
      <c r="F256">
        <v>0.02</v>
      </c>
      <c r="G256">
        <v>0.02</v>
      </c>
      <c r="I256" t="str">
        <f>"335/2290"</f>
        <v>335/2290</v>
      </c>
      <c r="J256" t="str">
        <f>"334/1294"</f>
        <v>334/1294</v>
      </c>
      <c r="K256" t="str">
        <f>"525/2607"</f>
        <v>525/2607</v>
      </c>
    </row>
    <row r="257" spans="3:11" x14ac:dyDescent="0.25">
      <c r="C257" t="s">
        <v>200</v>
      </c>
      <c r="D257" t="s">
        <v>67</v>
      </c>
      <c r="E257">
        <v>0.04</v>
      </c>
      <c r="F257">
        <v>0.02</v>
      </c>
      <c r="G257">
        <v>0.02</v>
      </c>
      <c r="I257" t="str">
        <f>"335/2290"</f>
        <v>335/2290</v>
      </c>
      <c r="J257" t="str">
        <f>"334/1294"</f>
        <v>334/1294</v>
      </c>
      <c r="K257" t="str">
        <f>"525/2607"</f>
        <v>525/2607</v>
      </c>
    </row>
    <row r="258" spans="3:11" x14ac:dyDescent="0.25">
      <c r="C258" t="s">
        <v>202</v>
      </c>
      <c r="D258" t="s">
        <v>65</v>
      </c>
      <c r="E258">
        <v>0.02</v>
      </c>
      <c r="F258">
        <v>0.03</v>
      </c>
      <c r="G258">
        <v>0.03</v>
      </c>
      <c r="I258" t="str">
        <f>"484/2887"</f>
        <v>484/2887</v>
      </c>
      <c r="J258" t="str">
        <f>"504/3786"</f>
        <v>504/3786</v>
      </c>
      <c r="K258" t="str">
        <f>"785/7703"</f>
        <v>785/7703</v>
      </c>
    </row>
    <row r="259" spans="3:11" x14ac:dyDescent="0.25">
      <c r="C259" t="s">
        <v>204</v>
      </c>
      <c r="D259" t="s">
        <v>58</v>
      </c>
      <c r="E259">
        <v>0.03</v>
      </c>
      <c r="F259">
        <v>0.02</v>
      </c>
      <c r="G259">
        <v>0.02</v>
      </c>
      <c r="I259" t="str">
        <f>"324/1528"</f>
        <v>324/1528</v>
      </c>
      <c r="J259" t="str">
        <f>"420/1979"</f>
        <v>420/1979</v>
      </c>
      <c r="K259" t="str">
        <f>"599/4051"</f>
        <v>599/4051</v>
      </c>
    </row>
    <row r="260" spans="3:11" x14ac:dyDescent="0.25">
      <c r="C260" t="s">
        <v>205</v>
      </c>
      <c r="D260" t="s">
        <v>75</v>
      </c>
      <c r="E260">
        <v>0.02</v>
      </c>
      <c r="F260">
        <v>0.02</v>
      </c>
      <c r="G260">
        <v>0.02</v>
      </c>
      <c r="I260" t="str">
        <f>"532/2497"</f>
        <v>532/2497</v>
      </c>
      <c r="J260" t="str">
        <f>"466/2700"</f>
        <v>466/2700</v>
      </c>
      <c r="K260" t="str">
        <f>"701/4426"</f>
        <v>701/4426</v>
      </c>
    </row>
    <row r="261" spans="3:11" x14ac:dyDescent="0.25">
      <c r="C261" t="s">
        <v>340</v>
      </c>
    </row>
    <row r="263" spans="3:11" x14ac:dyDescent="0.25">
      <c r="C263" t="s">
        <v>17</v>
      </c>
      <c r="F263" t="s">
        <v>12</v>
      </c>
      <c r="J263" t="s">
        <v>13</v>
      </c>
    </row>
    <row r="264" spans="3:11" x14ac:dyDescent="0.25">
      <c r="D264" t="s">
        <v>14</v>
      </c>
      <c r="E264" t="s">
        <v>1</v>
      </c>
      <c r="F264" t="s">
        <v>3</v>
      </c>
      <c r="G264" t="s">
        <v>2</v>
      </c>
      <c r="I264" t="s">
        <v>1</v>
      </c>
      <c r="J264" t="s">
        <v>3</v>
      </c>
      <c r="K264" t="s">
        <v>2</v>
      </c>
    </row>
    <row r="265" spans="3:11" x14ac:dyDescent="0.25">
      <c r="C265" t="s">
        <v>178</v>
      </c>
      <c r="D265" t="s">
        <v>86</v>
      </c>
      <c r="E265">
        <v>0.05</v>
      </c>
      <c r="F265">
        <v>0.05</v>
      </c>
      <c r="G265">
        <v>0.02</v>
      </c>
      <c r="I265" t="str">
        <f>"422/4348"</f>
        <v>422/4348</v>
      </c>
      <c r="J265" t="str">
        <f>"377/3680"</f>
        <v>377/3680</v>
      </c>
      <c r="K265" t="str">
        <f>"623/4301"</f>
        <v>623/4301</v>
      </c>
    </row>
    <row r="266" spans="3:11" x14ac:dyDescent="0.25">
      <c r="C266" t="s">
        <v>179</v>
      </c>
      <c r="D266" t="s">
        <v>82</v>
      </c>
      <c r="E266">
        <v>0.05</v>
      </c>
      <c r="F266">
        <v>0.04</v>
      </c>
      <c r="G266">
        <v>0.03</v>
      </c>
      <c r="I266" t="str">
        <f>"180/830"</f>
        <v>180/830</v>
      </c>
      <c r="J266" t="str">
        <f>"186/625"</f>
        <v>186/625</v>
      </c>
      <c r="K266" t="str">
        <f>"236/714"</f>
        <v>236/714</v>
      </c>
    </row>
    <row r="267" spans="3:11" x14ac:dyDescent="0.25">
      <c r="C267" t="s">
        <v>180</v>
      </c>
      <c r="D267" t="s">
        <v>78</v>
      </c>
      <c r="E267">
        <v>0.04</v>
      </c>
      <c r="F267">
        <v>0.05</v>
      </c>
      <c r="G267">
        <v>0.02</v>
      </c>
      <c r="I267" t="str">
        <f>"178/621"</f>
        <v>178/621</v>
      </c>
      <c r="J267" t="str">
        <f>"187/873"</f>
        <v>187/873</v>
      </c>
      <c r="K267" t="str">
        <f>"265/800"</f>
        <v>265/800</v>
      </c>
    </row>
    <row r="268" spans="3:11" x14ac:dyDescent="0.25">
      <c r="C268" t="s">
        <v>181</v>
      </c>
      <c r="D268" t="s">
        <v>83</v>
      </c>
      <c r="E268">
        <v>0.05</v>
      </c>
      <c r="F268">
        <v>0.04</v>
      </c>
      <c r="G268">
        <v>0.02</v>
      </c>
      <c r="I268" t="str">
        <f>"94/212"</f>
        <v>94/212</v>
      </c>
      <c r="J268" t="str">
        <f>"87/143"</f>
        <v>87/143</v>
      </c>
      <c r="K268" t="str">
        <f>"154/289"</f>
        <v>154/289</v>
      </c>
    </row>
    <row r="269" spans="3:11" x14ac:dyDescent="0.25">
      <c r="C269" t="s">
        <v>182</v>
      </c>
      <c r="D269" t="s">
        <v>79</v>
      </c>
      <c r="E269">
        <v>0.04</v>
      </c>
      <c r="F269">
        <v>0.05</v>
      </c>
      <c r="G269">
        <v>0.02</v>
      </c>
      <c r="I269" t="str">
        <f>"208/823"</f>
        <v>208/823</v>
      </c>
      <c r="J269" t="str">
        <f>"224/1150"</f>
        <v>224/1150</v>
      </c>
      <c r="K269" t="str">
        <f>"315/1102"</f>
        <v>315/1102</v>
      </c>
    </row>
    <row r="270" spans="3:11" x14ac:dyDescent="0.25">
      <c r="C270" t="s">
        <v>183</v>
      </c>
      <c r="D270" t="s">
        <v>85</v>
      </c>
      <c r="E270">
        <v>0.04</v>
      </c>
      <c r="F270">
        <v>0.04</v>
      </c>
      <c r="G270">
        <v>0.03</v>
      </c>
      <c r="I270" t="str">
        <f>"96/198"</f>
        <v>96/198</v>
      </c>
      <c r="J270" t="str">
        <f>"82/122"</f>
        <v>82/122</v>
      </c>
      <c r="K270" t="str">
        <f>"113/165"</f>
        <v>113/165</v>
      </c>
    </row>
    <row r="271" spans="3:11" x14ac:dyDescent="0.25">
      <c r="C271" t="s">
        <v>184</v>
      </c>
      <c r="D271" t="s">
        <v>88</v>
      </c>
      <c r="E271">
        <v>0.03</v>
      </c>
      <c r="F271">
        <v>0.05</v>
      </c>
      <c r="G271">
        <v>0.02</v>
      </c>
      <c r="I271" t="str">
        <f>"224/812"</f>
        <v>224/812</v>
      </c>
      <c r="J271" t="str">
        <f>"274/1716"</f>
        <v>274/1716</v>
      </c>
      <c r="K271" t="str">
        <f>"417/2162"</f>
        <v>417/2162</v>
      </c>
    </row>
    <row r="272" spans="3:11" x14ac:dyDescent="0.25">
      <c r="C272" t="s">
        <v>185</v>
      </c>
      <c r="D272" t="s">
        <v>74</v>
      </c>
      <c r="E272">
        <v>0.04</v>
      </c>
      <c r="F272">
        <v>0.03</v>
      </c>
      <c r="G272">
        <v>0.02</v>
      </c>
      <c r="I272" t="str">
        <f>"292/1701"</f>
        <v>292/1701</v>
      </c>
      <c r="J272" t="str">
        <f>"404/2727"</f>
        <v>404/2727</v>
      </c>
      <c r="K272" t="str">
        <f>"614/4563"</f>
        <v>614/4563</v>
      </c>
    </row>
    <row r="273" spans="3:11" x14ac:dyDescent="0.25">
      <c r="C273" t="s">
        <v>186</v>
      </c>
      <c r="D273" t="s">
        <v>89</v>
      </c>
      <c r="E273">
        <v>0.03</v>
      </c>
      <c r="F273">
        <v>0.04</v>
      </c>
      <c r="G273">
        <v>0.03</v>
      </c>
      <c r="I273" t="str">
        <f>"173/508"</f>
        <v>173/508</v>
      </c>
      <c r="J273" t="str">
        <f>"173/562"</f>
        <v>173/562</v>
      </c>
      <c r="K273" t="str">
        <f>"283/1013"</f>
        <v>283/1013</v>
      </c>
    </row>
    <row r="274" spans="3:11" x14ac:dyDescent="0.25">
      <c r="C274" t="s">
        <v>187</v>
      </c>
      <c r="D274" t="s">
        <v>84</v>
      </c>
      <c r="E274">
        <v>0.04</v>
      </c>
      <c r="F274">
        <v>0.04</v>
      </c>
      <c r="G274">
        <v>0.02</v>
      </c>
      <c r="I274" t="str">
        <f>"162/485"</f>
        <v>162/485</v>
      </c>
      <c r="J274" t="str">
        <f>"184/601"</f>
        <v>184/601</v>
      </c>
      <c r="K274" t="str">
        <f>"277/916"</f>
        <v>277/916</v>
      </c>
    </row>
    <row r="275" spans="3:11" x14ac:dyDescent="0.25">
      <c r="C275" t="s">
        <v>188</v>
      </c>
      <c r="D275" t="s">
        <v>341</v>
      </c>
      <c r="E275">
        <v>0.04</v>
      </c>
      <c r="F275">
        <v>0.03</v>
      </c>
      <c r="G275">
        <v>0.02</v>
      </c>
      <c r="I275" t="str">
        <f>"139/344"</f>
        <v>139/344</v>
      </c>
      <c r="J275" t="str">
        <f>"162/455"</f>
        <v>162/455</v>
      </c>
      <c r="K275" t="str">
        <f>"243/728"</f>
        <v>243/728</v>
      </c>
    </row>
    <row r="276" spans="3:11" x14ac:dyDescent="0.25">
      <c r="C276" t="s">
        <v>705</v>
      </c>
    </row>
    <row r="278" spans="3:11" x14ac:dyDescent="0.25">
      <c r="C278" t="s">
        <v>18</v>
      </c>
      <c r="F278" t="s">
        <v>12</v>
      </c>
      <c r="J278" t="s">
        <v>13</v>
      </c>
    </row>
    <row r="279" spans="3:11" x14ac:dyDescent="0.25">
      <c r="D279" t="s">
        <v>14</v>
      </c>
      <c r="E279" t="s">
        <v>1</v>
      </c>
      <c r="F279" t="s">
        <v>3</v>
      </c>
      <c r="G279" t="s">
        <v>2</v>
      </c>
      <c r="I279" t="s">
        <v>1</v>
      </c>
      <c r="J279" t="s">
        <v>3</v>
      </c>
      <c r="K279" t="s">
        <v>2</v>
      </c>
    </row>
    <row r="280" spans="3:11" x14ac:dyDescent="0.25">
      <c r="C280" t="s">
        <v>178</v>
      </c>
      <c r="D280" t="s">
        <v>76</v>
      </c>
      <c r="E280">
        <v>0.04</v>
      </c>
      <c r="F280">
        <v>0.03</v>
      </c>
      <c r="G280">
        <v>0.03</v>
      </c>
      <c r="I280" t="str">
        <f>"280/1470"</f>
        <v>280/1470</v>
      </c>
      <c r="J280" t="str">
        <f>"339/1721"</f>
        <v>339/1721</v>
      </c>
      <c r="K280" t="str">
        <f>"507/3548"</f>
        <v>507/3548</v>
      </c>
    </row>
    <row r="281" spans="3:11" x14ac:dyDescent="0.25">
      <c r="C281" t="s">
        <v>706</v>
      </c>
    </row>
    <row r="283" spans="3:11" x14ac:dyDescent="0.25">
      <c r="C283" t="s">
        <v>36</v>
      </c>
      <c r="F283" t="s">
        <v>12</v>
      </c>
      <c r="J283" t="s">
        <v>13</v>
      </c>
    </row>
    <row r="284" spans="3:11" x14ac:dyDescent="0.25">
      <c r="D284" t="s">
        <v>14</v>
      </c>
      <c r="E284" t="s">
        <v>1</v>
      </c>
      <c r="F284" t="s">
        <v>3</v>
      </c>
      <c r="G284" t="s">
        <v>2</v>
      </c>
      <c r="I284" t="s">
        <v>1</v>
      </c>
      <c r="J284" t="s">
        <v>3</v>
      </c>
      <c r="K284" t="s">
        <v>2</v>
      </c>
    </row>
    <row r="285" spans="3:11" x14ac:dyDescent="0.25">
      <c r="C285" t="s">
        <v>178</v>
      </c>
      <c r="D285" t="s">
        <v>94</v>
      </c>
      <c r="E285">
        <v>0.17</v>
      </c>
      <c r="F285">
        <v>0.03</v>
      </c>
      <c r="G285">
        <v>0.02</v>
      </c>
      <c r="I285" t="str">
        <f>"243/4938"</f>
        <v>243/4938</v>
      </c>
      <c r="J285" t="str">
        <f>"222/811"</f>
        <v>222/811</v>
      </c>
      <c r="K285" t="str">
        <f>"365/1455"</f>
        <v>365/1455</v>
      </c>
    </row>
    <row r="286" spans="3:11" x14ac:dyDescent="0.25">
      <c r="C286" t="s">
        <v>179</v>
      </c>
      <c r="D286" t="s">
        <v>105</v>
      </c>
      <c r="E286">
        <v>0.16</v>
      </c>
      <c r="F286">
        <v>0.03</v>
      </c>
      <c r="G286">
        <v>0.02</v>
      </c>
      <c r="I286" t="str">
        <f>"250/4950"</f>
        <v>250/4950</v>
      </c>
      <c r="J286" t="str">
        <f>"226/823"</f>
        <v>226/823</v>
      </c>
      <c r="K286" t="str">
        <f>"371/1474"</f>
        <v>371/1474</v>
      </c>
    </row>
    <row r="287" spans="3:11" x14ac:dyDescent="0.25">
      <c r="C287" t="s">
        <v>180</v>
      </c>
      <c r="D287" t="s">
        <v>101</v>
      </c>
      <c r="E287">
        <v>0.15</v>
      </c>
      <c r="F287">
        <v>0.03</v>
      </c>
      <c r="G287">
        <v>0.02</v>
      </c>
      <c r="I287" t="str">
        <f>"255/4992"</f>
        <v>255/4992</v>
      </c>
      <c r="J287" t="str">
        <f>"233/860"</f>
        <v>233/860</v>
      </c>
      <c r="K287" t="str">
        <f>"382/1552"</f>
        <v>382/1552</v>
      </c>
    </row>
    <row r="288" spans="3:11" x14ac:dyDescent="0.25">
      <c r="C288" t="s">
        <v>181</v>
      </c>
      <c r="D288" t="s">
        <v>99</v>
      </c>
      <c r="E288">
        <v>0.14000000000000001</v>
      </c>
      <c r="F288">
        <v>0.03</v>
      </c>
      <c r="G288">
        <v>0.02</v>
      </c>
      <c r="I288" t="str">
        <f>"266/5098"</f>
        <v>266/5098</v>
      </c>
      <c r="J288" t="str">
        <f>"245/912"</f>
        <v>245/912</v>
      </c>
      <c r="K288" t="str">
        <f>"397/1663"</f>
        <v>397/1663</v>
      </c>
    </row>
    <row r="289" spans="3:11" x14ac:dyDescent="0.25">
      <c r="C289" t="s">
        <v>182</v>
      </c>
      <c r="D289" t="s">
        <v>100</v>
      </c>
      <c r="E289">
        <v>0.13</v>
      </c>
      <c r="F289">
        <v>0.03</v>
      </c>
      <c r="G289">
        <v>0.02</v>
      </c>
      <c r="I289" t="str">
        <f>"283/5308"</f>
        <v>283/5308</v>
      </c>
      <c r="J289" t="str">
        <f>"258/1050"</f>
        <v>258/1050</v>
      </c>
      <c r="K289" t="str">
        <f>"417/1971"</f>
        <v>417/1971</v>
      </c>
    </row>
    <row r="290" spans="3:11" x14ac:dyDescent="0.25">
      <c r="C290" t="s">
        <v>183</v>
      </c>
      <c r="D290" t="s">
        <v>110</v>
      </c>
      <c r="E290">
        <v>0.13</v>
      </c>
      <c r="F290">
        <v>0.03</v>
      </c>
      <c r="G290">
        <v>0.02</v>
      </c>
      <c r="I290" t="str">
        <f>"284/5317"</f>
        <v>284/5317</v>
      </c>
      <c r="J290" t="str">
        <f>"260/1066"</f>
        <v>260/1066</v>
      </c>
      <c r="K290" t="str">
        <f>"422/2012"</f>
        <v>422/2012</v>
      </c>
    </row>
    <row r="291" spans="3:11" x14ac:dyDescent="0.25">
      <c r="C291" t="s">
        <v>184</v>
      </c>
      <c r="D291" t="s">
        <v>97</v>
      </c>
      <c r="E291">
        <v>0.12</v>
      </c>
      <c r="F291">
        <v>0.03</v>
      </c>
      <c r="G291">
        <v>0.02</v>
      </c>
      <c r="I291" t="str">
        <f>"296/5431"</f>
        <v>296/5431</v>
      </c>
      <c r="J291" t="str">
        <f>"270/1111"</f>
        <v>270/1111</v>
      </c>
      <c r="K291" t="str">
        <f>"435/2125"</f>
        <v>435/2125</v>
      </c>
    </row>
    <row r="292" spans="3:11" x14ac:dyDescent="0.25">
      <c r="C292" t="s">
        <v>185</v>
      </c>
      <c r="D292" t="s">
        <v>102</v>
      </c>
      <c r="E292">
        <v>0.12</v>
      </c>
      <c r="F292">
        <v>0.03</v>
      </c>
      <c r="G292">
        <v>0.02</v>
      </c>
      <c r="I292" t="str">
        <f>"311/5681"</f>
        <v>311/5681</v>
      </c>
      <c r="J292" t="str">
        <f>"339/1766"</f>
        <v>339/1766</v>
      </c>
      <c r="K292" t="str">
        <f>"547/3106"</f>
        <v>547/3106</v>
      </c>
    </row>
    <row r="293" spans="3:11" x14ac:dyDescent="0.25">
      <c r="C293" t="s">
        <v>186</v>
      </c>
      <c r="D293" t="s">
        <v>104</v>
      </c>
      <c r="E293">
        <v>0.11</v>
      </c>
      <c r="F293">
        <v>0.03</v>
      </c>
      <c r="G293">
        <v>0.02</v>
      </c>
      <c r="I293" t="str">
        <f>"250/3327"</f>
        <v>250/3327</v>
      </c>
      <c r="J293" t="str">
        <f>"239/944"</f>
        <v>239/944</v>
      </c>
      <c r="K293" t="str">
        <f>"418/2152"</f>
        <v>418/2152</v>
      </c>
    </row>
    <row r="294" spans="3:11" x14ac:dyDescent="0.25">
      <c r="C294" t="s">
        <v>187</v>
      </c>
      <c r="D294" t="s">
        <v>103</v>
      </c>
      <c r="E294">
        <v>0.1</v>
      </c>
      <c r="F294">
        <v>0.03</v>
      </c>
      <c r="G294">
        <v>0.03</v>
      </c>
      <c r="I294" t="str">
        <f>"455/10703"</f>
        <v>455/10703</v>
      </c>
      <c r="J294" t="str">
        <f>"421/2889"</f>
        <v>421/2889</v>
      </c>
      <c r="K294" t="str">
        <f>"677/5738"</f>
        <v>677/5738</v>
      </c>
    </row>
    <row r="295" spans="3:11" x14ac:dyDescent="0.25">
      <c r="C295" t="s">
        <v>188</v>
      </c>
      <c r="D295" t="s">
        <v>108</v>
      </c>
      <c r="E295">
        <v>0.09</v>
      </c>
      <c r="F295">
        <v>0.03</v>
      </c>
      <c r="G295">
        <v>0.02</v>
      </c>
      <c r="I295" t="str">
        <f>"51/115"</f>
        <v>51/115</v>
      </c>
      <c r="J295" t="str">
        <f>"86/107"</f>
        <v>86/107</v>
      </c>
      <c r="K295" t="str">
        <f>"149/275"</f>
        <v>149/275</v>
      </c>
    </row>
    <row r="296" spans="3:11" x14ac:dyDescent="0.25">
      <c r="C296" t="s">
        <v>189</v>
      </c>
      <c r="D296" t="s">
        <v>109</v>
      </c>
      <c r="E296">
        <v>0.09</v>
      </c>
      <c r="F296">
        <v>0.03</v>
      </c>
      <c r="G296">
        <v>0.02</v>
      </c>
      <c r="I296" t="str">
        <f>"272/3282"</f>
        <v>272/3282</v>
      </c>
      <c r="J296" t="str">
        <f>"296/1301"</f>
        <v>296/1301</v>
      </c>
      <c r="K296" t="str">
        <f>"507/2420"</f>
        <v>507/2420</v>
      </c>
    </row>
    <row r="297" spans="3:11" x14ac:dyDescent="0.25">
      <c r="C297" t="s">
        <v>190</v>
      </c>
      <c r="D297" t="s">
        <v>111</v>
      </c>
      <c r="E297">
        <v>7.0000000000000007E-2</v>
      </c>
      <c r="F297">
        <v>0.03</v>
      </c>
      <c r="G297">
        <v>0.02</v>
      </c>
      <c r="I297" t="str">
        <f>"298/3283"</f>
        <v>298/3283</v>
      </c>
      <c r="J297" t="str">
        <f>"311/1554"</f>
        <v>311/1554</v>
      </c>
      <c r="K297" t="str">
        <f>"509/2976"</f>
        <v>509/2976</v>
      </c>
    </row>
    <row r="298" spans="3:11" x14ac:dyDescent="0.25">
      <c r="C298" t="s">
        <v>191</v>
      </c>
      <c r="D298" t="s">
        <v>93</v>
      </c>
      <c r="E298">
        <v>7.0000000000000007E-2</v>
      </c>
      <c r="F298">
        <v>0.03</v>
      </c>
      <c r="G298">
        <v>0.02</v>
      </c>
      <c r="I298" t="str">
        <f>"225/1771"</f>
        <v>225/1771</v>
      </c>
      <c r="J298" t="str">
        <f>"255/1018"</f>
        <v>255/1018</v>
      </c>
      <c r="K298" t="str">
        <f>"401/1635"</f>
        <v>401/1635</v>
      </c>
    </row>
    <row r="299" spans="3:11" x14ac:dyDescent="0.25">
      <c r="C299" t="s">
        <v>192</v>
      </c>
      <c r="D299" t="s">
        <v>96</v>
      </c>
      <c r="E299">
        <v>7.0000000000000007E-2</v>
      </c>
      <c r="F299">
        <v>0.03</v>
      </c>
      <c r="G299">
        <v>0.02</v>
      </c>
      <c r="I299" t="str">
        <f>"174/1047"</f>
        <v>174/1047</v>
      </c>
      <c r="J299" t="str">
        <f>"303/1465"</f>
        <v>303/1465</v>
      </c>
      <c r="K299" t="str">
        <f>"354/1130"</f>
        <v>354/1130</v>
      </c>
    </row>
    <row r="300" spans="3:11" x14ac:dyDescent="0.25">
      <c r="C300" t="s">
        <v>193</v>
      </c>
      <c r="D300" t="s">
        <v>106</v>
      </c>
      <c r="E300">
        <v>7.0000000000000007E-2</v>
      </c>
      <c r="F300">
        <v>0.03</v>
      </c>
      <c r="G300">
        <v>0.02</v>
      </c>
      <c r="I300" t="str">
        <f>"174/1047"</f>
        <v>174/1047</v>
      </c>
      <c r="J300" t="str">
        <f>"303/1465"</f>
        <v>303/1465</v>
      </c>
      <c r="K300" t="str">
        <f>"354/1130"</f>
        <v>354/1130</v>
      </c>
    </row>
    <row r="301" spans="3:11" x14ac:dyDescent="0.25">
      <c r="C301" t="s">
        <v>194</v>
      </c>
      <c r="D301" t="s">
        <v>51</v>
      </c>
      <c r="E301">
        <v>0.06</v>
      </c>
      <c r="F301">
        <v>0.03</v>
      </c>
      <c r="G301">
        <v>0.03</v>
      </c>
      <c r="I301" t="str">
        <f>"82/192"</f>
        <v>82/192</v>
      </c>
      <c r="J301" t="str">
        <f>"85/118"</f>
        <v>85/118</v>
      </c>
      <c r="K301" t="str">
        <f>"126/197"</f>
        <v>126/197</v>
      </c>
    </row>
    <row r="302" spans="3:11" x14ac:dyDescent="0.25">
      <c r="C302" t="s">
        <v>195</v>
      </c>
      <c r="D302" t="s">
        <v>68</v>
      </c>
      <c r="E302">
        <v>0.06</v>
      </c>
      <c r="F302">
        <v>0.03</v>
      </c>
      <c r="G302">
        <v>0.02</v>
      </c>
      <c r="I302" t="str">
        <f>"189/1060"</f>
        <v>189/1060</v>
      </c>
      <c r="J302" t="str">
        <f>"318/1540"</f>
        <v>318/1540</v>
      </c>
      <c r="K302" t="str">
        <f>"373/1223"</f>
        <v>373/1223</v>
      </c>
    </row>
    <row r="303" spans="3:11" x14ac:dyDescent="0.25">
      <c r="C303" t="s">
        <v>197</v>
      </c>
      <c r="D303" t="s">
        <v>107</v>
      </c>
      <c r="E303">
        <v>0.06</v>
      </c>
      <c r="F303">
        <v>0.02</v>
      </c>
      <c r="G303">
        <v>0.02</v>
      </c>
      <c r="I303" t="str">
        <f>"337/3596"</f>
        <v>337/3596</v>
      </c>
      <c r="J303" t="str">
        <f>"430/2296"</f>
        <v>430/2296</v>
      </c>
      <c r="K303" t="str">
        <f>"575/3167"</f>
        <v>575/3167</v>
      </c>
    </row>
    <row r="304" spans="3:11" x14ac:dyDescent="0.25">
      <c r="C304" t="s">
        <v>199</v>
      </c>
      <c r="D304" t="s">
        <v>53</v>
      </c>
      <c r="E304">
        <v>0.06</v>
      </c>
      <c r="F304">
        <v>0.02</v>
      </c>
      <c r="G304">
        <v>0.02</v>
      </c>
      <c r="I304" t="str">
        <f>"174/895"</f>
        <v>174/895</v>
      </c>
      <c r="J304" t="str">
        <f>"244/640"</f>
        <v>244/640</v>
      </c>
      <c r="K304" t="str">
        <f>"284/796"</f>
        <v>284/796</v>
      </c>
    </row>
    <row r="305" spans="2:11" x14ac:dyDescent="0.25">
      <c r="C305" t="s">
        <v>200</v>
      </c>
      <c r="D305" t="s">
        <v>73</v>
      </c>
      <c r="E305">
        <v>0.05</v>
      </c>
      <c r="F305">
        <v>0.03</v>
      </c>
      <c r="G305">
        <v>0.02</v>
      </c>
      <c r="I305" t="str">
        <f>"285/2147"</f>
        <v>285/2147</v>
      </c>
      <c r="J305" t="str">
        <f>"269/972"</f>
        <v>269/972</v>
      </c>
      <c r="K305" t="str">
        <f>"503/2608"</f>
        <v>503/2608</v>
      </c>
    </row>
    <row r="306" spans="2:11" x14ac:dyDescent="0.25">
      <c r="C306" t="s">
        <v>202</v>
      </c>
      <c r="D306" t="s">
        <v>66</v>
      </c>
      <c r="E306">
        <v>0.05</v>
      </c>
      <c r="F306">
        <v>0.03</v>
      </c>
      <c r="G306">
        <v>0.02</v>
      </c>
      <c r="I306" t="str">
        <f>"286/2153"</f>
        <v>286/2153</v>
      </c>
      <c r="J306" t="str">
        <f>"269/974"</f>
        <v>269/974</v>
      </c>
      <c r="K306" t="str">
        <f>"503/2602"</f>
        <v>503/2602</v>
      </c>
    </row>
    <row r="307" spans="2:11" x14ac:dyDescent="0.25">
      <c r="C307" t="s">
        <v>342</v>
      </c>
    </row>
    <row r="309" spans="2:11" x14ac:dyDescent="0.25">
      <c r="B309" t="s">
        <v>37</v>
      </c>
      <c r="C309" t="s">
        <v>288</v>
      </c>
    </row>
    <row r="311" spans="2:11" x14ac:dyDescent="0.25">
      <c r="C311" t="s">
        <v>11</v>
      </c>
      <c r="F311" t="s">
        <v>12</v>
      </c>
      <c r="J311" t="s">
        <v>13</v>
      </c>
    </row>
    <row r="312" spans="2:11" x14ac:dyDescent="0.25">
      <c r="D312" t="s">
        <v>14</v>
      </c>
      <c r="E312" t="s">
        <v>1</v>
      </c>
      <c r="F312" t="s">
        <v>3</v>
      </c>
      <c r="G312" t="s">
        <v>2</v>
      </c>
      <c r="I312" t="s">
        <v>1</v>
      </c>
      <c r="J312" t="s">
        <v>3</v>
      </c>
      <c r="K312" t="s">
        <v>2</v>
      </c>
    </row>
    <row r="313" spans="2:11" x14ac:dyDescent="0.25">
      <c r="C313" t="s">
        <v>289</v>
      </c>
      <c r="D313" t="s">
        <v>126</v>
      </c>
      <c r="E313">
        <v>0.03</v>
      </c>
      <c r="F313">
        <v>0.03</v>
      </c>
      <c r="G313">
        <v>0.02</v>
      </c>
      <c r="I313" t="str">
        <f>"115/204"</f>
        <v>115/204</v>
      </c>
      <c r="J313" t="str">
        <f>"132/230"</f>
        <v>132/230</v>
      </c>
      <c r="K313" t="str">
        <f>"243/704"</f>
        <v>243/704</v>
      </c>
    </row>
    <row r="314" spans="2:11" x14ac:dyDescent="0.25">
      <c r="C314" t="s">
        <v>291</v>
      </c>
      <c r="D314" t="s">
        <v>123</v>
      </c>
      <c r="E314">
        <v>0.03</v>
      </c>
      <c r="F314">
        <v>0.03</v>
      </c>
      <c r="G314">
        <v>0.02</v>
      </c>
      <c r="I314" t="str">
        <f>"562/4378"</f>
        <v>562/4378</v>
      </c>
      <c r="J314" t="str">
        <f>"424/2632"</f>
        <v>424/2632</v>
      </c>
      <c r="K314" t="str">
        <f>"682/4929"</f>
        <v>682/4929</v>
      </c>
    </row>
    <row r="315" spans="2:11" x14ac:dyDescent="0.25">
      <c r="C315" t="s">
        <v>293</v>
      </c>
      <c r="D315" t="s">
        <v>115</v>
      </c>
      <c r="E315">
        <v>0.03</v>
      </c>
      <c r="F315">
        <v>0.03</v>
      </c>
      <c r="G315">
        <v>0.02</v>
      </c>
      <c r="I315" t="str">
        <f>"584/4563"</f>
        <v>584/4563</v>
      </c>
      <c r="J315" t="str">
        <f>"446/2821"</f>
        <v>446/2821</v>
      </c>
      <c r="K315" t="str">
        <f>"715/5351"</f>
        <v>715/5351</v>
      </c>
    </row>
    <row r="316" spans="2:11" x14ac:dyDescent="0.25">
      <c r="C316" t="s">
        <v>295</v>
      </c>
      <c r="D316" t="s">
        <v>120</v>
      </c>
      <c r="E316">
        <v>0.03</v>
      </c>
      <c r="F316">
        <v>0.03</v>
      </c>
      <c r="G316">
        <v>0.02</v>
      </c>
      <c r="I316" t="str">
        <f>"594/4599"</f>
        <v>594/4599</v>
      </c>
      <c r="J316" t="str">
        <f>"449/2870"</f>
        <v>449/2870</v>
      </c>
      <c r="K316" t="str">
        <f>"723/5435"</f>
        <v>723/5435</v>
      </c>
    </row>
    <row r="317" spans="2:11" x14ac:dyDescent="0.25">
      <c r="C317" t="s">
        <v>297</v>
      </c>
      <c r="D317" t="s">
        <v>119</v>
      </c>
      <c r="E317">
        <v>0.03</v>
      </c>
      <c r="F317">
        <v>0.03</v>
      </c>
      <c r="G317">
        <v>0.02</v>
      </c>
      <c r="I317" t="str">
        <f>"602/4639"</f>
        <v>602/4639</v>
      </c>
      <c r="J317" t="str">
        <f>"456/2942"</f>
        <v>456/2942</v>
      </c>
      <c r="K317" t="str">
        <f>"733/5530"</f>
        <v>733/5530</v>
      </c>
    </row>
    <row r="318" spans="2:11" x14ac:dyDescent="0.25">
      <c r="C318" t="s">
        <v>299</v>
      </c>
      <c r="D318" t="s">
        <v>128</v>
      </c>
      <c r="E318">
        <v>0.02</v>
      </c>
      <c r="F318">
        <v>0.03</v>
      </c>
      <c r="G318">
        <v>0.02</v>
      </c>
      <c r="I318" t="str">
        <f>"163/299"</f>
        <v>163/299</v>
      </c>
      <c r="J318" t="str">
        <f>"134/245"</f>
        <v>134/245</v>
      </c>
      <c r="K318" t="str">
        <f>"237/611"</f>
        <v>237/611</v>
      </c>
    </row>
    <row r="319" spans="2:11" x14ac:dyDescent="0.25">
      <c r="C319" t="s">
        <v>343</v>
      </c>
      <c r="D319" t="s">
        <v>121</v>
      </c>
      <c r="E319">
        <v>0.02</v>
      </c>
      <c r="F319">
        <v>0.03</v>
      </c>
      <c r="G319">
        <v>0.02</v>
      </c>
      <c r="I319" t="str">
        <f>"297/953"</f>
        <v>297/953</v>
      </c>
      <c r="J319" t="str">
        <f>"239/762"</f>
        <v>239/762</v>
      </c>
      <c r="K319" t="str">
        <f>"408/1844"</f>
        <v>408/1844</v>
      </c>
    </row>
    <row r="320" spans="2:11" x14ac:dyDescent="0.25">
      <c r="C320" t="s">
        <v>344</v>
      </c>
      <c r="D320" t="s">
        <v>125</v>
      </c>
      <c r="E320">
        <v>0.02</v>
      </c>
      <c r="F320">
        <v>0.02</v>
      </c>
      <c r="G320">
        <v>0.02</v>
      </c>
      <c r="I320" t="str">
        <f>"211/545"</f>
        <v>211/545</v>
      </c>
      <c r="J320" t="str">
        <f>"188/399"</f>
        <v>188/399</v>
      </c>
      <c r="K320" t="str">
        <f>"292/941"</f>
        <v>292/941</v>
      </c>
    </row>
    <row r="321" spans="3:11" x14ac:dyDescent="0.25">
      <c r="C321" t="s">
        <v>345</v>
      </c>
      <c r="D321" t="s">
        <v>124</v>
      </c>
      <c r="E321">
        <v>0.02</v>
      </c>
      <c r="F321">
        <v>0.03</v>
      </c>
      <c r="G321">
        <v>0.02</v>
      </c>
      <c r="I321" t="str">
        <f>"563/3399"</f>
        <v>563/3399</v>
      </c>
      <c r="J321" t="str">
        <f>"442/2888"</f>
        <v>442/2888</v>
      </c>
      <c r="K321" t="str">
        <f>"666/3999"</f>
        <v>666/3999</v>
      </c>
    </row>
    <row r="322" spans="3:11" x14ac:dyDescent="0.25">
      <c r="C322" t="s">
        <v>346</v>
      </c>
      <c r="D322" t="s">
        <v>117</v>
      </c>
      <c r="E322">
        <v>0.02</v>
      </c>
      <c r="F322">
        <v>0.02</v>
      </c>
      <c r="G322">
        <v>0.01</v>
      </c>
      <c r="I322" t="str">
        <f>"619/3251"</f>
        <v>619/3251</v>
      </c>
      <c r="J322" t="str">
        <f>"468/1885"</f>
        <v>468/1885</v>
      </c>
      <c r="K322" t="str">
        <f>"695/3414"</f>
        <v>695/3414</v>
      </c>
    </row>
    <row r="323" spans="3:11" x14ac:dyDescent="0.25">
      <c r="C323" t="s">
        <v>347</v>
      </c>
    </row>
    <row r="325" spans="3:11" x14ac:dyDescent="0.25">
      <c r="C325" t="s">
        <v>17</v>
      </c>
      <c r="F325" t="s">
        <v>12</v>
      </c>
      <c r="J325" t="s">
        <v>13</v>
      </c>
    </row>
    <row r="326" spans="3:11" x14ac:dyDescent="0.25">
      <c r="D326" t="s">
        <v>14</v>
      </c>
      <c r="E326" t="s">
        <v>1</v>
      </c>
      <c r="F326" t="s">
        <v>3</v>
      </c>
      <c r="G326" t="s">
        <v>2</v>
      </c>
      <c r="I326" t="s">
        <v>1</v>
      </c>
      <c r="J326" t="s">
        <v>3</v>
      </c>
      <c r="K326" t="s">
        <v>2</v>
      </c>
    </row>
    <row r="327" spans="3:11" x14ac:dyDescent="0.25">
      <c r="C327" t="s">
        <v>289</v>
      </c>
      <c r="D327" t="s">
        <v>130</v>
      </c>
      <c r="E327">
        <v>0.03</v>
      </c>
      <c r="F327">
        <v>0.04</v>
      </c>
      <c r="G327">
        <v>0.02</v>
      </c>
      <c r="I327" t="str">
        <f>"278/1056"</f>
        <v>278/1056</v>
      </c>
      <c r="J327" t="str">
        <f>"250/1234"</f>
        <v>250/1234</v>
      </c>
      <c r="K327" t="str">
        <f>"357/1331"</f>
        <v>357/1331</v>
      </c>
    </row>
    <row r="328" spans="3:11" x14ac:dyDescent="0.25">
      <c r="C328" t="s">
        <v>291</v>
      </c>
      <c r="D328" t="s">
        <v>348</v>
      </c>
      <c r="E328">
        <v>0.03</v>
      </c>
      <c r="F328">
        <v>0.04</v>
      </c>
      <c r="G328">
        <v>0.02</v>
      </c>
      <c r="I328" t="str">
        <f>"337/1494"</f>
        <v>337/1494</v>
      </c>
      <c r="J328" t="str">
        <f>"297/1573"</f>
        <v>297/1573</v>
      </c>
      <c r="K328" t="str">
        <f>"414/2042"</f>
        <v>414/2042</v>
      </c>
    </row>
    <row r="329" spans="3:11" x14ac:dyDescent="0.25">
      <c r="C329" t="s">
        <v>293</v>
      </c>
      <c r="D329" t="s">
        <v>349</v>
      </c>
      <c r="E329">
        <v>0.03</v>
      </c>
      <c r="F329">
        <v>0.04</v>
      </c>
      <c r="G329">
        <v>0.02</v>
      </c>
      <c r="I329" t="str">
        <f>"295/1096"</f>
        <v>295/1096</v>
      </c>
      <c r="J329" t="str">
        <f>"232/965"</f>
        <v>232/965</v>
      </c>
      <c r="K329" t="str">
        <f>"351/1418"</f>
        <v>351/1418</v>
      </c>
    </row>
    <row r="330" spans="3:11" x14ac:dyDescent="0.25">
      <c r="C330" t="s">
        <v>295</v>
      </c>
      <c r="D330" t="s">
        <v>127</v>
      </c>
      <c r="E330">
        <v>0.03</v>
      </c>
      <c r="F330">
        <v>0.03</v>
      </c>
      <c r="G330">
        <v>0.02</v>
      </c>
      <c r="I330" t="str">
        <f>"481/3264"</f>
        <v>481/3264</v>
      </c>
      <c r="J330" t="str">
        <f>"351/1942"</f>
        <v>351/1942</v>
      </c>
      <c r="K330" t="str">
        <f>"514/2926"</f>
        <v>514/2926</v>
      </c>
    </row>
    <row r="331" spans="3:11" x14ac:dyDescent="0.25">
      <c r="C331" t="s">
        <v>297</v>
      </c>
      <c r="D331" t="s">
        <v>113</v>
      </c>
      <c r="E331">
        <v>0.02</v>
      </c>
      <c r="F331">
        <v>0.03</v>
      </c>
      <c r="G331">
        <v>0.02</v>
      </c>
      <c r="I331" t="str">
        <f>"307/1146"</f>
        <v>307/1146</v>
      </c>
      <c r="J331" t="str">
        <f>"244/1016"</f>
        <v>244/1016</v>
      </c>
      <c r="K331" t="str">
        <f>"368/1485"</f>
        <v>368/1485</v>
      </c>
    </row>
    <row r="332" spans="3:11" x14ac:dyDescent="0.25">
      <c r="C332" t="s">
        <v>299</v>
      </c>
      <c r="D332" t="s">
        <v>114</v>
      </c>
      <c r="E332">
        <v>0.02</v>
      </c>
      <c r="F332">
        <v>0.03</v>
      </c>
      <c r="G332">
        <v>0.02</v>
      </c>
      <c r="I332" t="str">
        <f>"437/2197"</f>
        <v>437/2197</v>
      </c>
      <c r="J332" t="str">
        <f>"353/2050"</f>
        <v>353/2050</v>
      </c>
      <c r="K332" t="str">
        <f>"540/2676"</f>
        <v>540/2676</v>
      </c>
    </row>
    <row r="333" spans="3:11" x14ac:dyDescent="0.25">
      <c r="C333" t="s">
        <v>350</v>
      </c>
    </row>
    <row r="335" spans="3:11" x14ac:dyDescent="0.25">
      <c r="C335" t="s">
        <v>18</v>
      </c>
      <c r="F335" t="s">
        <v>12</v>
      </c>
      <c r="J335" t="s">
        <v>13</v>
      </c>
    </row>
    <row r="336" spans="3:11" x14ac:dyDescent="0.25">
      <c r="D336" t="s">
        <v>14</v>
      </c>
      <c r="E336" t="s">
        <v>1</v>
      </c>
      <c r="F336" t="s">
        <v>3</v>
      </c>
      <c r="G336" t="s">
        <v>2</v>
      </c>
      <c r="I336" t="s">
        <v>1</v>
      </c>
      <c r="J336" t="s">
        <v>3</v>
      </c>
      <c r="K336" t="s">
        <v>2</v>
      </c>
    </row>
    <row r="337" spans="2:11" x14ac:dyDescent="0.25">
      <c r="C337" t="s">
        <v>289</v>
      </c>
      <c r="D337" t="s">
        <v>118</v>
      </c>
      <c r="E337">
        <v>0.03</v>
      </c>
      <c r="F337">
        <v>0.03</v>
      </c>
      <c r="G337">
        <v>0.02</v>
      </c>
      <c r="I337" t="str">
        <f>"164/350"</f>
        <v>164/350</v>
      </c>
      <c r="J337" t="str">
        <f>"140/267"</f>
        <v>140/267</v>
      </c>
      <c r="K337" t="str">
        <f>"236/684"</f>
        <v>236/684</v>
      </c>
    </row>
    <row r="338" spans="2:11" x14ac:dyDescent="0.25">
      <c r="C338" t="s">
        <v>291</v>
      </c>
      <c r="D338" t="s">
        <v>116</v>
      </c>
      <c r="E338">
        <v>0.02</v>
      </c>
      <c r="F338">
        <v>0.03</v>
      </c>
      <c r="G338">
        <v>0.03</v>
      </c>
      <c r="I338" t="str">
        <f>"373/1522"</f>
        <v>373/1522</v>
      </c>
      <c r="J338" t="str">
        <f>"256/934"</f>
        <v>256/934</v>
      </c>
      <c r="K338" t="str">
        <f>"419/2335"</f>
        <v>419/2335</v>
      </c>
    </row>
    <row r="339" spans="2:11" x14ac:dyDescent="0.25">
      <c r="C339" t="s">
        <v>707</v>
      </c>
    </row>
    <row r="341" spans="2:11" x14ac:dyDescent="0.25">
      <c r="C341" t="s">
        <v>36</v>
      </c>
      <c r="F341" t="s">
        <v>12</v>
      </c>
      <c r="J341" t="s">
        <v>13</v>
      </c>
    </row>
    <row r="342" spans="2:11" x14ac:dyDescent="0.25">
      <c r="D342" t="s">
        <v>14</v>
      </c>
      <c r="E342" t="s">
        <v>1</v>
      </c>
      <c r="F342" t="s">
        <v>3</v>
      </c>
      <c r="G342" t="s">
        <v>2</v>
      </c>
      <c r="I342" t="s">
        <v>1</v>
      </c>
      <c r="J342" t="s">
        <v>3</v>
      </c>
      <c r="K342" t="s">
        <v>2</v>
      </c>
    </row>
    <row r="343" spans="2:11" x14ac:dyDescent="0.25">
      <c r="C343" t="s">
        <v>351</v>
      </c>
    </row>
    <row r="345" spans="2:11" x14ac:dyDescent="0.25">
      <c r="B345" t="s">
        <v>38</v>
      </c>
      <c r="C345" t="s">
        <v>310</v>
      </c>
    </row>
    <row r="347" spans="2:11" x14ac:dyDescent="0.25">
      <c r="C347" t="s">
        <v>11</v>
      </c>
      <c r="F347" t="s">
        <v>12</v>
      </c>
      <c r="J347" t="s">
        <v>13</v>
      </c>
    </row>
    <row r="348" spans="2:11" x14ac:dyDescent="0.25">
      <c r="D348" t="s">
        <v>14</v>
      </c>
      <c r="E348" t="s">
        <v>1</v>
      </c>
      <c r="F348" t="s">
        <v>3</v>
      </c>
      <c r="G348" t="s">
        <v>2</v>
      </c>
      <c r="I348" t="s">
        <v>1</v>
      </c>
      <c r="J348" t="s">
        <v>3</v>
      </c>
      <c r="K348" t="s">
        <v>2</v>
      </c>
    </row>
    <row r="349" spans="2:11" x14ac:dyDescent="0.25">
      <c r="C349" t="s">
        <v>311</v>
      </c>
      <c r="D349" t="s">
        <v>134</v>
      </c>
      <c r="E349">
        <v>0.03</v>
      </c>
      <c r="F349">
        <v>0.03</v>
      </c>
      <c r="G349">
        <v>0.03</v>
      </c>
      <c r="I349" t="str">
        <f>"377/2211"</f>
        <v>377/2211</v>
      </c>
      <c r="J349" t="str">
        <f>"485/3688"</f>
        <v>485/3688</v>
      </c>
      <c r="K349" t="str">
        <f>"763/7416"</f>
        <v>763/7416</v>
      </c>
    </row>
    <row r="350" spans="2:11" x14ac:dyDescent="0.25">
      <c r="C350" t="s">
        <v>312</v>
      </c>
      <c r="D350" t="s">
        <v>138</v>
      </c>
      <c r="E350">
        <v>0.03</v>
      </c>
      <c r="F350">
        <v>0.03</v>
      </c>
      <c r="G350">
        <v>0.03</v>
      </c>
      <c r="I350" t="str">
        <f>"384/2242"</f>
        <v>384/2242</v>
      </c>
      <c r="J350" t="str">
        <f>"488/3722"</f>
        <v>488/3722</v>
      </c>
      <c r="K350" t="str">
        <f>"768/7472"</f>
        <v>768/7472</v>
      </c>
    </row>
    <row r="351" spans="2:11" x14ac:dyDescent="0.25">
      <c r="C351" t="s">
        <v>313</v>
      </c>
      <c r="D351" t="s">
        <v>135</v>
      </c>
      <c r="E351">
        <v>0.02</v>
      </c>
      <c r="F351">
        <v>0.03</v>
      </c>
      <c r="G351">
        <v>0.02</v>
      </c>
      <c r="I351" t="str">
        <f>"421/2147"</f>
        <v>421/2147</v>
      </c>
      <c r="J351" t="str">
        <f>"439/2551"</f>
        <v>439/2551</v>
      </c>
      <c r="K351" t="str">
        <f>"635/3757"</f>
        <v>635/3757</v>
      </c>
    </row>
    <row r="352" spans="2:11" x14ac:dyDescent="0.25">
      <c r="C352" t="s">
        <v>314</v>
      </c>
      <c r="D352" t="s">
        <v>137</v>
      </c>
      <c r="E352">
        <v>0.02</v>
      </c>
      <c r="F352">
        <v>0.03</v>
      </c>
      <c r="G352">
        <v>0.02</v>
      </c>
      <c r="I352" t="str">
        <f>"613/3370"</f>
        <v>613/3370</v>
      </c>
      <c r="J352" t="str">
        <f>"479/2953"</f>
        <v>479/2953</v>
      </c>
      <c r="K352" t="str">
        <f>"745/5225"</f>
        <v>745/5225</v>
      </c>
    </row>
    <row r="353" spans="3:11" x14ac:dyDescent="0.25">
      <c r="C353" t="s">
        <v>352</v>
      </c>
    </row>
    <row r="355" spans="3:11" x14ac:dyDescent="0.25">
      <c r="C355" t="s">
        <v>17</v>
      </c>
      <c r="F355" t="s">
        <v>12</v>
      </c>
      <c r="J355" t="s">
        <v>13</v>
      </c>
    </row>
    <row r="356" spans="3:11" x14ac:dyDescent="0.25">
      <c r="D356" t="s">
        <v>14</v>
      </c>
      <c r="E356" t="s">
        <v>1</v>
      </c>
      <c r="F356" t="s">
        <v>3</v>
      </c>
      <c r="G356" t="s">
        <v>2</v>
      </c>
      <c r="I356" t="s">
        <v>1</v>
      </c>
      <c r="J356" t="s">
        <v>3</v>
      </c>
      <c r="K356" t="s">
        <v>2</v>
      </c>
    </row>
    <row r="357" spans="3:11" x14ac:dyDescent="0.25">
      <c r="C357" t="s">
        <v>311</v>
      </c>
      <c r="D357" t="s">
        <v>136</v>
      </c>
      <c r="E357">
        <v>0.03</v>
      </c>
      <c r="F357">
        <v>0.04</v>
      </c>
      <c r="G357">
        <v>0.03</v>
      </c>
      <c r="I357" t="str">
        <f>"157/337"</f>
        <v>157/337</v>
      </c>
      <c r="J357" t="str">
        <f>"180/684"</f>
        <v>180/684</v>
      </c>
      <c r="K357" t="str">
        <f>"300/1450"</f>
        <v>300/1450</v>
      </c>
    </row>
    <row r="358" spans="3:11" x14ac:dyDescent="0.25">
      <c r="C358" t="s">
        <v>708</v>
      </c>
    </row>
    <row r="360" spans="3:11" x14ac:dyDescent="0.25">
      <c r="C360" t="s">
        <v>18</v>
      </c>
      <c r="F360" t="s">
        <v>12</v>
      </c>
      <c r="J360" t="s">
        <v>13</v>
      </c>
    </row>
    <row r="361" spans="3:11" x14ac:dyDescent="0.25">
      <c r="D361" t="s">
        <v>14</v>
      </c>
      <c r="E361" t="s">
        <v>1</v>
      </c>
      <c r="F361" t="s">
        <v>3</v>
      </c>
      <c r="G361" t="s">
        <v>2</v>
      </c>
      <c r="I361" t="s">
        <v>1</v>
      </c>
      <c r="J361" t="s">
        <v>3</v>
      </c>
      <c r="K361" t="s">
        <v>2</v>
      </c>
    </row>
    <row r="362" spans="3:11" x14ac:dyDescent="0.25">
      <c r="C362" t="s">
        <v>320</v>
      </c>
    </row>
    <row r="364" spans="3:11" x14ac:dyDescent="0.25">
      <c r="C364" t="s">
        <v>36</v>
      </c>
      <c r="F364" t="s">
        <v>12</v>
      </c>
      <c r="J364" t="s">
        <v>13</v>
      </c>
    </row>
    <row r="365" spans="3:11" x14ac:dyDescent="0.25">
      <c r="D365" t="s">
        <v>14</v>
      </c>
      <c r="E365" t="s">
        <v>1</v>
      </c>
      <c r="F365" t="s">
        <v>3</v>
      </c>
      <c r="G365" t="s">
        <v>2</v>
      </c>
      <c r="I365" t="s">
        <v>1</v>
      </c>
      <c r="J365" t="s">
        <v>3</v>
      </c>
      <c r="K365" t="s">
        <v>2</v>
      </c>
    </row>
    <row r="366" spans="3:11" x14ac:dyDescent="0.25">
      <c r="C366" t="s">
        <v>320</v>
      </c>
    </row>
    <row r="370" spans="1:11" x14ac:dyDescent="0.25">
      <c r="A370" t="s">
        <v>4</v>
      </c>
      <c r="B370" t="s">
        <v>46</v>
      </c>
    </row>
    <row r="372" spans="1:11" x14ac:dyDescent="0.25">
      <c r="B372" t="s">
        <v>10</v>
      </c>
      <c r="C372" t="s">
        <v>686</v>
      </c>
    </row>
    <row r="374" spans="1:11" x14ac:dyDescent="0.25">
      <c r="C374" t="s">
        <v>11</v>
      </c>
      <c r="F374" t="s">
        <v>12</v>
      </c>
      <c r="J374" t="s">
        <v>13</v>
      </c>
    </row>
    <row r="375" spans="1:11" x14ac:dyDescent="0.25">
      <c r="D375" t="s">
        <v>14</v>
      </c>
      <c r="E375" t="s">
        <v>1</v>
      </c>
      <c r="F375" t="s">
        <v>3</v>
      </c>
      <c r="G375" t="s">
        <v>2</v>
      </c>
      <c r="I375" t="s">
        <v>1</v>
      </c>
      <c r="J375" t="s">
        <v>3</v>
      </c>
      <c r="K375" t="s">
        <v>2</v>
      </c>
    </row>
    <row r="376" spans="1:11" x14ac:dyDescent="0.25">
      <c r="C376" t="s">
        <v>687</v>
      </c>
      <c r="D376" t="s">
        <v>154</v>
      </c>
      <c r="E376">
        <v>0.02</v>
      </c>
      <c r="F376">
        <v>0.02</v>
      </c>
      <c r="G376">
        <v>0.01</v>
      </c>
      <c r="I376" t="str">
        <f>"197/328"</f>
        <v>197/328</v>
      </c>
      <c r="J376" t="str">
        <f>"137/143"</f>
        <v>137/143</v>
      </c>
      <c r="K376" t="str">
        <f>"159/156"</f>
        <v>159/156</v>
      </c>
    </row>
    <row r="377" spans="1:11" x14ac:dyDescent="0.25">
      <c r="C377" t="s">
        <v>689</v>
      </c>
      <c r="D377" t="s">
        <v>148</v>
      </c>
      <c r="E377">
        <v>0.02</v>
      </c>
      <c r="F377">
        <v>0.02</v>
      </c>
      <c r="G377">
        <v>0.01</v>
      </c>
      <c r="I377" t="str">
        <f>"235/435"</f>
        <v>235/435</v>
      </c>
      <c r="J377" t="str">
        <f>"125/124"</f>
        <v>125/124</v>
      </c>
      <c r="K377" t="str">
        <f>"196/196"</f>
        <v>196/196</v>
      </c>
    </row>
    <row r="378" spans="1:11" x14ac:dyDescent="0.25">
      <c r="C378" t="s">
        <v>691</v>
      </c>
      <c r="D378" t="s">
        <v>155</v>
      </c>
      <c r="E378">
        <v>0.01</v>
      </c>
      <c r="F378">
        <v>0.01</v>
      </c>
      <c r="G378">
        <v>0.01</v>
      </c>
      <c r="I378" t="str">
        <f>"245/368"</f>
        <v>245/368</v>
      </c>
      <c r="J378" t="str">
        <f>"134/132"</f>
        <v>134/132</v>
      </c>
      <c r="K378" t="str">
        <f>"155/154"</f>
        <v>155/154</v>
      </c>
    </row>
    <row r="379" spans="1:11" x14ac:dyDescent="0.25">
      <c r="C379" t="s">
        <v>693</v>
      </c>
      <c r="D379" t="s">
        <v>149</v>
      </c>
      <c r="E379">
        <v>0.01</v>
      </c>
      <c r="F379">
        <v>0.01</v>
      </c>
      <c r="G379">
        <v>0.01</v>
      </c>
      <c r="I379" t="str">
        <f>"245/368"</f>
        <v>245/368</v>
      </c>
      <c r="J379" t="str">
        <f>"134/132"</f>
        <v>134/132</v>
      </c>
      <c r="K379" t="str">
        <f>"155/154"</f>
        <v>155/154</v>
      </c>
    </row>
    <row r="380" spans="1:11" x14ac:dyDescent="0.25">
      <c r="C380" t="s">
        <v>694</v>
      </c>
      <c r="D380" t="s">
        <v>145</v>
      </c>
      <c r="E380">
        <v>0.02</v>
      </c>
      <c r="F380">
        <v>0.02</v>
      </c>
      <c r="G380">
        <v>0.01</v>
      </c>
      <c r="I380" t="str">
        <f>"236/447"</f>
        <v>236/447</v>
      </c>
      <c r="J380" t="str">
        <f>"208/364"</f>
        <v>208/364</v>
      </c>
      <c r="K380" t="str">
        <f>"364/597"</f>
        <v>364/597</v>
      </c>
    </row>
    <row r="381" spans="1:11" x14ac:dyDescent="0.25">
      <c r="C381" t="s">
        <v>696</v>
      </c>
      <c r="D381" t="s">
        <v>147</v>
      </c>
      <c r="E381">
        <v>0.01</v>
      </c>
      <c r="F381">
        <v>0.01</v>
      </c>
      <c r="G381">
        <v>0.01</v>
      </c>
      <c r="I381" t="str">
        <f>"287/553"</f>
        <v>287/553</v>
      </c>
      <c r="J381" t="str">
        <f>"174/179"</f>
        <v>174/179</v>
      </c>
      <c r="K381" t="str">
        <f>"271/462"</f>
        <v>271/462</v>
      </c>
    </row>
    <row r="382" spans="1:11" x14ac:dyDescent="0.25">
      <c r="C382" t="s">
        <v>697</v>
      </c>
      <c r="D382" t="s">
        <v>144</v>
      </c>
      <c r="E382">
        <v>0.01</v>
      </c>
      <c r="F382">
        <v>0.02</v>
      </c>
      <c r="G382">
        <v>0.01</v>
      </c>
      <c r="I382" t="str">
        <f>"246/458"</f>
        <v>246/458</v>
      </c>
      <c r="J382" t="str">
        <f>"218/378"</f>
        <v>218/378</v>
      </c>
      <c r="K382" t="str">
        <f>"395/659"</f>
        <v>395/659</v>
      </c>
    </row>
    <row r="383" spans="1:11" x14ac:dyDescent="0.25">
      <c r="C383" t="s">
        <v>698</v>
      </c>
      <c r="D383" t="s">
        <v>143</v>
      </c>
      <c r="E383">
        <v>0.01</v>
      </c>
      <c r="F383">
        <v>0.02</v>
      </c>
      <c r="G383">
        <v>0.01</v>
      </c>
      <c r="I383" t="str">
        <f>"295/393"</f>
        <v>295/393</v>
      </c>
      <c r="J383" t="str">
        <f>"165/206"</f>
        <v>165/206</v>
      </c>
      <c r="K383" t="str">
        <f>"265/413"</f>
        <v>265/413</v>
      </c>
    </row>
    <row r="384" spans="1:11" x14ac:dyDescent="0.25">
      <c r="C384" t="s">
        <v>699</v>
      </c>
      <c r="D384" t="s">
        <v>142</v>
      </c>
      <c r="E384">
        <v>0.01</v>
      </c>
      <c r="F384">
        <v>0.02</v>
      </c>
      <c r="G384">
        <v>0.01</v>
      </c>
      <c r="I384" t="str">
        <f>"295/393"</f>
        <v>295/393</v>
      </c>
      <c r="J384" t="str">
        <f>"165/206"</f>
        <v>165/206</v>
      </c>
      <c r="K384" t="str">
        <f>"266/415"</f>
        <v>266/415</v>
      </c>
    </row>
    <row r="385" spans="3:11" x14ac:dyDescent="0.25">
      <c r="C385" t="s">
        <v>700</v>
      </c>
      <c r="D385" t="s">
        <v>153</v>
      </c>
      <c r="E385">
        <v>0.01</v>
      </c>
      <c r="F385">
        <v>0.01</v>
      </c>
      <c r="G385">
        <v>0.01</v>
      </c>
      <c r="I385" t="str">
        <f>"240/291"</f>
        <v>240/291</v>
      </c>
      <c r="J385" t="str">
        <f>"139/135"</f>
        <v>139/135</v>
      </c>
      <c r="K385" t="str">
        <f>"204/230"</f>
        <v>204/230</v>
      </c>
    </row>
    <row r="386" spans="3:11" x14ac:dyDescent="0.25">
      <c r="C386" t="s">
        <v>701</v>
      </c>
      <c r="D386" t="s">
        <v>156</v>
      </c>
      <c r="E386">
        <v>0.01</v>
      </c>
      <c r="F386">
        <v>0.01</v>
      </c>
      <c r="G386">
        <v>0.01</v>
      </c>
      <c r="I386" t="str">
        <f>"302/447"</f>
        <v>302/447</v>
      </c>
      <c r="J386" t="str">
        <f>"215/336"</f>
        <v>215/336</v>
      </c>
      <c r="K386" t="str">
        <f>"258/313"</f>
        <v>258/313</v>
      </c>
    </row>
    <row r="387" spans="3:11" x14ac:dyDescent="0.25">
      <c r="C387" t="s">
        <v>702</v>
      </c>
      <c r="D387" t="s">
        <v>151</v>
      </c>
      <c r="E387">
        <v>0.01</v>
      </c>
      <c r="F387">
        <v>0.01</v>
      </c>
      <c r="G387">
        <v>0.01</v>
      </c>
      <c r="I387" t="str">
        <f>"303/448"</f>
        <v>303/448</v>
      </c>
      <c r="J387" t="str">
        <f>"216/337"</f>
        <v>216/337</v>
      </c>
      <c r="K387" t="str">
        <f>"263/320"</f>
        <v>263/320</v>
      </c>
    </row>
    <row r="388" spans="3:11" x14ac:dyDescent="0.25">
      <c r="C388" t="s">
        <v>533</v>
      </c>
    </row>
    <row r="390" spans="3:11" x14ac:dyDescent="0.25">
      <c r="C390" t="s">
        <v>17</v>
      </c>
      <c r="F390" t="s">
        <v>12</v>
      </c>
      <c r="J390" t="s">
        <v>13</v>
      </c>
    </row>
    <row r="391" spans="3:11" x14ac:dyDescent="0.25">
      <c r="D391" t="s">
        <v>14</v>
      </c>
      <c r="E391" t="s">
        <v>1</v>
      </c>
      <c r="F391" t="s">
        <v>3</v>
      </c>
      <c r="G391" t="s">
        <v>2</v>
      </c>
      <c r="I391" t="s">
        <v>1</v>
      </c>
      <c r="J391" t="s">
        <v>3</v>
      </c>
      <c r="K391" t="s">
        <v>2</v>
      </c>
    </row>
    <row r="392" spans="3:11" x14ac:dyDescent="0.25">
      <c r="C392" t="s">
        <v>687</v>
      </c>
      <c r="D392" t="s">
        <v>164</v>
      </c>
      <c r="E392">
        <v>0.01</v>
      </c>
      <c r="F392">
        <v>0.02</v>
      </c>
      <c r="G392">
        <v>0.01</v>
      </c>
      <c r="I392" t="str">
        <f>"240/401"</f>
        <v>240/401</v>
      </c>
      <c r="J392" t="str">
        <f>"107/140"</f>
        <v>107/140</v>
      </c>
      <c r="K392" t="str">
        <f>"281/527"</f>
        <v>281/527</v>
      </c>
    </row>
    <row r="393" spans="3:11" x14ac:dyDescent="0.25">
      <c r="C393" t="s">
        <v>689</v>
      </c>
      <c r="D393" t="s">
        <v>709</v>
      </c>
      <c r="E393">
        <v>0.02</v>
      </c>
      <c r="F393">
        <v>0.02</v>
      </c>
      <c r="G393">
        <v>0.01</v>
      </c>
      <c r="I393" t="str">
        <f>"169/273"</f>
        <v>169/273</v>
      </c>
      <c r="J393" t="str">
        <f>"154/273"</f>
        <v>154/273</v>
      </c>
      <c r="K393" t="str">
        <f>"256/415"</f>
        <v>256/415</v>
      </c>
    </row>
    <row r="394" spans="3:11" x14ac:dyDescent="0.25">
      <c r="C394" t="s">
        <v>691</v>
      </c>
      <c r="D394" t="s">
        <v>165</v>
      </c>
      <c r="E394">
        <v>0.02</v>
      </c>
      <c r="F394">
        <v>0.02</v>
      </c>
      <c r="G394">
        <v>0.01</v>
      </c>
      <c r="I394" t="str">
        <f>"169/273"</f>
        <v>169/273</v>
      </c>
      <c r="J394" t="str">
        <f>"154/273"</f>
        <v>154/273</v>
      </c>
      <c r="K394" t="str">
        <f>"256/415"</f>
        <v>256/415</v>
      </c>
    </row>
    <row r="395" spans="3:11" x14ac:dyDescent="0.25">
      <c r="C395" t="s">
        <v>693</v>
      </c>
      <c r="D395" t="s">
        <v>166</v>
      </c>
      <c r="E395">
        <v>0.02</v>
      </c>
      <c r="F395">
        <v>0.02</v>
      </c>
      <c r="G395">
        <v>0.01</v>
      </c>
      <c r="I395" t="str">
        <f>"172/277"</f>
        <v>172/277</v>
      </c>
      <c r="J395" t="str">
        <f>"155/274"</f>
        <v>155/274</v>
      </c>
      <c r="K395" t="str">
        <f>"264/430"</f>
        <v>264/430</v>
      </c>
    </row>
    <row r="396" spans="3:11" x14ac:dyDescent="0.25">
      <c r="C396" t="s">
        <v>694</v>
      </c>
      <c r="D396" t="s">
        <v>168</v>
      </c>
      <c r="E396">
        <v>0.02</v>
      </c>
      <c r="F396">
        <v>0.02</v>
      </c>
      <c r="G396">
        <v>0.01</v>
      </c>
      <c r="I396" t="str">
        <f>"174/278"</f>
        <v>174/278</v>
      </c>
      <c r="J396" t="str">
        <f>"156/276"</f>
        <v>156/276</v>
      </c>
      <c r="K396" t="str">
        <f>"265/433"</f>
        <v>265/433</v>
      </c>
    </row>
    <row r="397" spans="3:11" x14ac:dyDescent="0.25">
      <c r="C397" t="s">
        <v>696</v>
      </c>
      <c r="D397" t="s">
        <v>159</v>
      </c>
      <c r="E397">
        <v>0.01</v>
      </c>
      <c r="F397">
        <v>0.02</v>
      </c>
      <c r="G397">
        <v>0.01</v>
      </c>
      <c r="I397" t="str">
        <f>"190/248"</f>
        <v>190/248</v>
      </c>
      <c r="J397" t="str">
        <f>"103/121"</f>
        <v>103/121</v>
      </c>
      <c r="K397" t="str">
        <f>"262/442"</f>
        <v>262/442</v>
      </c>
    </row>
    <row r="398" spans="3:11" x14ac:dyDescent="0.25">
      <c r="C398" t="s">
        <v>697</v>
      </c>
      <c r="D398" t="s">
        <v>161</v>
      </c>
      <c r="E398">
        <v>0.02</v>
      </c>
      <c r="F398">
        <v>0.02</v>
      </c>
      <c r="G398">
        <v>0.01</v>
      </c>
      <c r="I398" t="str">
        <f>"171/278"</f>
        <v>171/278</v>
      </c>
      <c r="J398" t="str">
        <f>"161/281"</f>
        <v>161/281</v>
      </c>
      <c r="K398" t="str">
        <f>"268/435"</f>
        <v>268/435</v>
      </c>
    </row>
    <row r="399" spans="3:11" x14ac:dyDescent="0.25">
      <c r="C399" t="s">
        <v>698</v>
      </c>
      <c r="D399" t="s">
        <v>170</v>
      </c>
      <c r="E399">
        <v>0.02</v>
      </c>
      <c r="F399">
        <v>0.02</v>
      </c>
      <c r="G399">
        <v>0.01</v>
      </c>
      <c r="I399" t="str">
        <f>"171/278"</f>
        <v>171/278</v>
      </c>
      <c r="J399" t="str">
        <f>"161/281"</f>
        <v>161/281</v>
      </c>
      <c r="K399" t="str">
        <f>"268/435"</f>
        <v>268/435</v>
      </c>
    </row>
    <row r="400" spans="3:11" x14ac:dyDescent="0.25">
      <c r="C400" t="s">
        <v>699</v>
      </c>
      <c r="D400" t="s">
        <v>158</v>
      </c>
      <c r="E400">
        <v>0.01</v>
      </c>
      <c r="F400">
        <v>0.02</v>
      </c>
      <c r="G400">
        <v>0.01</v>
      </c>
      <c r="I400" t="str">
        <f>"268/449"</f>
        <v>268/449</v>
      </c>
      <c r="J400" t="str">
        <f>"116/154"</f>
        <v>116/154</v>
      </c>
      <c r="K400" t="str">
        <f>"303/566"</f>
        <v>303/566</v>
      </c>
    </row>
    <row r="401" spans="2:11" x14ac:dyDescent="0.25">
      <c r="C401" t="s">
        <v>700</v>
      </c>
      <c r="D401" t="s">
        <v>162</v>
      </c>
      <c r="E401">
        <v>0.02</v>
      </c>
      <c r="F401">
        <v>0.02</v>
      </c>
      <c r="G401">
        <v>0.01</v>
      </c>
      <c r="I401" t="str">
        <f>"176/282"</f>
        <v>176/282</v>
      </c>
      <c r="J401" t="str">
        <f>"167/291"</f>
        <v>167/291</v>
      </c>
      <c r="K401" t="str">
        <f>"272/442"</f>
        <v>272/442</v>
      </c>
    </row>
    <row r="402" spans="2:11" x14ac:dyDescent="0.25">
      <c r="C402" t="s">
        <v>701</v>
      </c>
      <c r="D402" t="s">
        <v>160</v>
      </c>
      <c r="E402">
        <v>0.02</v>
      </c>
      <c r="F402">
        <v>0.02</v>
      </c>
      <c r="G402">
        <v>0.01</v>
      </c>
      <c r="I402" t="str">
        <f>"178/284"</f>
        <v>178/284</v>
      </c>
      <c r="J402" t="str">
        <f>"167/291"</f>
        <v>167/291</v>
      </c>
      <c r="K402" t="str">
        <f>"275/447"</f>
        <v>275/447</v>
      </c>
    </row>
    <row r="403" spans="2:11" x14ac:dyDescent="0.25">
      <c r="C403" t="s">
        <v>702</v>
      </c>
      <c r="D403" t="s">
        <v>150</v>
      </c>
      <c r="E403">
        <v>0.02</v>
      </c>
      <c r="F403">
        <v>0.02</v>
      </c>
      <c r="G403">
        <v>0.01</v>
      </c>
      <c r="I403" t="str">
        <f>"192/310"</f>
        <v>192/310</v>
      </c>
      <c r="J403" t="str">
        <f>"183/316"</f>
        <v>183/316</v>
      </c>
      <c r="K403" t="str">
        <f>"301/487"</f>
        <v>301/487</v>
      </c>
    </row>
    <row r="404" spans="2:11" x14ac:dyDescent="0.25">
      <c r="C404" t="s">
        <v>710</v>
      </c>
      <c r="D404" t="s">
        <v>146</v>
      </c>
      <c r="E404">
        <v>0.02</v>
      </c>
      <c r="F404">
        <v>0.02</v>
      </c>
      <c r="G404">
        <v>0.01</v>
      </c>
      <c r="I404" t="str">
        <f>"219/415"</f>
        <v>219/415</v>
      </c>
      <c r="J404" t="str">
        <f>"189/335"</f>
        <v>189/335</v>
      </c>
      <c r="K404" t="str">
        <f>"330/536"</f>
        <v>330/536</v>
      </c>
    </row>
    <row r="405" spans="2:11" x14ac:dyDescent="0.25">
      <c r="C405" t="s">
        <v>711</v>
      </c>
      <c r="D405" t="s">
        <v>95</v>
      </c>
      <c r="E405">
        <v>0.01</v>
      </c>
      <c r="F405">
        <v>0.02</v>
      </c>
      <c r="G405">
        <v>0.01</v>
      </c>
      <c r="I405" t="str">
        <f>"180/243"</f>
        <v>180/243</v>
      </c>
      <c r="J405" t="str">
        <f>"161/236"</f>
        <v>161/236</v>
      </c>
      <c r="K405" t="str">
        <f>"351/647"</f>
        <v>351/647</v>
      </c>
    </row>
    <row r="406" spans="2:11" x14ac:dyDescent="0.25">
      <c r="C406" t="s">
        <v>675</v>
      </c>
    </row>
    <row r="408" spans="2:11" x14ac:dyDescent="0.25">
      <c r="C408" t="s">
        <v>18</v>
      </c>
      <c r="F408" t="s">
        <v>12</v>
      </c>
      <c r="J408" t="s">
        <v>13</v>
      </c>
    </row>
    <row r="409" spans="2:11" x14ac:dyDescent="0.25">
      <c r="D409" t="s">
        <v>14</v>
      </c>
      <c r="E409" t="s">
        <v>1</v>
      </c>
      <c r="F409" t="s">
        <v>3</v>
      </c>
      <c r="G409" t="s">
        <v>2</v>
      </c>
      <c r="I409" t="s">
        <v>1</v>
      </c>
      <c r="J409" t="s">
        <v>3</v>
      </c>
      <c r="K409" t="s">
        <v>2</v>
      </c>
    </row>
    <row r="410" spans="2:11" x14ac:dyDescent="0.25">
      <c r="C410" t="s">
        <v>354</v>
      </c>
    </row>
    <row r="412" spans="2:11" x14ac:dyDescent="0.25">
      <c r="C412" t="s">
        <v>36</v>
      </c>
      <c r="F412" t="s">
        <v>12</v>
      </c>
      <c r="J412" t="s">
        <v>13</v>
      </c>
    </row>
    <row r="413" spans="2:11" x14ac:dyDescent="0.25">
      <c r="D413" t="s">
        <v>14</v>
      </c>
      <c r="E413" t="s">
        <v>1</v>
      </c>
      <c r="F413" t="s">
        <v>3</v>
      </c>
      <c r="G413" t="s">
        <v>2</v>
      </c>
      <c r="I413" t="s">
        <v>1</v>
      </c>
      <c r="J413" t="s">
        <v>3</v>
      </c>
      <c r="K413" t="s">
        <v>2</v>
      </c>
    </row>
    <row r="414" spans="2:11" x14ac:dyDescent="0.25">
      <c r="C414" t="s">
        <v>354</v>
      </c>
    </row>
    <row r="416" spans="2:11" x14ac:dyDescent="0.25">
      <c r="B416" t="s">
        <v>37</v>
      </c>
      <c r="C416" t="s">
        <v>338</v>
      </c>
    </row>
    <row r="418" spans="3:11" x14ac:dyDescent="0.25">
      <c r="C418" t="s">
        <v>11</v>
      </c>
      <c r="F418" t="s">
        <v>12</v>
      </c>
      <c r="J418" t="s">
        <v>13</v>
      </c>
    </row>
    <row r="419" spans="3:11" x14ac:dyDescent="0.25">
      <c r="D419" t="s">
        <v>14</v>
      </c>
      <c r="E419" t="s">
        <v>1</v>
      </c>
      <c r="F419" t="s">
        <v>3</v>
      </c>
      <c r="G419" t="s">
        <v>2</v>
      </c>
      <c r="I419" t="s">
        <v>1</v>
      </c>
      <c r="J419" t="s">
        <v>3</v>
      </c>
      <c r="K419" t="s">
        <v>2</v>
      </c>
    </row>
    <row r="420" spans="3:11" x14ac:dyDescent="0.25">
      <c r="C420" t="s">
        <v>320</v>
      </c>
    </row>
    <row r="422" spans="3:11" x14ac:dyDescent="0.25">
      <c r="C422" t="s">
        <v>17</v>
      </c>
      <c r="F422" t="s">
        <v>12</v>
      </c>
      <c r="J422" t="s">
        <v>13</v>
      </c>
    </row>
    <row r="423" spans="3:11" x14ac:dyDescent="0.25">
      <c r="D423" t="s">
        <v>14</v>
      </c>
      <c r="E423" t="s">
        <v>1</v>
      </c>
      <c r="F423" t="s">
        <v>3</v>
      </c>
      <c r="G423" t="s">
        <v>2</v>
      </c>
      <c r="I423" t="s">
        <v>1</v>
      </c>
      <c r="J423" t="s">
        <v>3</v>
      </c>
      <c r="K423" t="s">
        <v>2</v>
      </c>
    </row>
    <row r="424" spans="3:11" x14ac:dyDescent="0.25">
      <c r="C424" t="s">
        <v>176</v>
      </c>
      <c r="D424" t="s">
        <v>128</v>
      </c>
      <c r="E424">
        <v>0.03</v>
      </c>
      <c r="F424">
        <v>0.03</v>
      </c>
      <c r="G424">
        <v>0.02</v>
      </c>
      <c r="I424" t="str">
        <f>"124/297"</f>
        <v>124/297</v>
      </c>
      <c r="J424" t="str">
        <f>"99/246"</f>
        <v>99/246</v>
      </c>
      <c r="K424" t="str">
        <f>"189/478"</f>
        <v>189/478</v>
      </c>
    </row>
    <row r="425" spans="3:11" x14ac:dyDescent="0.25">
      <c r="C425" t="s">
        <v>712</v>
      </c>
    </row>
    <row r="427" spans="3:11" x14ac:dyDescent="0.25">
      <c r="C427" t="s">
        <v>18</v>
      </c>
      <c r="F427" t="s">
        <v>12</v>
      </c>
      <c r="J427" t="s">
        <v>13</v>
      </c>
    </row>
    <row r="428" spans="3:11" x14ac:dyDescent="0.25">
      <c r="D428" t="s">
        <v>14</v>
      </c>
      <c r="E428" t="s">
        <v>1</v>
      </c>
      <c r="F428" t="s">
        <v>3</v>
      </c>
      <c r="G428" t="s">
        <v>2</v>
      </c>
      <c r="I428" t="s">
        <v>1</v>
      </c>
      <c r="J428" t="s">
        <v>3</v>
      </c>
      <c r="K428" t="s">
        <v>2</v>
      </c>
    </row>
    <row r="429" spans="3:11" x14ac:dyDescent="0.25">
      <c r="C429" t="s">
        <v>320</v>
      </c>
    </row>
    <row r="431" spans="3:11" x14ac:dyDescent="0.25">
      <c r="C431" t="s">
        <v>36</v>
      </c>
      <c r="F431" t="s">
        <v>12</v>
      </c>
      <c r="J431" t="s">
        <v>13</v>
      </c>
    </row>
    <row r="432" spans="3:11" x14ac:dyDescent="0.25">
      <c r="D432" t="s">
        <v>14</v>
      </c>
      <c r="E432" t="s">
        <v>1</v>
      </c>
      <c r="F432" t="s">
        <v>3</v>
      </c>
      <c r="G432" t="s">
        <v>2</v>
      </c>
      <c r="I432" t="s">
        <v>1</v>
      </c>
      <c r="J432" t="s">
        <v>3</v>
      </c>
      <c r="K432" t="s">
        <v>2</v>
      </c>
    </row>
    <row r="433" spans="2:11" x14ac:dyDescent="0.25">
      <c r="C433" t="s">
        <v>320</v>
      </c>
    </row>
    <row r="435" spans="2:11" x14ac:dyDescent="0.25">
      <c r="B435" t="s">
        <v>38</v>
      </c>
      <c r="C435" t="s">
        <v>339</v>
      </c>
    </row>
    <row r="437" spans="2:11" x14ac:dyDescent="0.25">
      <c r="C437" t="s">
        <v>11</v>
      </c>
      <c r="F437" t="s">
        <v>12</v>
      </c>
      <c r="J437" t="s">
        <v>13</v>
      </c>
    </row>
    <row r="438" spans="2:11" x14ac:dyDescent="0.25">
      <c r="D438" t="s">
        <v>14</v>
      </c>
      <c r="E438" t="s">
        <v>1</v>
      </c>
      <c r="F438" t="s">
        <v>3</v>
      </c>
      <c r="G438" t="s">
        <v>2</v>
      </c>
      <c r="I438" t="s">
        <v>1</v>
      </c>
      <c r="J438" t="s">
        <v>3</v>
      </c>
      <c r="K438" t="s">
        <v>2</v>
      </c>
    </row>
    <row r="439" spans="2:11" x14ac:dyDescent="0.25">
      <c r="C439" t="s">
        <v>320</v>
      </c>
    </row>
    <row r="441" spans="2:11" x14ac:dyDescent="0.25">
      <c r="C441" t="s">
        <v>17</v>
      </c>
      <c r="F441" t="s">
        <v>12</v>
      </c>
      <c r="J441" t="s">
        <v>13</v>
      </c>
    </row>
    <row r="442" spans="2:11" x14ac:dyDescent="0.25">
      <c r="D442" t="s">
        <v>14</v>
      </c>
      <c r="E442" t="s">
        <v>1</v>
      </c>
      <c r="F442" t="s">
        <v>3</v>
      </c>
      <c r="G442" t="s">
        <v>2</v>
      </c>
      <c r="I442" t="s">
        <v>1</v>
      </c>
      <c r="J442" t="s">
        <v>3</v>
      </c>
      <c r="K442" t="s">
        <v>2</v>
      </c>
    </row>
    <row r="443" spans="2:11" x14ac:dyDescent="0.25">
      <c r="C443" t="s">
        <v>320</v>
      </c>
    </row>
    <row r="445" spans="2:11" x14ac:dyDescent="0.25">
      <c r="C445" t="s">
        <v>18</v>
      </c>
      <c r="F445" t="s">
        <v>12</v>
      </c>
      <c r="J445" t="s">
        <v>13</v>
      </c>
    </row>
    <row r="446" spans="2:11" x14ac:dyDescent="0.25">
      <c r="D446" t="s">
        <v>14</v>
      </c>
      <c r="E446" t="s">
        <v>1</v>
      </c>
      <c r="F446" t="s">
        <v>3</v>
      </c>
      <c r="G446" t="s">
        <v>2</v>
      </c>
      <c r="I446" t="s">
        <v>1</v>
      </c>
      <c r="J446" t="s">
        <v>3</v>
      </c>
      <c r="K446" t="s">
        <v>2</v>
      </c>
    </row>
    <row r="447" spans="2:11" x14ac:dyDescent="0.25">
      <c r="C447" t="s">
        <v>320</v>
      </c>
    </row>
    <row r="449" spans="3:11" x14ac:dyDescent="0.25">
      <c r="C449" t="s">
        <v>36</v>
      </c>
      <c r="F449" t="s">
        <v>12</v>
      </c>
      <c r="J449" t="s">
        <v>13</v>
      </c>
    </row>
    <row r="450" spans="3:11" x14ac:dyDescent="0.25">
      <c r="D450" t="s">
        <v>14</v>
      </c>
      <c r="E450" t="s">
        <v>1</v>
      </c>
      <c r="F450" t="s">
        <v>3</v>
      </c>
      <c r="G450" t="s">
        <v>2</v>
      </c>
      <c r="I450" t="s">
        <v>1</v>
      </c>
      <c r="J450" t="s">
        <v>3</v>
      </c>
      <c r="K450" t="s">
        <v>2</v>
      </c>
    </row>
    <row r="451" spans="3:11" x14ac:dyDescent="0.25">
      <c r="C451" t="s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3"/>
  <sheetViews>
    <sheetView workbookViewId="0">
      <selection activeCell="C22" sqref="C22"/>
    </sheetView>
  </sheetViews>
  <sheetFormatPr defaultColWidth="17.42578125" defaultRowHeight="15" x14ac:dyDescent="0.25"/>
  <cols>
    <col min="1" max="1" width="6.5703125" bestFit="1" customWidth="1"/>
    <col min="2" max="2" width="20.5703125" bestFit="1" customWidth="1"/>
    <col min="3" max="3" width="19.85546875" customWidth="1"/>
    <col min="4" max="4" width="90.42578125" bestFit="1" customWidth="1"/>
    <col min="5" max="7" width="7" bestFit="1" customWidth="1"/>
    <col min="9" max="9" width="9.85546875" bestFit="1" customWidth="1"/>
    <col min="10" max="10" width="14.7109375" bestFit="1" customWidth="1"/>
    <col min="11" max="11" width="9.85546875" bestFit="1" customWidth="1"/>
  </cols>
  <sheetData>
    <row r="1" spans="1:11" x14ac:dyDescent="0.25">
      <c r="A1" t="s">
        <v>0</v>
      </c>
      <c r="B1" t="s">
        <v>6</v>
      </c>
    </row>
    <row r="3" spans="1:11" x14ac:dyDescent="0.25">
      <c r="B3" t="s">
        <v>10</v>
      </c>
      <c r="C3" t="s">
        <v>177</v>
      </c>
    </row>
    <row r="5" spans="1:11" x14ac:dyDescent="0.25">
      <c r="C5" t="s">
        <v>11</v>
      </c>
      <c r="F5" t="s">
        <v>7</v>
      </c>
      <c r="J5" t="s">
        <v>13</v>
      </c>
    </row>
    <row r="6" spans="1:11" x14ac:dyDescent="0.25">
      <c r="D6" t="s">
        <v>14</v>
      </c>
      <c r="E6" t="s">
        <v>1</v>
      </c>
      <c r="F6" t="s">
        <v>3</v>
      </c>
      <c r="G6" t="s">
        <v>2</v>
      </c>
      <c r="I6" t="s">
        <v>1</v>
      </c>
      <c r="J6" t="s">
        <v>3</v>
      </c>
      <c r="K6" t="s">
        <v>2</v>
      </c>
    </row>
    <row r="7" spans="1:11" x14ac:dyDescent="0.25">
      <c r="C7" t="s">
        <v>178</v>
      </c>
      <c r="D7" t="s">
        <v>147</v>
      </c>
      <c r="E7">
        <v>243.42</v>
      </c>
      <c r="F7">
        <v>132.86000000000001</v>
      </c>
      <c r="G7">
        <v>194.75</v>
      </c>
      <c r="I7" t="str">
        <f>"385/42304"</f>
        <v>385/42304</v>
      </c>
      <c r="J7" t="str">
        <f>"253/14929"</f>
        <v>253/14929</v>
      </c>
      <c r="K7" t="str">
        <f>"382/31608"</f>
        <v>382/31608</v>
      </c>
    </row>
    <row r="8" spans="1:11" x14ac:dyDescent="0.25">
      <c r="C8" t="s">
        <v>179</v>
      </c>
      <c r="D8" t="s">
        <v>148</v>
      </c>
      <c r="E8">
        <v>214.95</v>
      </c>
      <c r="F8">
        <v>121.95</v>
      </c>
      <c r="G8">
        <v>173.55</v>
      </c>
      <c r="I8" t="str">
        <f>"303/30166"</f>
        <v>303/30166</v>
      </c>
      <c r="J8" t="str">
        <f>"204/11162"</f>
        <v>204/11162</v>
      </c>
      <c r="K8" t="str">
        <f>"313/23389"</f>
        <v>313/23389</v>
      </c>
    </row>
    <row r="9" spans="1:11" x14ac:dyDescent="0.25">
      <c r="C9" t="s">
        <v>180</v>
      </c>
      <c r="D9" t="s">
        <v>262</v>
      </c>
      <c r="E9">
        <v>224.69</v>
      </c>
      <c r="F9">
        <v>114.97</v>
      </c>
      <c r="G9">
        <v>148.21</v>
      </c>
      <c r="I9" t="str">
        <f>"360/35759"</f>
        <v>360/35759</v>
      </c>
      <c r="J9" t="str">
        <f>"319/15720"</f>
        <v>319/15720</v>
      </c>
      <c r="K9" t="str">
        <f>"482/28709"</f>
        <v>482/28709</v>
      </c>
    </row>
    <row r="10" spans="1:11" x14ac:dyDescent="0.25">
      <c r="C10" t="s">
        <v>181</v>
      </c>
      <c r="D10" t="s">
        <v>216</v>
      </c>
      <c r="E10">
        <v>160.22999999999999</v>
      </c>
      <c r="F10">
        <v>87.42</v>
      </c>
      <c r="G10">
        <v>106.04</v>
      </c>
      <c r="I10" t="str">
        <f>"220/16434"</f>
        <v>220/16434</v>
      </c>
      <c r="J10" t="str">
        <f>"207/7632"</f>
        <v>207/7632</v>
      </c>
      <c r="K10" t="str">
        <f>"272/12102"</f>
        <v>272/12102</v>
      </c>
    </row>
    <row r="11" spans="1:11" x14ac:dyDescent="0.25">
      <c r="C11" t="s">
        <v>182</v>
      </c>
      <c r="D11" t="s">
        <v>218</v>
      </c>
      <c r="E11">
        <v>160.22999999999999</v>
      </c>
      <c r="F11">
        <v>87.42</v>
      </c>
      <c r="G11">
        <v>106.04</v>
      </c>
      <c r="I11" t="str">
        <f>"220/16434"</f>
        <v>220/16434</v>
      </c>
      <c r="J11" t="str">
        <f>"207/7632"</f>
        <v>207/7632</v>
      </c>
      <c r="K11" t="str">
        <f>"272/12102"</f>
        <v>272/12102</v>
      </c>
    </row>
    <row r="12" spans="1:11" x14ac:dyDescent="0.25">
      <c r="C12" t="s">
        <v>183</v>
      </c>
      <c r="D12" t="s">
        <v>222</v>
      </c>
      <c r="E12">
        <v>156.74</v>
      </c>
      <c r="F12">
        <v>86.25</v>
      </c>
      <c r="G12">
        <v>103.79</v>
      </c>
      <c r="I12" t="str">
        <f>"225/16438"</f>
        <v>225/16438</v>
      </c>
      <c r="J12" t="str">
        <f>"210/7638"</f>
        <v>210/7638</v>
      </c>
      <c r="K12" t="str">
        <f>"278/12112"</f>
        <v>278/12112</v>
      </c>
    </row>
    <row r="13" spans="1:11" x14ac:dyDescent="0.25">
      <c r="C13" t="s">
        <v>184</v>
      </c>
      <c r="D13" t="s">
        <v>230</v>
      </c>
      <c r="E13">
        <v>157.43</v>
      </c>
      <c r="F13">
        <v>85.53</v>
      </c>
      <c r="G13">
        <v>102.59</v>
      </c>
      <c r="I13" t="str">
        <f>"224/16437"</f>
        <v>224/16437</v>
      </c>
      <c r="J13" t="str">
        <f>"213/7659"</f>
        <v>213/7659</v>
      </c>
      <c r="K13" t="str">
        <f>"282/12139"</f>
        <v>282/12139</v>
      </c>
    </row>
    <row r="14" spans="1:11" x14ac:dyDescent="0.25">
      <c r="C14" t="s">
        <v>185</v>
      </c>
      <c r="D14" t="s">
        <v>232</v>
      </c>
      <c r="E14">
        <v>157.43</v>
      </c>
      <c r="F14">
        <v>85.53</v>
      </c>
      <c r="G14">
        <v>102.59</v>
      </c>
      <c r="I14" t="str">
        <f>"224/16437"</f>
        <v>224/16437</v>
      </c>
      <c r="J14" t="str">
        <f>"213/7659"</f>
        <v>213/7659</v>
      </c>
      <c r="K14" t="str">
        <f>"282/12139"</f>
        <v>282/12139</v>
      </c>
    </row>
    <row r="15" spans="1:11" x14ac:dyDescent="0.25">
      <c r="C15" t="s">
        <v>186</v>
      </c>
      <c r="D15" t="s">
        <v>201</v>
      </c>
      <c r="E15">
        <v>156.30000000000001</v>
      </c>
      <c r="F15">
        <v>74.06</v>
      </c>
      <c r="G15">
        <v>101.43</v>
      </c>
      <c r="I15" t="str">
        <f>"192/14046"</f>
        <v>192/14046</v>
      </c>
      <c r="J15" t="str">
        <f>"173/5581"</f>
        <v>173/5581</v>
      </c>
      <c r="K15" t="str">
        <f>"254/10617"</f>
        <v>254/10617</v>
      </c>
    </row>
    <row r="16" spans="1:11" x14ac:dyDescent="0.25">
      <c r="C16" t="s">
        <v>187</v>
      </c>
      <c r="D16" t="s">
        <v>203</v>
      </c>
      <c r="E16">
        <v>156.30000000000001</v>
      </c>
      <c r="F16">
        <v>74.06</v>
      </c>
      <c r="G16">
        <v>101.43</v>
      </c>
      <c r="I16" t="str">
        <f>"192/14046"</f>
        <v>192/14046</v>
      </c>
      <c r="J16" t="str">
        <f>"173/5581"</f>
        <v>173/5581</v>
      </c>
      <c r="K16" t="str">
        <f>"254/10617"</f>
        <v>254/10617</v>
      </c>
    </row>
    <row r="17" spans="3:11" x14ac:dyDescent="0.25">
      <c r="C17" t="s">
        <v>188</v>
      </c>
      <c r="D17" t="s">
        <v>448</v>
      </c>
      <c r="E17">
        <v>142.37</v>
      </c>
      <c r="F17">
        <v>84</v>
      </c>
      <c r="G17">
        <v>104.55</v>
      </c>
      <c r="I17" t="str">
        <f>"385/24340"</f>
        <v>385/24340</v>
      </c>
      <c r="J17" t="str">
        <f>"346/11986"</f>
        <v>346/11986</v>
      </c>
      <c r="K17" t="str">
        <f>"456/18934"</f>
        <v>456/18934</v>
      </c>
    </row>
    <row r="18" spans="3:11" x14ac:dyDescent="0.25">
      <c r="C18" t="s">
        <v>189</v>
      </c>
      <c r="D18" t="s">
        <v>449</v>
      </c>
      <c r="E18">
        <v>141.02000000000001</v>
      </c>
      <c r="F18">
        <v>83.01</v>
      </c>
      <c r="G18">
        <v>100.23</v>
      </c>
      <c r="I18" t="str">
        <f>"393/24581"</f>
        <v>393/24581</v>
      </c>
      <c r="J18" t="str">
        <f>"356/12111"</f>
        <v>356/12111</v>
      </c>
      <c r="K18" t="str">
        <f>"494/19462"</f>
        <v>494/19462</v>
      </c>
    </row>
    <row r="19" spans="3:11" x14ac:dyDescent="0.25">
      <c r="C19" t="s">
        <v>190</v>
      </c>
      <c r="D19" t="s">
        <v>171</v>
      </c>
      <c r="E19">
        <v>143.25</v>
      </c>
      <c r="F19">
        <v>69.209999999999994</v>
      </c>
      <c r="G19">
        <v>106.91</v>
      </c>
      <c r="I19" t="str">
        <f>"574/36657"</f>
        <v>574/36657</v>
      </c>
      <c r="J19" t="str">
        <f>"516/15052"</f>
        <v>516/15052</v>
      </c>
      <c r="K19" t="str">
        <f>"745/31511"</f>
        <v>745/31511</v>
      </c>
    </row>
    <row r="20" spans="3:11" x14ac:dyDescent="0.25">
      <c r="C20" t="s">
        <v>191</v>
      </c>
      <c r="D20" t="s">
        <v>450</v>
      </c>
      <c r="E20">
        <v>150.33000000000001</v>
      </c>
      <c r="F20">
        <v>75.25</v>
      </c>
      <c r="G20">
        <v>91.15</v>
      </c>
      <c r="I20" t="str">
        <f>"277/18701"</f>
        <v>277/18701</v>
      </c>
      <c r="J20" t="str">
        <f>"278/8542"</f>
        <v>278/8542</v>
      </c>
      <c r="K20" t="str">
        <f>"372/13773"</f>
        <v>372/13773</v>
      </c>
    </row>
    <row r="21" spans="3:11" x14ac:dyDescent="0.25">
      <c r="C21" t="s">
        <v>192</v>
      </c>
      <c r="D21" t="s">
        <v>23</v>
      </c>
      <c r="E21">
        <v>126.92</v>
      </c>
      <c r="F21">
        <v>68.650000000000006</v>
      </c>
      <c r="G21">
        <v>106.22</v>
      </c>
      <c r="I21" t="str">
        <f>"165/9732"</f>
        <v>165/9732</v>
      </c>
      <c r="J21" t="str">
        <f>"107/3292"</f>
        <v>107/3292</v>
      </c>
      <c r="K21" t="str">
        <f>"175/8132"</f>
        <v>175/8132</v>
      </c>
    </row>
    <row r="22" spans="3:11" x14ac:dyDescent="0.25">
      <c r="C22" t="s">
        <v>193</v>
      </c>
      <c r="D22" t="s">
        <v>220</v>
      </c>
      <c r="E22">
        <v>118.12</v>
      </c>
      <c r="F22">
        <v>68.209999999999994</v>
      </c>
      <c r="G22">
        <v>92.93</v>
      </c>
      <c r="I22" t="str">
        <f>"185/10578"</f>
        <v>185/10578</v>
      </c>
      <c r="J22" t="str">
        <f>"172/5170"</f>
        <v>172/5170</v>
      </c>
      <c r="K22" t="str">
        <f>"235/9436"</f>
        <v>235/9436</v>
      </c>
    </row>
    <row r="23" spans="3:11" x14ac:dyDescent="0.25">
      <c r="C23" t="s">
        <v>194</v>
      </c>
      <c r="D23" t="s">
        <v>236</v>
      </c>
      <c r="E23">
        <v>117.55</v>
      </c>
      <c r="F23">
        <v>67.81</v>
      </c>
      <c r="G23">
        <v>91.9</v>
      </c>
      <c r="I23" t="str">
        <f>"186/10583"</f>
        <v>186/10583</v>
      </c>
      <c r="J23" t="str">
        <f>"173/5171"</f>
        <v>173/5171</v>
      </c>
      <c r="K23" t="str">
        <f>"239/9469"</f>
        <v>239/9469</v>
      </c>
    </row>
    <row r="24" spans="3:11" x14ac:dyDescent="0.25">
      <c r="C24" t="s">
        <v>195</v>
      </c>
      <c r="D24" t="s">
        <v>271</v>
      </c>
      <c r="E24">
        <v>119.85</v>
      </c>
      <c r="F24">
        <v>65.849999999999994</v>
      </c>
      <c r="G24">
        <v>91.3</v>
      </c>
      <c r="I24" t="str">
        <f>"232/13023"</f>
        <v>232/13023</v>
      </c>
      <c r="J24" t="str">
        <f>"235/6608"</f>
        <v>235/6608</v>
      </c>
      <c r="K24" t="str">
        <f>"322/12047"</f>
        <v>322/12047</v>
      </c>
    </row>
    <row r="25" spans="3:11" x14ac:dyDescent="0.25">
      <c r="C25" t="s">
        <v>197</v>
      </c>
      <c r="D25" t="s">
        <v>224</v>
      </c>
      <c r="E25">
        <v>117.24</v>
      </c>
      <c r="F25">
        <v>67.349999999999994</v>
      </c>
      <c r="G25">
        <v>91.27</v>
      </c>
      <c r="I25" t="str">
        <f>"184/10442"</f>
        <v>184/10442</v>
      </c>
      <c r="J25" t="str">
        <f>"171/5071"</f>
        <v>171/5071</v>
      </c>
      <c r="K25" t="str">
        <f>"233/9173"</f>
        <v>233/9173</v>
      </c>
    </row>
    <row r="26" spans="3:11" x14ac:dyDescent="0.25">
      <c r="C26" t="s">
        <v>199</v>
      </c>
      <c r="D26" t="s">
        <v>154</v>
      </c>
      <c r="E26">
        <v>117.43</v>
      </c>
      <c r="F26">
        <v>73.08</v>
      </c>
      <c r="G26">
        <v>84.79</v>
      </c>
      <c r="I26" t="str">
        <f>"350/18732"</f>
        <v>350/18732</v>
      </c>
      <c r="J26" t="str">
        <f>"289/9436"</f>
        <v>289/9436</v>
      </c>
      <c r="K26" t="str">
        <f>"431/15387"</f>
        <v>431/15387</v>
      </c>
    </row>
    <row r="27" spans="3:11" x14ac:dyDescent="0.25">
      <c r="C27" t="s">
        <v>200</v>
      </c>
      <c r="D27" t="s">
        <v>451</v>
      </c>
      <c r="E27">
        <v>121.45</v>
      </c>
      <c r="F27">
        <v>66.319999999999993</v>
      </c>
      <c r="G27">
        <v>84.55</v>
      </c>
      <c r="I27" t="str">
        <f>"498/26316"</f>
        <v>498/26316</v>
      </c>
      <c r="J27" t="str">
        <f>"520/13975"</f>
        <v>520/13975</v>
      </c>
      <c r="K27" t="str">
        <f>"740/24266"</f>
        <v>740/24266</v>
      </c>
    </row>
    <row r="28" spans="3:11" x14ac:dyDescent="0.25">
      <c r="C28" t="s">
        <v>202</v>
      </c>
      <c r="D28" t="s">
        <v>155</v>
      </c>
      <c r="E28">
        <v>118.91</v>
      </c>
      <c r="F28">
        <v>64.760000000000005</v>
      </c>
      <c r="G28">
        <v>88.64</v>
      </c>
      <c r="I28" t="str">
        <f>"338/18515"</f>
        <v>338/18515</v>
      </c>
      <c r="J28" t="str">
        <f>"262/7547"</f>
        <v>262/7547</v>
      </c>
      <c r="K28" t="str">
        <f>"400/14916"</f>
        <v>400/14916</v>
      </c>
    </row>
    <row r="29" spans="3:11" x14ac:dyDescent="0.25">
      <c r="C29" t="s">
        <v>204</v>
      </c>
      <c r="D29" t="s">
        <v>250</v>
      </c>
      <c r="E29">
        <v>113.91</v>
      </c>
      <c r="F29">
        <v>66.39</v>
      </c>
      <c r="G29">
        <v>91.5</v>
      </c>
      <c r="I29" t="str">
        <f>"192/10588"</f>
        <v>192/10588</v>
      </c>
      <c r="J29" t="str">
        <f>"177/5184"</f>
        <v>177/5184</v>
      </c>
      <c r="K29" t="str">
        <f>"243/9480"</f>
        <v>243/9480</v>
      </c>
    </row>
    <row r="30" spans="3:11" x14ac:dyDescent="0.25">
      <c r="C30" t="s">
        <v>205</v>
      </c>
      <c r="D30" t="s">
        <v>254</v>
      </c>
      <c r="E30">
        <v>113.96</v>
      </c>
      <c r="F30">
        <v>66.62</v>
      </c>
      <c r="G30">
        <v>90.88</v>
      </c>
      <c r="I30" t="str">
        <f>"193/10596"</f>
        <v>193/10596</v>
      </c>
      <c r="J30" t="str">
        <f>"179/5258"</f>
        <v>179/5258</v>
      </c>
      <c r="K30" t="str">
        <f>"247/9483"</f>
        <v>247/9483</v>
      </c>
    </row>
    <row r="31" spans="3:11" x14ac:dyDescent="0.25">
      <c r="C31" t="s">
        <v>206</v>
      </c>
      <c r="D31" t="s">
        <v>452</v>
      </c>
      <c r="E31">
        <v>113.29</v>
      </c>
      <c r="F31">
        <v>75.180000000000007</v>
      </c>
      <c r="G31">
        <v>81.760000000000005</v>
      </c>
      <c r="I31" t="str">
        <f>"438/20823"</f>
        <v>438/20823</v>
      </c>
      <c r="J31" t="str">
        <f>"322/9922"</f>
        <v>322/9922</v>
      </c>
      <c r="K31" t="str">
        <f>"481/15176"</f>
        <v>481/15176</v>
      </c>
    </row>
    <row r="32" spans="3:11" x14ac:dyDescent="0.25">
      <c r="C32" t="s">
        <v>207</v>
      </c>
      <c r="D32" t="s">
        <v>256</v>
      </c>
      <c r="E32">
        <v>114.52</v>
      </c>
      <c r="F32">
        <v>66.34</v>
      </c>
      <c r="G32">
        <v>89.27</v>
      </c>
      <c r="I32" t="str">
        <f>"195/10700"</f>
        <v>195/10700</v>
      </c>
      <c r="J32" t="str">
        <f>"182/5319"</f>
        <v>182/5319</v>
      </c>
      <c r="K32" t="str">
        <f>"254/9571"</f>
        <v>254/9571</v>
      </c>
    </row>
    <row r="33" spans="3:11" x14ac:dyDescent="0.25">
      <c r="C33" t="s">
        <v>209</v>
      </c>
      <c r="D33" t="s">
        <v>149</v>
      </c>
      <c r="E33">
        <v>118.5</v>
      </c>
      <c r="F33">
        <v>63.83</v>
      </c>
      <c r="G33">
        <v>86.89</v>
      </c>
      <c r="I33" t="str">
        <f>"340/18530"</f>
        <v>340/18530</v>
      </c>
      <c r="J33" t="str">
        <f>"268/7581"</f>
        <v>268/7581</v>
      </c>
      <c r="K33" t="str">
        <f>"410/14963"</f>
        <v>410/14963</v>
      </c>
    </row>
    <row r="34" spans="3:11" x14ac:dyDescent="0.25">
      <c r="C34" t="s">
        <v>211</v>
      </c>
      <c r="D34" t="s">
        <v>453</v>
      </c>
      <c r="E34">
        <v>119.86</v>
      </c>
      <c r="F34">
        <v>64.930000000000007</v>
      </c>
      <c r="G34">
        <v>80.42</v>
      </c>
      <c r="I34" t="str">
        <f>"332/18064"</f>
        <v>332/18064</v>
      </c>
      <c r="J34" t="str">
        <f>"313/8318"</f>
        <v>313/8318</v>
      </c>
      <c r="K34" t="str">
        <f>"414/13460"</f>
        <v>414/13460</v>
      </c>
    </row>
    <row r="35" spans="3:11" x14ac:dyDescent="0.25">
      <c r="C35" t="s">
        <v>213</v>
      </c>
      <c r="D35" t="s">
        <v>285</v>
      </c>
      <c r="E35">
        <v>111.01</v>
      </c>
      <c r="F35">
        <v>63.69</v>
      </c>
      <c r="G35">
        <v>88.03</v>
      </c>
      <c r="I35" t="str">
        <f>"243/12653"</f>
        <v>243/12653</v>
      </c>
      <c r="J35" t="str">
        <f>"195/5631"</f>
        <v>195/5631</v>
      </c>
      <c r="K35" t="str">
        <f>"295/11092"</f>
        <v>295/11092</v>
      </c>
    </row>
    <row r="36" spans="3:11" x14ac:dyDescent="0.25">
      <c r="C36" t="s">
        <v>215</v>
      </c>
      <c r="D36" t="s">
        <v>286</v>
      </c>
      <c r="E36">
        <v>111.01</v>
      </c>
      <c r="F36">
        <v>63.05</v>
      </c>
      <c r="G36">
        <v>87.75</v>
      </c>
      <c r="I36" t="str">
        <f>"243/12653"</f>
        <v>243/12653</v>
      </c>
      <c r="J36" t="str">
        <f>"197/5632"</f>
        <v>197/5632</v>
      </c>
      <c r="K36" t="str">
        <f>"296/11094"</f>
        <v>296/11094</v>
      </c>
    </row>
    <row r="37" spans="3:11" x14ac:dyDescent="0.25">
      <c r="C37" t="s">
        <v>217</v>
      </c>
      <c r="D37" t="s">
        <v>454</v>
      </c>
      <c r="E37">
        <v>112.85</v>
      </c>
      <c r="F37">
        <v>66.12</v>
      </c>
      <c r="G37">
        <v>71.790000000000006</v>
      </c>
      <c r="I37" t="str">
        <f>"208/10086"</f>
        <v>208/10086</v>
      </c>
      <c r="J37" t="str">
        <f>"172/4919"</f>
        <v>172/4919</v>
      </c>
      <c r="K37" t="str">
        <f>"271/7781"</f>
        <v>271/7781</v>
      </c>
    </row>
    <row r="38" spans="3:11" x14ac:dyDescent="0.25">
      <c r="C38" t="s">
        <v>219</v>
      </c>
      <c r="D38" t="s">
        <v>444</v>
      </c>
      <c r="E38">
        <v>113.73</v>
      </c>
      <c r="F38">
        <v>60.02</v>
      </c>
      <c r="G38">
        <v>75.650000000000006</v>
      </c>
      <c r="I38" t="str">
        <f>"362/18546"</f>
        <v>362/18546</v>
      </c>
      <c r="J38" t="str">
        <f>"361/8750"</f>
        <v>361/8750</v>
      </c>
      <c r="K38" t="str">
        <f>"475/14204"</f>
        <v>475/14204</v>
      </c>
    </row>
    <row r="39" spans="3:11" x14ac:dyDescent="0.25">
      <c r="C39" t="s">
        <v>221</v>
      </c>
      <c r="D39" t="s">
        <v>152</v>
      </c>
      <c r="E39">
        <v>102.1</v>
      </c>
      <c r="F39">
        <v>59.67</v>
      </c>
      <c r="G39">
        <v>77.58</v>
      </c>
      <c r="I39" t="str">
        <f>"285/13372"</f>
        <v>285/13372</v>
      </c>
      <c r="J39" t="str">
        <f>"229/6126"</f>
        <v>229/6126</v>
      </c>
      <c r="K39" t="str">
        <f>"352/11561"</f>
        <v>352/11561</v>
      </c>
    </row>
    <row r="40" spans="3:11" x14ac:dyDescent="0.25">
      <c r="C40" t="s">
        <v>223</v>
      </c>
      <c r="D40" t="s">
        <v>281</v>
      </c>
      <c r="E40">
        <v>105.62</v>
      </c>
      <c r="F40">
        <v>60.57</v>
      </c>
      <c r="G40">
        <v>68.14</v>
      </c>
      <c r="I40" t="str">
        <f>"172/8035"</f>
        <v>172/8035</v>
      </c>
      <c r="J40" t="str">
        <f>"160/4086"</f>
        <v>160/4086</v>
      </c>
      <c r="K40" t="str">
        <f>"251/6741"</f>
        <v>251/6741</v>
      </c>
    </row>
    <row r="41" spans="3:11" x14ac:dyDescent="0.25">
      <c r="C41" t="s">
        <v>225</v>
      </c>
      <c r="D41" t="s">
        <v>455</v>
      </c>
      <c r="E41">
        <v>102.94</v>
      </c>
      <c r="F41">
        <v>57.65</v>
      </c>
      <c r="G41">
        <v>67.790000000000006</v>
      </c>
      <c r="I41" t="str">
        <f>"264/11653"</f>
        <v>264/11653</v>
      </c>
      <c r="J41" t="str">
        <f>"252/5855"</f>
        <v>252/5855</v>
      </c>
      <c r="K41" t="str">
        <f>"362/9573"</f>
        <v>362/9573</v>
      </c>
    </row>
    <row r="42" spans="3:11" x14ac:dyDescent="0.25">
      <c r="C42" t="s">
        <v>227</v>
      </c>
      <c r="D42" t="s">
        <v>456</v>
      </c>
      <c r="E42">
        <v>99.52</v>
      </c>
      <c r="F42">
        <v>56.5</v>
      </c>
      <c r="G42">
        <v>65.8</v>
      </c>
      <c r="I42" t="str">
        <f>"216/9384"</f>
        <v>216/9384</v>
      </c>
      <c r="J42" t="str">
        <f>"202/4688"</f>
        <v>202/4688</v>
      </c>
      <c r="K42" t="str">
        <f>"274/7216"</f>
        <v>274/7216</v>
      </c>
    </row>
    <row r="43" spans="3:11" x14ac:dyDescent="0.25">
      <c r="C43" t="s">
        <v>229</v>
      </c>
      <c r="D43" t="s">
        <v>156</v>
      </c>
      <c r="E43">
        <v>102.52</v>
      </c>
      <c r="F43">
        <v>54.06</v>
      </c>
      <c r="G43">
        <v>65.040000000000006</v>
      </c>
      <c r="I43" t="str">
        <f>"470/18954"</f>
        <v>470/18954</v>
      </c>
      <c r="J43" t="str">
        <f>"428/9695"</f>
        <v>428/9695</v>
      </c>
      <c r="K43" t="str">
        <f>"679/16550"</f>
        <v>679/16550</v>
      </c>
    </row>
    <row r="44" spans="3:11" x14ac:dyDescent="0.25">
      <c r="C44" t="s">
        <v>231</v>
      </c>
      <c r="D44" t="s">
        <v>151</v>
      </c>
      <c r="E44">
        <v>101.76</v>
      </c>
      <c r="F44">
        <v>53.72</v>
      </c>
      <c r="G44">
        <v>64.42</v>
      </c>
      <c r="I44" t="str">
        <f>"478/19068"</f>
        <v>478/19068</v>
      </c>
      <c r="J44" t="str">
        <f>"435/9748"</f>
        <v>435/9748</v>
      </c>
      <c r="K44" t="str">
        <f>"693/16728"</f>
        <v>693/16728</v>
      </c>
    </row>
    <row r="45" spans="3:11" x14ac:dyDescent="0.25">
      <c r="C45" t="s">
        <v>233</v>
      </c>
      <c r="D45" t="s">
        <v>457</v>
      </c>
      <c r="E45">
        <v>94.87</v>
      </c>
      <c r="F45">
        <v>53.21</v>
      </c>
      <c r="G45">
        <v>70.739999999999995</v>
      </c>
      <c r="I45" t="str">
        <f>"382/16245"</f>
        <v>382/16245</v>
      </c>
      <c r="J45" t="str">
        <f>"395/8624"</f>
        <v>395/8624</v>
      </c>
      <c r="K45" t="str">
        <f>"561/15544"</f>
        <v>561/15544</v>
      </c>
    </row>
    <row r="46" spans="3:11" x14ac:dyDescent="0.25">
      <c r="C46" t="s">
        <v>235</v>
      </c>
      <c r="D46" t="s">
        <v>143</v>
      </c>
      <c r="E46">
        <v>91.32</v>
      </c>
      <c r="F46">
        <v>51.53</v>
      </c>
      <c r="G46">
        <v>61.86</v>
      </c>
      <c r="I46" t="str">
        <f>"589/22930"</f>
        <v>589/22930</v>
      </c>
      <c r="J46" t="str">
        <f>"576/11874"</f>
        <v>576/11874</v>
      </c>
      <c r="K46" t="str">
        <f>"847/20197"</f>
        <v>847/20197</v>
      </c>
    </row>
    <row r="47" spans="3:11" x14ac:dyDescent="0.25">
      <c r="C47" t="s">
        <v>237</v>
      </c>
      <c r="D47" t="s">
        <v>142</v>
      </c>
      <c r="E47">
        <v>91.04</v>
      </c>
      <c r="F47">
        <v>51.53</v>
      </c>
      <c r="G47">
        <v>61.7</v>
      </c>
      <c r="I47" t="str">
        <f>"591/22934"</f>
        <v>591/22934</v>
      </c>
      <c r="J47" t="str">
        <f>"576/11874"</f>
        <v>576/11874</v>
      </c>
      <c r="K47" t="str">
        <f>"850/20221"</f>
        <v>850/20221</v>
      </c>
    </row>
    <row r="48" spans="3:11" x14ac:dyDescent="0.25">
      <c r="C48" t="s">
        <v>239</v>
      </c>
      <c r="D48" t="s">
        <v>246</v>
      </c>
      <c r="E48">
        <v>83.39</v>
      </c>
      <c r="F48">
        <v>56.64</v>
      </c>
      <c r="G48">
        <v>54.61</v>
      </c>
      <c r="I48" t="str">
        <f>"136/4939"</f>
        <v>136/4939</v>
      </c>
      <c r="J48" t="str">
        <f>"106/2691"</f>
        <v>106/2691</v>
      </c>
      <c r="K48" t="str">
        <f>"194/4279"</f>
        <v>194/4279</v>
      </c>
    </row>
    <row r="49" spans="3:11" x14ac:dyDescent="0.25">
      <c r="C49" t="s">
        <v>241</v>
      </c>
      <c r="D49" t="s">
        <v>32</v>
      </c>
      <c r="E49">
        <v>81.19</v>
      </c>
      <c r="F49">
        <v>46.6</v>
      </c>
      <c r="G49">
        <v>61.21</v>
      </c>
      <c r="I49" t="str">
        <f>"100/3813"</f>
        <v>100/3813</v>
      </c>
      <c r="J49" t="str">
        <f>"77/1611"</f>
        <v>77/1611</v>
      </c>
      <c r="K49" t="str">
        <f>"123/3239"</f>
        <v>123/3239</v>
      </c>
    </row>
    <row r="50" spans="3:11" x14ac:dyDescent="0.25">
      <c r="C50" t="s">
        <v>243</v>
      </c>
      <c r="D50" t="s">
        <v>21</v>
      </c>
      <c r="E50">
        <v>81.19</v>
      </c>
      <c r="F50">
        <v>46.6</v>
      </c>
      <c r="G50">
        <v>61.21</v>
      </c>
      <c r="I50" t="str">
        <f>"100/3813"</f>
        <v>100/3813</v>
      </c>
      <c r="J50" t="str">
        <f>"77/1611"</f>
        <v>77/1611</v>
      </c>
      <c r="K50" t="str">
        <f>"123/3239"</f>
        <v>123/3239</v>
      </c>
    </row>
    <row r="51" spans="3:11" x14ac:dyDescent="0.25">
      <c r="C51" t="s">
        <v>245</v>
      </c>
      <c r="D51" t="s">
        <v>458</v>
      </c>
      <c r="E51">
        <v>90.36</v>
      </c>
      <c r="F51">
        <v>48</v>
      </c>
      <c r="G51">
        <v>50.19</v>
      </c>
      <c r="I51" t="str">
        <f>"313/12154"</f>
        <v>313/12154</v>
      </c>
      <c r="J51" t="str">
        <f>"275/5558"</f>
        <v>275/5558</v>
      </c>
      <c r="K51" t="str">
        <f>"448/8805"</f>
        <v>448/8805</v>
      </c>
    </row>
    <row r="52" spans="3:11" x14ac:dyDescent="0.25">
      <c r="C52" t="s">
        <v>247</v>
      </c>
      <c r="D52" t="s">
        <v>30</v>
      </c>
      <c r="E52">
        <v>81.19</v>
      </c>
      <c r="F52">
        <v>45.44</v>
      </c>
      <c r="G52">
        <v>61.21</v>
      </c>
      <c r="I52" t="str">
        <f>"100/3813"</f>
        <v>100/3813</v>
      </c>
      <c r="J52" t="str">
        <f>"79/1612"</f>
        <v>79/1612</v>
      </c>
      <c r="K52" t="str">
        <f>"123/3239"</f>
        <v>123/3239</v>
      </c>
    </row>
    <row r="53" spans="3:11" x14ac:dyDescent="0.25">
      <c r="C53" t="s">
        <v>249</v>
      </c>
      <c r="D53" t="s">
        <v>31</v>
      </c>
      <c r="E53">
        <v>81.19</v>
      </c>
      <c r="F53">
        <v>46.6</v>
      </c>
      <c r="G53">
        <v>59.31</v>
      </c>
      <c r="I53" t="str">
        <f>"100/3813"</f>
        <v>100/3813</v>
      </c>
      <c r="J53" t="str">
        <f>"77/1611"</f>
        <v>77/1611</v>
      </c>
      <c r="K53" t="str">
        <f>"127/3241"</f>
        <v>127/3241</v>
      </c>
    </row>
    <row r="54" spans="3:11" x14ac:dyDescent="0.25">
      <c r="C54" t="s">
        <v>251</v>
      </c>
      <c r="D54" t="s">
        <v>459</v>
      </c>
      <c r="E54">
        <v>85.14</v>
      </c>
      <c r="F54">
        <v>44.55</v>
      </c>
      <c r="G54">
        <v>55.08</v>
      </c>
      <c r="I54" t="str">
        <f>"173/6317"</f>
        <v>173/6317</v>
      </c>
      <c r="J54" t="str">
        <f>"161/2914"</f>
        <v>161/2914</v>
      </c>
      <c r="K54" t="str">
        <f>"250/5532"</f>
        <v>250/5532</v>
      </c>
    </row>
    <row r="55" spans="3:11" x14ac:dyDescent="0.25">
      <c r="C55" t="s">
        <v>253</v>
      </c>
      <c r="D55" t="s">
        <v>460</v>
      </c>
      <c r="E55">
        <v>84.52</v>
      </c>
      <c r="F55">
        <v>43.95</v>
      </c>
      <c r="G55">
        <v>55.1</v>
      </c>
      <c r="I55" t="str">
        <f>"171/6217"</f>
        <v>171/6217</v>
      </c>
      <c r="J55" t="str">
        <f>"160/2854"</f>
        <v>160/2854</v>
      </c>
      <c r="K55" t="str">
        <f>"248/5504"</f>
        <v>248/5504</v>
      </c>
    </row>
    <row r="56" spans="3:11" x14ac:dyDescent="0.25">
      <c r="C56" t="s">
        <v>255</v>
      </c>
      <c r="D56" t="s">
        <v>244</v>
      </c>
      <c r="E56">
        <v>84.99</v>
      </c>
      <c r="F56">
        <v>44.82</v>
      </c>
      <c r="G56">
        <v>53.56</v>
      </c>
      <c r="I56" t="str">
        <f>"121/4637"</f>
        <v>121/4637</v>
      </c>
      <c r="J56" t="str">
        <f>"109/2035"</f>
        <v>109/2035</v>
      </c>
      <c r="K56" t="str">
        <f>"161/3600"</f>
        <v>161/3600</v>
      </c>
    </row>
    <row r="57" spans="3:11" x14ac:dyDescent="0.25">
      <c r="C57" t="s">
        <v>257</v>
      </c>
      <c r="D57" t="s">
        <v>461</v>
      </c>
      <c r="E57">
        <v>82.74</v>
      </c>
      <c r="F57">
        <v>43.55</v>
      </c>
      <c r="G57">
        <v>56.64</v>
      </c>
      <c r="I57" t="str">
        <f>"150/5362"</f>
        <v>150/5362</v>
      </c>
      <c r="J57" t="str">
        <f>"146/2595"</f>
        <v>146/2595</v>
      </c>
      <c r="K57" t="str">
        <f>"217/4982"</f>
        <v>217/4982</v>
      </c>
    </row>
    <row r="58" spans="3:11" x14ac:dyDescent="0.25">
      <c r="C58" t="s">
        <v>259</v>
      </c>
      <c r="D58" t="s">
        <v>234</v>
      </c>
      <c r="E58">
        <v>84.21</v>
      </c>
      <c r="F58">
        <v>44.37</v>
      </c>
      <c r="G58">
        <v>54.22</v>
      </c>
      <c r="I58" t="str">
        <f>"118/4508"</f>
        <v>118/4508</v>
      </c>
      <c r="J58" t="str">
        <f>"106/1966"</f>
        <v>106/1966</v>
      </c>
      <c r="K58" t="str">
        <f>"157/3570"</f>
        <v>157/3570</v>
      </c>
    </row>
    <row r="59" spans="3:11" x14ac:dyDescent="0.25">
      <c r="C59" t="s">
        <v>261</v>
      </c>
      <c r="D59" t="s">
        <v>198</v>
      </c>
      <c r="E59">
        <v>81.760000000000005</v>
      </c>
      <c r="F59">
        <v>43.57</v>
      </c>
      <c r="G59">
        <v>56.74</v>
      </c>
      <c r="I59" t="str">
        <f>"101/3773"</f>
        <v>101/3773</v>
      </c>
      <c r="J59" t="str">
        <f>"96/1771"</f>
        <v>96/1771</v>
      </c>
      <c r="K59" t="str">
        <f>"131/3147"</f>
        <v>131/3147</v>
      </c>
    </row>
    <row r="60" spans="3:11" x14ac:dyDescent="0.25">
      <c r="C60" t="s">
        <v>263</v>
      </c>
      <c r="D60" t="s">
        <v>462</v>
      </c>
      <c r="E60">
        <v>87.89</v>
      </c>
      <c r="F60">
        <v>44.5</v>
      </c>
      <c r="G60">
        <v>45.28</v>
      </c>
      <c r="I60" t="str">
        <f>"163/5560"</f>
        <v>163/5560</v>
      </c>
      <c r="J60" t="str">
        <f>"140/2747"</f>
        <v>140/2747</v>
      </c>
      <c r="K60" t="str">
        <f>"229/3995"</f>
        <v>229/3995</v>
      </c>
    </row>
    <row r="61" spans="3:11" x14ac:dyDescent="0.25">
      <c r="C61" t="s">
        <v>265</v>
      </c>
      <c r="D61" t="s">
        <v>463</v>
      </c>
      <c r="E61">
        <v>87.11</v>
      </c>
      <c r="F61">
        <v>44.87</v>
      </c>
      <c r="G61">
        <v>44.22</v>
      </c>
      <c r="I61" t="str">
        <f>"299/9394"</f>
        <v>299/9394</v>
      </c>
      <c r="J61" t="str">
        <f>"265/5080"</f>
        <v>265/5080</v>
      </c>
      <c r="K61" t="str">
        <f>"428/7055"</f>
        <v>428/7055</v>
      </c>
    </row>
    <row r="62" spans="3:11" x14ac:dyDescent="0.25">
      <c r="C62" t="s">
        <v>464</v>
      </c>
      <c r="D62" t="s">
        <v>465</v>
      </c>
      <c r="E62">
        <v>75.22</v>
      </c>
      <c r="F62">
        <v>49.84</v>
      </c>
      <c r="G62">
        <v>50.89</v>
      </c>
      <c r="I62" t="str">
        <f>"232/6010"</f>
        <v>232/6010</v>
      </c>
      <c r="J62" t="str">
        <f>"183/3935"</f>
        <v>183/3935</v>
      </c>
      <c r="K62" t="str">
        <f>"275/5402"</f>
        <v>275/5402</v>
      </c>
    </row>
    <row r="63" spans="3:11" x14ac:dyDescent="0.25">
      <c r="C63" t="s">
        <v>466</v>
      </c>
      <c r="D63" t="s">
        <v>467</v>
      </c>
      <c r="E63">
        <v>83.12</v>
      </c>
      <c r="F63">
        <v>40.590000000000003</v>
      </c>
      <c r="G63">
        <v>51.9</v>
      </c>
      <c r="I63" t="str">
        <f>"449/16785"</f>
        <v>449/16785</v>
      </c>
      <c r="J63" t="str">
        <f>"513/8355"</f>
        <v>513/8355</v>
      </c>
      <c r="K63" t="str">
        <f>"741/14565"</f>
        <v>741/14565</v>
      </c>
    </row>
    <row r="64" spans="3:11" x14ac:dyDescent="0.25">
      <c r="C64" t="s">
        <v>468</v>
      </c>
      <c r="D64" t="s">
        <v>469</v>
      </c>
      <c r="E64">
        <v>83.12</v>
      </c>
      <c r="F64">
        <v>40.590000000000003</v>
      </c>
      <c r="G64">
        <v>51.9</v>
      </c>
      <c r="I64" t="str">
        <f>"449/16785"</f>
        <v>449/16785</v>
      </c>
      <c r="J64" t="str">
        <f>"513/8355"</f>
        <v>513/8355</v>
      </c>
      <c r="K64" t="str">
        <f>"741/14565"</f>
        <v>741/14565</v>
      </c>
    </row>
    <row r="65" spans="3:11" x14ac:dyDescent="0.25">
      <c r="C65" t="s">
        <v>470</v>
      </c>
      <c r="D65" t="s">
        <v>471</v>
      </c>
      <c r="E65">
        <v>88.91</v>
      </c>
      <c r="F65">
        <v>41.19</v>
      </c>
      <c r="G65">
        <v>42.74</v>
      </c>
      <c r="I65" t="str">
        <f>"207/6980"</f>
        <v>207/6980</v>
      </c>
      <c r="J65" t="str">
        <f>"178/3217"</f>
        <v>178/3217</v>
      </c>
      <c r="K65" t="str">
        <f>"300/4795"</f>
        <v>300/4795</v>
      </c>
    </row>
    <row r="66" spans="3:11" x14ac:dyDescent="0.25">
      <c r="C66" t="s">
        <v>472</v>
      </c>
      <c r="D66" t="s">
        <v>158</v>
      </c>
      <c r="E66">
        <v>76.989999999999995</v>
      </c>
      <c r="F66">
        <v>42.16</v>
      </c>
      <c r="G66">
        <v>53.61</v>
      </c>
      <c r="I66" t="str">
        <f>"493/15862"</f>
        <v>493/15862</v>
      </c>
      <c r="J66" t="str">
        <f>"507/8067"</f>
        <v>507/8067</v>
      </c>
      <c r="K66" t="str">
        <f>"782/15503"</f>
        <v>782/15503</v>
      </c>
    </row>
    <row r="67" spans="3:11" x14ac:dyDescent="0.25">
      <c r="C67" t="s">
        <v>473</v>
      </c>
      <c r="D67" t="s">
        <v>474</v>
      </c>
      <c r="E67">
        <v>84.84</v>
      </c>
      <c r="F67">
        <v>45.06</v>
      </c>
      <c r="G67">
        <v>41.35</v>
      </c>
      <c r="I67" t="str">
        <f>"350/10330"</f>
        <v>350/10330</v>
      </c>
      <c r="J67" t="str">
        <f>"320/6022"</f>
        <v>320/6022</v>
      </c>
      <c r="K67" t="str">
        <f>"514/7907"</f>
        <v>514/7907</v>
      </c>
    </row>
    <row r="68" spans="3:11" x14ac:dyDescent="0.25">
      <c r="C68" t="s">
        <v>475</v>
      </c>
      <c r="D68" t="s">
        <v>476</v>
      </c>
      <c r="E68">
        <v>84.02</v>
      </c>
      <c r="F68">
        <v>45.5</v>
      </c>
      <c r="G68">
        <v>40.78</v>
      </c>
      <c r="I68" t="str">
        <f>"376/10934"</f>
        <v>376/10934</v>
      </c>
      <c r="J68" t="str">
        <f>"344/6449"</f>
        <v>344/6449</v>
      </c>
      <c r="K68" t="str">
        <f>"554/8367"</f>
        <v>554/8367</v>
      </c>
    </row>
    <row r="69" spans="3:11" x14ac:dyDescent="0.25">
      <c r="C69" t="s">
        <v>477</v>
      </c>
      <c r="D69" t="s">
        <v>157</v>
      </c>
      <c r="E69">
        <v>80.17</v>
      </c>
      <c r="F69">
        <v>45.22</v>
      </c>
      <c r="G69">
        <v>41.45</v>
      </c>
      <c r="I69" t="str">
        <f>"462/12760"</f>
        <v>462/12760</v>
      </c>
      <c r="J69" t="str">
        <f>"395/7305"</f>
        <v>395/7305</v>
      </c>
      <c r="K69" t="str">
        <f>"633/9627"</f>
        <v>633/9627</v>
      </c>
    </row>
    <row r="70" spans="3:11" x14ac:dyDescent="0.25">
      <c r="C70" t="s">
        <v>478</v>
      </c>
      <c r="D70" t="s">
        <v>164</v>
      </c>
      <c r="E70">
        <v>74.510000000000005</v>
      </c>
      <c r="F70">
        <v>38.869999999999997</v>
      </c>
      <c r="G70">
        <v>51.64</v>
      </c>
      <c r="I70" t="str">
        <f>"432/13516"</f>
        <v>432/13516</v>
      </c>
      <c r="J70" t="str">
        <f>"449/6599"</f>
        <v>449/6599</v>
      </c>
      <c r="K70" t="str">
        <f>"715/13797"</f>
        <v>715/13797</v>
      </c>
    </row>
    <row r="71" spans="3:11" x14ac:dyDescent="0.25">
      <c r="C71" t="s">
        <v>479</v>
      </c>
      <c r="D71" t="s">
        <v>480</v>
      </c>
      <c r="E71">
        <v>80.12</v>
      </c>
      <c r="F71">
        <v>39.340000000000003</v>
      </c>
      <c r="G71">
        <v>39.24</v>
      </c>
      <c r="I71" t="str">
        <f>"246/7315"</f>
        <v>246/7315</v>
      </c>
      <c r="J71" t="str">
        <f>"217/3685"</f>
        <v>217/3685</v>
      </c>
      <c r="K71" t="str">
        <f>"356/5238"</f>
        <v>356/5238</v>
      </c>
    </row>
    <row r="72" spans="3:11" x14ac:dyDescent="0.25">
      <c r="C72" t="s">
        <v>481</v>
      </c>
      <c r="D72" t="s">
        <v>482</v>
      </c>
      <c r="E72">
        <v>79.36</v>
      </c>
      <c r="F72">
        <v>39.25</v>
      </c>
      <c r="G72">
        <v>38.92</v>
      </c>
      <c r="I72" t="str">
        <f>"250/7366"</f>
        <v>250/7366</v>
      </c>
      <c r="J72" t="str">
        <f>"220/3727"</f>
        <v>220/3727</v>
      </c>
      <c r="K72" t="str">
        <f>"363/5297"</f>
        <v>363/5297</v>
      </c>
    </row>
    <row r="73" spans="3:11" x14ac:dyDescent="0.25">
      <c r="C73" t="s">
        <v>483</v>
      </c>
      <c r="D73" t="s">
        <v>445</v>
      </c>
      <c r="E73">
        <v>79.36</v>
      </c>
      <c r="F73">
        <v>39.25</v>
      </c>
      <c r="G73">
        <v>38.92</v>
      </c>
      <c r="I73" t="str">
        <f>"250/7366"</f>
        <v>250/7366</v>
      </c>
      <c r="J73" t="str">
        <f>"220/3727"</f>
        <v>220/3727</v>
      </c>
      <c r="K73" t="str">
        <f>"363/5297"</f>
        <v>363/5297</v>
      </c>
    </row>
    <row r="74" spans="3:11" x14ac:dyDescent="0.25">
      <c r="C74" t="s">
        <v>484</v>
      </c>
      <c r="D74" t="s">
        <v>226</v>
      </c>
      <c r="E74">
        <v>73.19</v>
      </c>
      <c r="F74">
        <v>38.97</v>
      </c>
      <c r="G74">
        <v>45.08</v>
      </c>
      <c r="I74" t="str">
        <f>"97/3224"</f>
        <v>97/3224</v>
      </c>
      <c r="J74" t="str">
        <f>"100/1605"</f>
        <v>100/1605</v>
      </c>
      <c r="K74" t="str">
        <f>"130/2427"</f>
        <v>130/2427</v>
      </c>
    </row>
    <row r="75" spans="3:11" x14ac:dyDescent="0.25">
      <c r="C75" t="s">
        <v>485</v>
      </c>
      <c r="D75" t="s">
        <v>228</v>
      </c>
      <c r="E75">
        <v>73.19</v>
      </c>
      <c r="F75">
        <v>38.97</v>
      </c>
      <c r="G75">
        <v>45.08</v>
      </c>
      <c r="I75" t="str">
        <f>"97/3224"</f>
        <v>97/3224</v>
      </c>
      <c r="J75" t="str">
        <f>"100/1605"</f>
        <v>100/1605</v>
      </c>
      <c r="K75" t="str">
        <f>"130/2427"</f>
        <v>130/2427</v>
      </c>
    </row>
    <row r="76" spans="3:11" x14ac:dyDescent="0.25">
      <c r="C76" t="s">
        <v>486</v>
      </c>
      <c r="D76" t="s">
        <v>238</v>
      </c>
      <c r="E76">
        <v>73.5</v>
      </c>
      <c r="F76">
        <v>39.11</v>
      </c>
      <c r="G76">
        <v>44.42</v>
      </c>
      <c r="I76" t="str">
        <f>"99/3257"</f>
        <v>99/3257</v>
      </c>
      <c r="J76" t="str">
        <f>"101/1606"</f>
        <v>101/1606</v>
      </c>
      <c r="K76" t="str">
        <f>"132/2428"</f>
        <v>132/2428</v>
      </c>
    </row>
    <row r="77" spans="3:11" x14ac:dyDescent="0.25">
      <c r="C77" t="s">
        <v>487</v>
      </c>
      <c r="D77" t="s">
        <v>240</v>
      </c>
      <c r="E77">
        <v>73.5</v>
      </c>
      <c r="F77">
        <v>39.11</v>
      </c>
      <c r="G77">
        <v>44.42</v>
      </c>
      <c r="I77" t="str">
        <f>"99/3257"</f>
        <v>99/3257</v>
      </c>
      <c r="J77" t="str">
        <f>"101/1606"</f>
        <v>101/1606</v>
      </c>
      <c r="K77" t="str">
        <f>"132/2428"</f>
        <v>132/2428</v>
      </c>
    </row>
    <row r="78" spans="3:11" x14ac:dyDescent="0.25">
      <c r="C78" t="s">
        <v>488</v>
      </c>
    </row>
    <row r="80" spans="3:11" x14ac:dyDescent="0.25">
      <c r="C80" t="s">
        <v>17</v>
      </c>
      <c r="F80" t="s">
        <v>7</v>
      </c>
      <c r="J80" t="s">
        <v>13</v>
      </c>
    </row>
    <row r="81" spans="3:11" x14ac:dyDescent="0.25">
      <c r="D81" t="s">
        <v>14</v>
      </c>
      <c r="E81" t="s">
        <v>1</v>
      </c>
      <c r="F81" t="s">
        <v>3</v>
      </c>
      <c r="G81" t="s">
        <v>2</v>
      </c>
      <c r="I81" t="s">
        <v>1</v>
      </c>
      <c r="J81" t="s">
        <v>3</v>
      </c>
      <c r="K81" t="s">
        <v>2</v>
      </c>
    </row>
    <row r="82" spans="3:11" x14ac:dyDescent="0.25">
      <c r="C82" t="s">
        <v>178</v>
      </c>
      <c r="D82" t="s">
        <v>489</v>
      </c>
      <c r="E82">
        <v>105.55</v>
      </c>
      <c r="F82">
        <v>35.18</v>
      </c>
      <c r="G82">
        <v>39.950000000000003</v>
      </c>
      <c r="I82" t="str">
        <f>"176/8390"</f>
        <v>176/8390</v>
      </c>
      <c r="J82" t="str">
        <f>"149/2014"</f>
        <v>149/2014</v>
      </c>
      <c r="K82" t="str">
        <f>"219/3370"</f>
        <v>219/3370</v>
      </c>
    </row>
    <row r="83" spans="3:11" x14ac:dyDescent="0.25">
      <c r="C83" t="s">
        <v>179</v>
      </c>
      <c r="D83" t="s">
        <v>490</v>
      </c>
      <c r="E83">
        <v>85.04</v>
      </c>
      <c r="F83">
        <v>28.69</v>
      </c>
      <c r="G83">
        <v>44.6</v>
      </c>
      <c r="I83" t="str">
        <f>"321/11891"</f>
        <v>321/11891</v>
      </c>
      <c r="J83" t="str">
        <f>"327/3866"</f>
        <v>327/3866</v>
      </c>
      <c r="K83" t="str">
        <f>"512/8747"</f>
        <v>512/8747</v>
      </c>
    </row>
    <row r="84" spans="3:11" x14ac:dyDescent="0.25">
      <c r="C84" t="s">
        <v>180</v>
      </c>
      <c r="D84" t="s">
        <v>491</v>
      </c>
      <c r="E84">
        <v>74.31</v>
      </c>
      <c r="F84">
        <v>35.619999999999997</v>
      </c>
      <c r="G84">
        <v>43.14</v>
      </c>
      <c r="I84" t="str">
        <f>"184/5755"</f>
        <v>184/5755</v>
      </c>
      <c r="J84" t="str">
        <f>"190/2918"</f>
        <v>190/2918</v>
      </c>
      <c r="K84" t="str">
        <f>"336/5507"</f>
        <v>336/5507</v>
      </c>
    </row>
    <row r="85" spans="3:11" x14ac:dyDescent="0.25">
      <c r="C85" t="s">
        <v>713</v>
      </c>
    </row>
    <row r="87" spans="3:11" x14ac:dyDescent="0.25">
      <c r="C87" t="s">
        <v>18</v>
      </c>
      <c r="F87" t="s">
        <v>7</v>
      </c>
      <c r="J87" t="s">
        <v>13</v>
      </c>
    </row>
    <row r="88" spans="3:11" x14ac:dyDescent="0.25">
      <c r="D88" t="s">
        <v>14</v>
      </c>
      <c r="E88" t="s">
        <v>1</v>
      </c>
      <c r="F88" t="s">
        <v>3</v>
      </c>
      <c r="G88" t="s">
        <v>2</v>
      </c>
      <c r="I88" t="s">
        <v>1</v>
      </c>
      <c r="J88" t="s">
        <v>3</v>
      </c>
      <c r="K88" t="s">
        <v>2</v>
      </c>
    </row>
    <row r="89" spans="3:11" x14ac:dyDescent="0.25">
      <c r="C89" t="s">
        <v>351</v>
      </c>
    </row>
    <row r="91" spans="3:11" x14ac:dyDescent="0.25">
      <c r="C91" t="s">
        <v>36</v>
      </c>
      <c r="F91" t="s">
        <v>7</v>
      </c>
      <c r="J91" t="s">
        <v>13</v>
      </c>
    </row>
    <row r="92" spans="3:11" x14ac:dyDescent="0.25">
      <c r="D92" t="s">
        <v>14</v>
      </c>
      <c r="E92" t="s">
        <v>1</v>
      </c>
      <c r="F92" t="s">
        <v>3</v>
      </c>
      <c r="G92" t="s">
        <v>2</v>
      </c>
      <c r="I92" t="s">
        <v>1</v>
      </c>
      <c r="J92" t="s">
        <v>3</v>
      </c>
      <c r="K92" t="s">
        <v>2</v>
      </c>
    </row>
    <row r="93" spans="3:11" x14ac:dyDescent="0.25">
      <c r="C93" t="s">
        <v>178</v>
      </c>
      <c r="D93" t="s">
        <v>492</v>
      </c>
      <c r="E93">
        <v>70.7</v>
      </c>
      <c r="F93">
        <v>41.22</v>
      </c>
      <c r="G93">
        <v>60.36</v>
      </c>
      <c r="I93" t="str">
        <f>"453/14120"</f>
        <v>453/14120</v>
      </c>
      <c r="J93" t="str">
        <f>"560/9334"</f>
        <v>560/9334</v>
      </c>
      <c r="K93" t="str">
        <f>"776/17581"</f>
        <v>776/17581</v>
      </c>
    </row>
    <row r="94" spans="3:11" x14ac:dyDescent="0.25">
      <c r="C94" t="s">
        <v>179</v>
      </c>
      <c r="D94" t="s">
        <v>493</v>
      </c>
      <c r="E94">
        <v>70.7</v>
      </c>
      <c r="F94">
        <v>41.22</v>
      </c>
      <c r="G94">
        <v>60.36</v>
      </c>
      <c r="I94" t="str">
        <f>"453/14120"</f>
        <v>453/14120</v>
      </c>
      <c r="J94" t="str">
        <f>"560/9334"</f>
        <v>560/9334</v>
      </c>
      <c r="K94" t="str">
        <f>"776/17581"</f>
        <v>776/17581</v>
      </c>
    </row>
    <row r="95" spans="3:11" x14ac:dyDescent="0.25">
      <c r="C95" t="s">
        <v>180</v>
      </c>
      <c r="D95" t="s">
        <v>494</v>
      </c>
      <c r="E95">
        <v>68.81</v>
      </c>
      <c r="F95">
        <v>40.32</v>
      </c>
      <c r="G95">
        <v>58.33</v>
      </c>
      <c r="I95" t="str">
        <f>"432/13305"</f>
        <v>432/13305</v>
      </c>
      <c r="J95" t="str">
        <f>"536/8801"</f>
        <v>536/8801</v>
      </c>
      <c r="K95" t="str">
        <f>"738/16326"</f>
        <v>738/16326</v>
      </c>
    </row>
    <row r="96" spans="3:11" x14ac:dyDescent="0.25">
      <c r="C96" t="s">
        <v>181</v>
      </c>
      <c r="D96" t="s">
        <v>495</v>
      </c>
      <c r="E96">
        <v>68.81</v>
      </c>
      <c r="F96">
        <v>40.32</v>
      </c>
      <c r="G96">
        <v>58.33</v>
      </c>
      <c r="I96" t="str">
        <f>"432/13305"</f>
        <v>432/13305</v>
      </c>
      <c r="J96" t="str">
        <f>"536/8801"</f>
        <v>536/8801</v>
      </c>
      <c r="K96" t="str">
        <f>"738/16326"</f>
        <v>738/16326</v>
      </c>
    </row>
    <row r="97" spans="3:11" x14ac:dyDescent="0.25">
      <c r="C97" t="s">
        <v>182</v>
      </c>
      <c r="D97" t="s">
        <v>496</v>
      </c>
      <c r="E97">
        <v>68.72</v>
      </c>
      <c r="F97">
        <v>40.32</v>
      </c>
      <c r="G97">
        <v>58.33</v>
      </c>
      <c r="I97" t="str">
        <f>"431/13269"</f>
        <v>431/13269</v>
      </c>
      <c r="J97" t="str">
        <f>"536/8801"</f>
        <v>536/8801</v>
      </c>
      <c r="K97" t="str">
        <f>"738/16326"</f>
        <v>738/16326</v>
      </c>
    </row>
    <row r="98" spans="3:11" x14ac:dyDescent="0.25">
      <c r="C98" t="s">
        <v>183</v>
      </c>
      <c r="D98" t="s">
        <v>497</v>
      </c>
      <c r="E98">
        <v>71.37</v>
      </c>
      <c r="F98">
        <v>40.130000000000003</v>
      </c>
      <c r="G98">
        <v>53.21</v>
      </c>
      <c r="I98" t="str">
        <f>"399/12745"</f>
        <v>399/12745</v>
      </c>
      <c r="J98" t="str">
        <f>"365/6041"</f>
        <v>365/6041</v>
      </c>
      <c r="K98" t="str">
        <f>"585/12513"</f>
        <v>585/12513</v>
      </c>
    </row>
    <row r="99" spans="3:11" x14ac:dyDescent="0.25">
      <c r="C99" t="s">
        <v>184</v>
      </c>
      <c r="D99" t="s">
        <v>498</v>
      </c>
      <c r="E99">
        <v>63.34</v>
      </c>
      <c r="F99">
        <v>39.44</v>
      </c>
      <c r="G99">
        <v>58.89</v>
      </c>
      <c r="I99" t="str">
        <f>"491/13737"</f>
        <v>491/13737</v>
      </c>
      <c r="J99" t="str">
        <f>"592/9389"</f>
        <v>592/9389</v>
      </c>
      <c r="K99" t="str">
        <f>"816/17937"</f>
        <v>816/17937</v>
      </c>
    </row>
    <row r="100" spans="3:11" x14ac:dyDescent="0.25">
      <c r="C100" t="s">
        <v>185</v>
      </c>
      <c r="D100" t="s">
        <v>499</v>
      </c>
      <c r="E100">
        <v>68.8</v>
      </c>
      <c r="F100">
        <v>40.1</v>
      </c>
      <c r="G100">
        <v>52.72</v>
      </c>
      <c r="I100" t="str">
        <f>"419/12871"</f>
        <v>419/12871</v>
      </c>
      <c r="J100" t="str">
        <f>"394/6419"</f>
        <v>394/6419</v>
      </c>
      <c r="K100" t="str">
        <f>"625/13000"</f>
        <v>625/13000</v>
      </c>
    </row>
    <row r="101" spans="3:11" x14ac:dyDescent="0.25">
      <c r="C101" t="s">
        <v>186</v>
      </c>
      <c r="D101" t="s">
        <v>500</v>
      </c>
      <c r="E101">
        <v>68.599999999999994</v>
      </c>
      <c r="F101">
        <v>40.1</v>
      </c>
      <c r="G101">
        <v>52.78</v>
      </c>
      <c r="I101" t="str">
        <f>"418/12819"</f>
        <v>418/12819</v>
      </c>
      <c r="J101" t="str">
        <f>"393/6407"</f>
        <v>393/6407</v>
      </c>
      <c r="K101" t="str">
        <f>"624/12996"</f>
        <v>624/12996</v>
      </c>
    </row>
    <row r="102" spans="3:11" x14ac:dyDescent="0.25">
      <c r="C102" t="s">
        <v>187</v>
      </c>
      <c r="D102" t="s">
        <v>501</v>
      </c>
      <c r="E102">
        <v>62.25</v>
      </c>
      <c r="F102">
        <v>39.700000000000003</v>
      </c>
      <c r="G102">
        <v>59.11</v>
      </c>
      <c r="I102" t="str">
        <f>"517/14118"</f>
        <v>517/14118</v>
      </c>
      <c r="J102" t="str">
        <f>"621/9831"</f>
        <v>621/9831</v>
      </c>
      <c r="K102" t="str">
        <f>"852/18731"</f>
        <v>852/18731</v>
      </c>
    </row>
    <row r="103" spans="3:11" x14ac:dyDescent="0.25">
      <c r="C103" t="s">
        <v>188</v>
      </c>
      <c r="D103" t="s">
        <v>447</v>
      </c>
      <c r="E103">
        <v>68.34</v>
      </c>
      <c r="F103">
        <v>39.97</v>
      </c>
      <c r="G103">
        <v>52.73</v>
      </c>
      <c r="I103" t="str">
        <f>"426/13005"</f>
        <v>426/13005</v>
      </c>
      <c r="J103" t="str">
        <f>"409/6618"</f>
        <v>409/6618</v>
      </c>
      <c r="K103" t="str">
        <f>"643/13356"</f>
        <v>643/13356</v>
      </c>
    </row>
    <row r="104" spans="3:11" x14ac:dyDescent="0.25">
      <c r="C104" t="s">
        <v>189</v>
      </c>
      <c r="D104" t="s">
        <v>248</v>
      </c>
      <c r="E104">
        <v>71.989999999999995</v>
      </c>
      <c r="F104">
        <v>38.08</v>
      </c>
      <c r="G104">
        <v>49.83</v>
      </c>
      <c r="I104" t="str">
        <f>"115/3885"</f>
        <v>115/3885</v>
      </c>
      <c r="J104" t="str">
        <f>"95/1624"</f>
        <v>95/1624</v>
      </c>
      <c r="K104" t="str">
        <f>"153/3284"</f>
        <v>153/3284</v>
      </c>
    </row>
    <row r="105" spans="3:11" x14ac:dyDescent="0.25">
      <c r="C105" t="s">
        <v>190</v>
      </c>
      <c r="D105" t="s">
        <v>276</v>
      </c>
      <c r="E105">
        <v>71.349999999999994</v>
      </c>
      <c r="F105">
        <v>43.88</v>
      </c>
      <c r="G105">
        <v>42.57</v>
      </c>
      <c r="I105" t="str">
        <f>"105/3260"</f>
        <v>105/3260</v>
      </c>
      <c r="J105" t="str">
        <f>"78/1541"</f>
        <v>78/1541</v>
      </c>
      <c r="K105" t="str">
        <f>"177/2926"</f>
        <v>177/2926</v>
      </c>
    </row>
    <row r="106" spans="3:11" x14ac:dyDescent="0.25">
      <c r="C106" t="s">
        <v>191</v>
      </c>
      <c r="D106" t="s">
        <v>502</v>
      </c>
      <c r="E106">
        <v>65.75</v>
      </c>
      <c r="F106">
        <v>39.06</v>
      </c>
      <c r="G106">
        <v>51.33</v>
      </c>
      <c r="I106" t="str">
        <f>"456/13256"</f>
        <v>456/13256</v>
      </c>
      <c r="J106" t="str">
        <f>"392/6292"</f>
        <v>392/6292</v>
      </c>
      <c r="K106" t="str">
        <f>"641/13108"</f>
        <v>641/13108</v>
      </c>
    </row>
    <row r="107" spans="3:11" x14ac:dyDescent="0.25">
      <c r="C107" t="s">
        <v>192</v>
      </c>
      <c r="D107" t="s">
        <v>15</v>
      </c>
      <c r="E107">
        <v>60.29</v>
      </c>
      <c r="F107">
        <v>38.520000000000003</v>
      </c>
      <c r="G107">
        <v>56.56</v>
      </c>
      <c r="I107" t="str">
        <f>"70/2032"</f>
        <v>70/2032</v>
      </c>
      <c r="J107" t="str">
        <f>"41/785"</f>
        <v>41/785</v>
      </c>
      <c r="K107" t="str">
        <f>"69/1827"</f>
        <v>69/1827</v>
      </c>
    </row>
    <row r="108" spans="3:11" x14ac:dyDescent="0.25">
      <c r="C108" t="s">
        <v>193</v>
      </c>
      <c r="D108" t="s">
        <v>503</v>
      </c>
      <c r="E108">
        <v>69.680000000000007</v>
      </c>
      <c r="F108">
        <v>39.020000000000003</v>
      </c>
      <c r="G108">
        <v>46.08</v>
      </c>
      <c r="I108" t="str">
        <f>"211/6306"</f>
        <v>211/6306</v>
      </c>
      <c r="J108" t="str">
        <f>"185/2907"</f>
        <v>185/2907</v>
      </c>
      <c r="K108" t="str">
        <f>"269/4834"</f>
        <v>269/4834</v>
      </c>
    </row>
    <row r="109" spans="3:11" x14ac:dyDescent="0.25">
      <c r="C109" t="s">
        <v>194</v>
      </c>
      <c r="D109" t="s">
        <v>504</v>
      </c>
      <c r="E109">
        <v>63.47</v>
      </c>
      <c r="F109">
        <v>39.200000000000003</v>
      </c>
      <c r="G109">
        <v>51.06</v>
      </c>
      <c r="I109" t="str">
        <f>"476/13341"</f>
        <v>476/13341</v>
      </c>
      <c r="J109" t="str">
        <f>"419/6670"</f>
        <v>419/6670</v>
      </c>
      <c r="K109" t="str">
        <f>"682/13617"</f>
        <v>682/13617</v>
      </c>
    </row>
    <row r="110" spans="3:11" x14ac:dyDescent="0.25">
      <c r="C110" t="s">
        <v>195</v>
      </c>
      <c r="D110" t="s">
        <v>505</v>
      </c>
      <c r="E110">
        <v>63.38</v>
      </c>
      <c r="F110">
        <v>38.99</v>
      </c>
      <c r="G110">
        <v>51.03</v>
      </c>
      <c r="I110" t="str">
        <f>"485/13558"</f>
        <v>485/13558</v>
      </c>
      <c r="J110" t="str">
        <f>"437/6889"</f>
        <v>437/6889</v>
      </c>
      <c r="K110" t="str">
        <f>"704/14024"</f>
        <v>704/14024</v>
      </c>
    </row>
    <row r="111" spans="3:11" x14ac:dyDescent="0.25">
      <c r="C111" t="s">
        <v>197</v>
      </c>
      <c r="D111" t="s">
        <v>252</v>
      </c>
      <c r="E111">
        <v>70.17</v>
      </c>
      <c r="F111">
        <v>38.770000000000003</v>
      </c>
      <c r="G111">
        <v>43.69</v>
      </c>
      <c r="I111" t="str">
        <f>"116/3331"</f>
        <v>116/3331</v>
      </c>
      <c r="J111" t="str">
        <f>"78/1334"</f>
        <v>78/1334</v>
      </c>
      <c r="K111" t="str">
        <f>"133/2423"</f>
        <v>133/2423</v>
      </c>
    </row>
    <row r="112" spans="3:11" x14ac:dyDescent="0.25">
      <c r="C112" t="s">
        <v>199</v>
      </c>
      <c r="D112" t="s">
        <v>506</v>
      </c>
      <c r="E112">
        <v>61.83</v>
      </c>
      <c r="F112">
        <v>45.95</v>
      </c>
      <c r="G112">
        <v>42.1</v>
      </c>
      <c r="I112" t="str">
        <f>"600/11479"</f>
        <v>600/11479</v>
      </c>
      <c r="J112" t="str">
        <f>"538/9774"</f>
        <v>538/9774</v>
      </c>
      <c r="K112" t="str">
        <f>"800/12092"</f>
        <v>800/12092</v>
      </c>
    </row>
    <row r="113" spans="2:11" x14ac:dyDescent="0.25">
      <c r="C113" t="s">
        <v>200</v>
      </c>
      <c r="D113" t="s">
        <v>507</v>
      </c>
      <c r="E113">
        <v>61.83</v>
      </c>
      <c r="F113">
        <v>44.58</v>
      </c>
      <c r="G113">
        <v>43.41</v>
      </c>
      <c r="I113" t="str">
        <f>"186/3976"</f>
        <v>186/3976</v>
      </c>
      <c r="J113" t="str">
        <f>"150/2875"</f>
        <v>150/2875</v>
      </c>
      <c r="K113" t="str">
        <f>"211/3546"</f>
        <v>211/3546</v>
      </c>
    </row>
    <row r="114" spans="2:11" x14ac:dyDescent="0.25">
      <c r="C114" t="s">
        <v>202</v>
      </c>
      <c r="D114" t="s">
        <v>508</v>
      </c>
      <c r="E114">
        <v>56.2</v>
      </c>
      <c r="F114">
        <v>39.76</v>
      </c>
      <c r="G114">
        <v>41.58</v>
      </c>
      <c r="I114" t="str">
        <f>"267/5654"</f>
        <v>267/5654</v>
      </c>
      <c r="J114" t="str">
        <f>"277/4405"</f>
        <v>277/4405</v>
      </c>
      <c r="K114" t="str">
        <f>"482/7244"</f>
        <v>482/7244</v>
      </c>
    </row>
    <row r="115" spans="2:11" x14ac:dyDescent="0.25">
      <c r="C115" t="s">
        <v>204</v>
      </c>
      <c r="D115" t="s">
        <v>509</v>
      </c>
      <c r="E115">
        <v>44.18</v>
      </c>
      <c r="F115">
        <v>36.979999999999997</v>
      </c>
      <c r="G115">
        <v>41.24</v>
      </c>
      <c r="I115" t="str">
        <f>"412/6443"</f>
        <v>412/6443</v>
      </c>
      <c r="J115" t="str">
        <f>"459/6557"</f>
        <v>459/6557</v>
      </c>
      <c r="K115" t="str">
        <f>"746/10708"</f>
        <v>746/10708</v>
      </c>
    </row>
    <row r="116" spans="2:11" x14ac:dyDescent="0.25">
      <c r="C116" t="s">
        <v>510</v>
      </c>
    </row>
    <row r="118" spans="2:11" x14ac:dyDescent="0.25">
      <c r="B118" t="s">
        <v>37</v>
      </c>
      <c r="C118" t="s">
        <v>288</v>
      </c>
    </row>
    <row r="120" spans="2:11" x14ac:dyDescent="0.25">
      <c r="C120" t="s">
        <v>11</v>
      </c>
      <c r="F120" t="s">
        <v>7</v>
      </c>
      <c r="J120" t="s">
        <v>13</v>
      </c>
    </row>
    <row r="121" spans="2:11" x14ac:dyDescent="0.25">
      <c r="D121" t="s">
        <v>14</v>
      </c>
      <c r="E121" t="s">
        <v>1</v>
      </c>
      <c r="F121" t="s">
        <v>3</v>
      </c>
      <c r="G121" t="s">
        <v>2</v>
      </c>
      <c r="I121" t="s">
        <v>1</v>
      </c>
      <c r="J121" t="s">
        <v>3</v>
      </c>
      <c r="K121" t="s">
        <v>2</v>
      </c>
    </row>
    <row r="122" spans="2:11" x14ac:dyDescent="0.25">
      <c r="C122" t="s">
        <v>289</v>
      </c>
      <c r="D122" t="s">
        <v>511</v>
      </c>
      <c r="E122">
        <v>124.96</v>
      </c>
      <c r="F122">
        <v>71.25</v>
      </c>
      <c r="G122">
        <v>86.64</v>
      </c>
      <c r="I122" t="str">
        <f>"319/17771"</f>
        <v>319/17771</v>
      </c>
      <c r="J122" t="str">
        <f>"210/6417"</f>
        <v>210/6417</v>
      </c>
      <c r="K122" t="str">
        <f>"320/11267"</f>
        <v>320/11267</v>
      </c>
    </row>
    <row r="123" spans="2:11" x14ac:dyDescent="0.25">
      <c r="C123" t="s">
        <v>291</v>
      </c>
      <c r="D123" t="s">
        <v>512</v>
      </c>
      <c r="E123">
        <v>104.75</v>
      </c>
      <c r="F123">
        <v>59.59</v>
      </c>
      <c r="G123">
        <v>77.489999999999995</v>
      </c>
      <c r="I123" t="str">
        <f>"410/18729"</f>
        <v>410/18729</v>
      </c>
      <c r="J123" t="str">
        <f>"277/6989"</f>
        <v>277/6989</v>
      </c>
      <c r="K123" t="str">
        <f>"425/12775"</f>
        <v>425/12775</v>
      </c>
    </row>
    <row r="124" spans="2:11" x14ac:dyDescent="0.25">
      <c r="C124" t="s">
        <v>293</v>
      </c>
      <c r="D124" t="s">
        <v>513</v>
      </c>
      <c r="E124">
        <v>32.89</v>
      </c>
      <c r="F124">
        <v>24.94</v>
      </c>
      <c r="G124">
        <v>28.56</v>
      </c>
      <c r="I124" t="str">
        <f>"500/6049"</f>
        <v>500/6049</v>
      </c>
      <c r="J124" t="str">
        <f>"417/4164"</f>
        <v>417/4164</v>
      </c>
      <c r="K124" t="str">
        <f>"614/6653"</f>
        <v>614/6653</v>
      </c>
    </row>
    <row r="125" spans="2:11" x14ac:dyDescent="0.25">
      <c r="C125" t="s">
        <v>295</v>
      </c>
      <c r="D125" t="s">
        <v>119</v>
      </c>
      <c r="E125">
        <v>22.77</v>
      </c>
      <c r="F125">
        <v>16.899999999999999</v>
      </c>
      <c r="G125">
        <v>21.56</v>
      </c>
      <c r="I125" t="str">
        <f>"602/4639"</f>
        <v>602/4639</v>
      </c>
      <c r="J125" t="str">
        <f>"456/2942"</f>
        <v>456/2942</v>
      </c>
      <c r="K125" t="str">
        <f>"733/5530"</f>
        <v>733/5530</v>
      </c>
    </row>
    <row r="126" spans="2:11" x14ac:dyDescent="0.25">
      <c r="C126" t="s">
        <v>297</v>
      </c>
      <c r="D126" t="s">
        <v>120</v>
      </c>
      <c r="E126">
        <v>22.75</v>
      </c>
      <c r="F126">
        <v>16.760000000000002</v>
      </c>
      <c r="G126">
        <v>21.49</v>
      </c>
      <c r="I126" t="str">
        <f>"594/4599"</f>
        <v>594/4599</v>
      </c>
      <c r="J126" t="str">
        <f>"449/2870"</f>
        <v>449/2870</v>
      </c>
      <c r="K126" t="str">
        <f>"723/5435"</f>
        <v>723/5435</v>
      </c>
    </row>
    <row r="127" spans="2:11" x14ac:dyDescent="0.25">
      <c r="C127" t="s">
        <v>299</v>
      </c>
      <c r="D127" t="s">
        <v>115</v>
      </c>
      <c r="E127">
        <v>22.92</v>
      </c>
      <c r="F127">
        <v>16.53</v>
      </c>
      <c r="G127">
        <v>21.39</v>
      </c>
      <c r="I127" t="str">
        <f>"584/4563"</f>
        <v>584/4563</v>
      </c>
      <c r="J127" t="str">
        <f>"446/2821"</f>
        <v>446/2821</v>
      </c>
      <c r="K127" t="str">
        <f>"715/5351"</f>
        <v>715/5351</v>
      </c>
    </row>
    <row r="128" spans="2:11" x14ac:dyDescent="0.25">
      <c r="C128" t="s">
        <v>343</v>
      </c>
      <c r="D128" t="s">
        <v>123</v>
      </c>
      <c r="E128">
        <v>22.75</v>
      </c>
      <c r="F128">
        <v>16.2</v>
      </c>
      <c r="G128">
        <v>20.6</v>
      </c>
      <c r="I128" t="str">
        <f>"562/4378"</f>
        <v>562/4378</v>
      </c>
      <c r="J128" t="str">
        <f>"424/2632"</f>
        <v>424/2632</v>
      </c>
      <c r="K128" t="str">
        <f>"682/4929"</f>
        <v>682/4929</v>
      </c>
    </row>
    <row r="129" spans="3:11" x14ac:dyDescent="0.25">
      <c r="C129" t="s">
        <v>344</v>
      </c>
      <c r="D129" t="s">
        <v>124</v>
      </c>
      <c r="E129">
        <v>17.79</v>
      </c>
      <c r="F129">
        <v>17.7</v>
      </c>
      <c r="G129">
        <v>17.010000000000002</v>
      </c>
      <c r="I129" t="str">
        <f>"563/3399"</f>
        <v>563/3399</v>
      </c>
      <c r="J129" t="str">
        <f>"442/2888"</f>
        <v>442/2888</v>
      </c>
      <c r="K129" t="str">
        <f>"666/3999"</f>
        <v>666/3999</v>
      </c>
    </row>
    <row r="130" spans="3:11" x14ac:dyDescent="0.25">
      <c r="C130" t="s">
        <v>345</v>
      </c>
      <c r="D130" t="s">
        <v>127</v>
      </c>
      <c r="E130">
        <v>18.670000000000002</v>
      </c>
      <c r="F130">
        <v>14.56</v>
      </c>
      <c r="G130">
        <v>16.52</v>
      </c>
      <c r="I130" t="str">
        <f>"481/3264"</f>
        <v>481/3264</v>
      </c>
      <c r="J130" t="str">
        <f>"351/1942"</f>
        <v>351/1942</v>
      </c>
      <c r="K130" t="str">
        <f>"514/2926"</f>
        <v>514/2926</v>
      </c>
    </row>
    <row r="131" spans="3:11" x14ac:dyDescent="0.25">
      <c r="C131" t="s">
        <v>514</v>
      </c>
    </row>
    <row r="133" spans="3:11" x14ac:dyDescent="0.25">
      <c r="C133" t="s">
        <v>17</v>
      </c>
      <c r="F133" t="s">
        <v>7</v>
      </c>
      <c r="J133" t="s">
        <v>13</v>
      </c>
    </row>
    <row r="134" spans="3:11" x14ac:dyDescent="0.25">
      <c r="D134" t="s">
        <v>14</v>
      </c>
      <c r="E134" t="s">
        <v>1</v>
      </c>
      <c r="F134" t="s">
        <v>3</v>
      </c>
      <c r="G134" t="s">
        <v>2</v>
      </c>
      <c r="I134" t="s">
        <v>1</v>
      </c>
      <c r="J134" t="s">
        <v>3</v>
      </c>
      <c r="K134" t="s">
        <v>2</v>
      </c>
    </row>
    <row r="135" spans="3:11" x14ac:dyDescent="0.25">
      <c r="C135" t="s">
        <v>289</v>
      </c>
      <c r="D135" t="s">
        <v>290</v>
      </c>
      <c r="E135">
        <v>19.73</v>
      </c>
      <c r="F135">
        <v>12.01</v>
      </c>
      <c r="G135">
        <v>15.82</v>
      </c>
      <c r="I135" t="str">
        <f>"25/245"</f>
        <v>25/245</v>
      </c>
      <c r="J135" t="str">
        <f>"15/86"</f>
        <v>15/86</v>
      </c>
      <c r="K135" t="str">
        <f>"21/152"</f>
        <v>21/152</v>
      </c>
    </row>
    <row r="136" spans="3:11" x14ac:dyDescent="0.25">
      <c r="C136" t="s">
        <v>291</v>
      </c>
      <c r="D136" t="s">
        <v>515</v>
      </c>
      <c r="E136">
        <v>23.29</v>
      </c>
      <c r="F136">
        <v>10.31</v>
      </c>
      <c r="G136">
        <v>13.58</v>
      </c>
      <c r="I136" t="str">
        <f>"261/2400"</f>
        <v>261/2400</v>
      </c>
      <c r="J136" t="str">
        <f>"122/498"</f>
        <v>122/498</v>
      </c>
      <c r="K136" t="str">
        <f>"183/909"</f>
        <v>183/909</v>
      </c>
    </row>
    <row r="137" spans="3:11" x14ac:dyDescent="0.25">
      <c r="C137" t="s">
        <v>293</v>
      </c>
      <c r="D137" t="s">
        <v>516</v>
      </c>
      <c r="E137">
        <v>22.82</v>
      </c>
      <c r="F137">
        <v>10.77</v>
      </c>
      <c r="G137">
        <v>12.91</v>
      </c>
      <c r="I137" t="str">
        <f>"311/2619"</f>
        <v>311/2619</v>
      </c>
      <c r="J137" t="str">
        <f>"173/695"</f>
        <v>173/695</v>
      </c>
      <c r="K137" t="str">
        <f>"264/1157"</f>
        <v>264/1157</v>
      </c>
    </row>
    <row r="138" spans="3:11" x14ac:dyDescent="0.25">
      <c r="C138" t="s">
        <v>714</v>
      </c>
    </row>
    <row r="140" spans="3:11" x14ac:dyDescent="0.25">
      <c r="C140" t="s">
        <v>18</v>
      </c>
      <c r="F140" t="s">
        <v>7</v>
      </c>
      <c r="J140" t="s">
        <v>13</v>
      </c>
    </row>
    <row r="141" spans="3:11" x14ac:dyDescent="0.25">
      <c r="D141" t="s">
        <v>14</v>
      </c>
      <c r="E141" t="s">
        <v>1</v>
      </c>
      <c r="F141" t="s">
        <v>3</v>
      </c>
      <c r="G141" t="s">
        <v>2</v>
      </c>
      <c r="I141" t="s">
        <v>1</v>
      </c>
      <c r="J141" t="s">
        <v>3</v>
      </c>
      <c r="K141" t="s">
        <v>2</v>
      </c>
    </row>
    <row r="142" spans="3:11" x14ac:dyDescent="0.25">
      <c r="C142" t="s">
        <v>351</v>
      </c>
    </row>
    <row r="144" spans="3:11" x14ac:dyDescent="0.25">
      <c r="C144" t="s">
        <v>36</v>
      </c>
      <c r="F144" t="s">
        <v>7</v>
      </c>
      <c r="J144" t="s">
        <v>13</v>
      </c>
    </row>
    <row r="145" spans="2:11" x14ac:dyDescent="0.25">
      <c r="D145" t="s">
        <v>14</v>
      </c>
      <c r="E145" t="s">
        <v>1</v>
      </c>
      <c r="F145" t="s">
        <v>3</v>
      </c>
      <c r="G145" t="s">
        <v>2</v>
      </c>
      <c r="I145" t="s">
        <v>1</v>
      </c>
      <c r="J145" t="s">
        <v>3</v>
      </c>
      <c r="K145" t="s">
        <v>2</v>
      </c>
    </row>
    <row r="146" spans="2:11" x14ac:dyDescent="0.25">
      <c r="C146" t="s">
        <v>289</v>
      </c>
      <c r="D146" t="s">
        <v>114</v>
      </c>
      <c r="E146">
        <v>14.63</v>
      </c>
      <c r="F146">
        <v>15.66</v>
      </c>
      <c r="G146">
        <v>13.81</v>
      </c>
      <c r="I146" t="str">
        <f>"437/2197"</f>
        <v>437/2197</v>
      </c>
      <c r="J146" t="str">
        <f>"353/2050"</f>
        <v>353/2050</v>
      </c>
      <c r="K146" t="str">
        <f>"540/2676"</f>
        <v>540/2676</v>
      </c>
    </row>
    <row r="147" spans="2:11" x14ac:dyDescent="0.25">
      <c r="C147" t="s">
        <v>291</v>
      </c>
      <c r="D147" t="s">
        <v>348</v>
      </c>
      <c r="E147">
        <v>12.31</v>
      </c>
      <c r="F147">
        <v>14.05</v>
      </c>
      <c r="G147">
        <v>13.69</v>
      </c>
      <c r="I147" t="str">
        <f>"337/1494"</f>
        <v>337/1494</v>
      </c>
      <c r="J147" t="str">
        <f>"297/1573"</f>
        <v>297/1573</v>
      </c>
      <c r="K147" t="str">
        <f>"414/2042"</f>
        <v>414/2042</v>
      </c>
    </row>
    <row r="148" spans="2:11" x14ac:dyDescent="0.25">
      <c r="C148" t="s">
        <v>715</v>
      </c>
    </row>
    <row r="150" spans="2:11" x14ac:dyDescent="0.25">
      <c r="B150" t="s">
        <v>38</v>
      </c>
      <c r="C150" t="s">
        <v>310</v>
      </c>
    </row>
    <row r="152" spans="2:11" x14ac:dyDescent="0.25">
      <c r="C152" t="s">
        <v>11</v>
      </c>
      <c r="F152" t="s">
        <v>7</v>
      </c>
      <c r="J152" t="s">
        <v>13</v>
      </c>
    </row>
    <row r="153" spans="2:11" x14ac:dyDescent="0.25">
      <c r="D153" t="s">
        <v>14</v>
      </c>
      <c r="E153" t="s">
        <v>1</v>
      </c>
      <c r="F153" t="s">
        <v>3</v>
      </c>
      <c r="G153" t="s">
        <v>2</v>
      </c>
      <c r="I153" t="s">
        <v>1</v>
      </c>
      <c r="J153" t="s">
        <v>3</v>
      </c>
      <c r="K153" t="s">
        <v>2</v>
      </c>
    </row>
    <row r="154" spans="2:11" x14ac:dyDescent="0.25">
      <c r="C154" t="s">
        <v>311</v>
      </c>
      <c r="D154" t="s">
        <v>517</v>
      </c>
      <c r="E154">
        <v>265.12</v>
      </c>
      <c r="F154">
        <v>139.05000000000001</v>
      </c>
      <c r="G154">
        <v>190.29</v>
      </c>
      <c r="I154" t="str">
        <f>"449/52690"</f>
        <v>449/52690</v>
      </c>
      <c r="J154" t="str">
        <f>"344/20963"</f>
        <v>344/20963</v>
      </c>
      <c r="K154" t="str">
        <f>"521/40904"</f>
        <v>521/40904</v>
      </c>
    </row>
    <row r="155" spans="2:11" x14ac:dyDescent="0.25">
      <c r="C155" t="s">
        <v>312</v>
      </c>
      <c r="D155" t="s">
        <v>518</v>
      </c>
      <c r="E155">
        <v>244.81</v>
      </c>
      <c r="F155">
        <v>124.21</v>
      </c>
      <c r="G155">
        <v>175.15</v>
      </c>
      <c r="I155" t="str">
        <f>"368/40495"</f>
        <v>368/40495</v>
      </c>
      <c r="J155" t="str">
        <f>"269/14797"</f>
        <v>269/14797</v>
      </c>
      <c r="K155" t="str">
        <f>"412/30095"</f>
        <v>412/30095</v>
      </c>
    </row>
    <row r="156" spans="2:11" x14ac:dyDescent="0.25">
      <c r="C156" t="s">
        <v>313</v>
      </c>
      <c r="D156" t="s">
        <v>519</v>
      </c>
      <c r="E156">
        <v>244.81</v>
      </c>
      <c r="F156">
        <v>124.21</v>
      </c>
      <c r="G156">
        <v>175.15</v>
      </c>
      <c r="I156" t="str">
        <f>"368/40495"</f>
        <v>368/40495</v>
      </c>
      <c r="J156" t="str">
        <f>"269/14797"</f>
        <v>269/14797</v>
      </c>
      <c r="K156" t="str">
        <f>"412/30095"</f>
        <v>412/30095</v>
      </c>
    </row>
    <row r="157" spans="2:11" x14ac:dyDescent="0.25">
      <c r="C157" t="s">
        <v>314</v>
      </c>
      <c r="D157" t="s">
        <v>520</v>
      </c>
      <c r="E157">
        <v>244.81</v>
      </c>
      <c r="F157">
        <v>122.11</v>
      </c>
      <c r="G157">
        <v>173.93</v>
      </c>
      <c r="I157" t="str">
        <f>"368/40495"</f>
        <v>368/40495</v>
      </c>
      <c r="J157" t="str">
        <f>"274/14816"</f>
        <v>274/14816</v>
      </c>
      <c r="K157" t="str">
        <f>"415/30101"</f>
        <v>415/30101</v>
      </c>
    </row>
    <row r="158" spans="2:11" x14ac:dyDescent="0.25">
      <c r="C158" t="s">
        <v>315</v>
      </c>
      <c r="D158" t="s">
        <v>521</v>
      </c>
      <c r="E158">
        <v>223.06</v>
      </c>
      <c r="F158">
        <v>112.95</v>
      </c>
      <c r="G158">
        <v>165.83</v>
      </c>
      <c r="I158" t="str">
        <f>"325/32607"</f>
        <v>325/32607</v>
      </c>
      <c r="J158" t="str">
        <f>"223/11248"</f>
        <v>223/11248</v>
      </c>
      <c r="K158" t="str">
        <f>"363/25488"</f>
        <v>363/25488</v>
      </c>
    </row>
    <row r="159" spans="2:11" x14ac:dyDescent="0.25">
      <c r="C159" t="s">
        <v>397</v>
      </c>
      <c r="D159" t="s">
        <v>522</v>
      </c>
      <c r="E159">
        <v>215.04</v>
      </c>
      <c r="F159">
        <v>104.17</v>
      </c>
      <c r="G159">
        <v>157.22</v>
      </c>
      <c r="I159" t="str">
        <f>"291/28454"</f>
        <v>291/28454</v>
      </c>
      <c r="J159" t="str">
        <f>"198/9252"</f>
        <v>198/9252</v>
      </c>
      <c r="K159" t="str">
        <f>"331/22250"</f>
        <v>331/22250</v>
      </c>
    </row>
    <row r="160" spans="2:11" x14ac:dyDescent="0.25">
      <c r="C160" t="s">
        <v>523</v>
      </c>
      <c r="D160" t="s">
        <v>318</v>
      </c>
      <c r="E160">
        <v>207.81</v>
      </c>
      <c r="F160">
        <v>103.05</v>
      </c>
      <c r="G160">
        <v>153.94999999999999</v>
      </c>
      <c r="I160" t="str">
        <f>"267/25459"</f>
        <v>267/25459</v>
      </c>
      <c r="J160" t="str">
        <f>"184/8581"</f>
        <v>184/8581</v>
      </c>
      <c r="K160" t="str">
        <f>"299/19783"</f>
        <v>299/19783</v>
      </c>
    </row>
    <row r="161" spans="3:11" x14ac:dyDescent="0.25">
      <c r="C161" t="s">
        <v>524</v>
      </c>
      <c r="D161" t="s">
        <v>525</v>
      </c>
      <c r="E161">
        <v>209.07</v>
      </c>
      <c r="F161">
        <v>102.77</v>
      </c>
      <c r="G161">
        <v>152.87</v>
      </c>
      <c r="I161" t="str">
        <f>"280/26681"</f>
        <v>280/26681</v>
      </c>
      <c r="J161" t="str">
        <f>"194/8977"</f>
        <v>194/8977</v>
      </c>
      <c r="K161" t="str">
        <f>"323/21134"</f>
        <v>323/21134</v>
      </c>
    </row>
    <row r="162" spans="3:11" x14ac:dyDescent="0.25">
      <c r="C162" t="s">
        <v>526</v>
      </c>
      <c r="D162" t="s">
        <v>319</v>
      </c>
      <c r="E162">
        <v>207.01</v>
      </c>
      <c r="F162">
        <v>103.05</v>
      </c>
      <c r="G162">
        <v>153.03</v>
      </c>
      <c r="I162" t="str">
        <f>"266/25261"</f>
        <v>266/25261</v>
      </c>
      <c r="J162" t="str">
        <f>"184/8581"</f>
        <v>184/8581</v>
      </c>
      <c r="K162" t="str">
        <f>"298/19586"</f>
        <v>298/19586</v>
      </c>
    </row>
    <row r="163" spans="3:11" x14ac:dyDescent="0.25">
      <c r="C163" t="s">
        <v>527</v>
      </c>
      <c r="D163" t="s">
        <v>528</v>
      </c>
      <c r="E163">
        <v>194.25</v>
      </c>
      <c r="F163">
        <v>106.83</v>
      </c>
      <c r="G163">
        <v>126.57</v>
      </c>
      <c r="I163" t="str">
        <f>"601/48668"</f>
        <v>601/48668</v>
      </c>
      <c r="J163" t="str">
        <f>"500/21628"</f>
        <v>500/21628</v>
      </c>
      <c r="K163" t="str">
        <f>"749/36978"</f>
        <v>749/36978</v>
      </c>
    </row>
    <row r="164" spans="3:11" x14ac:dyDescent="0.25">
      <c r="C164" t="s">
        <v>529</v>
      </c>
      <c r="D164" t="s">
        <v>530</v>
      </c>
      <c r="E164">
        <v>186.49</v>
      </c>
      <c r="F164">
        <v>104</v>
      </c>
      <c r="G164">
        <v>122.39</v>
      </c>
      <c r="I164" t="str">
        <f>"579/45050"</f>
        <v>579/45050</v>
      </c>
      <c r="J164" t="str">
        <f>"489/20548"</f>
        <v>489/20548</v>
      </c>
      <c r="K164" t="str">
        <f>"733/34877"</f>
        <v>733/34877</v>
      </c>
    </row>
    <row r="165" spans="3:11" x14ac:dyDescent="0.25">
      <c r="C165" t="s">
        <v>531</v>
      </c>
      <c r="D165" t="s">
        <v>532</v>
      </c>
      <c r="E165">
        <v>152.1</v>
      </c>
      <c r="F165">
        <v>82.17</v>
      </c>
      <c r="G165">
        <v>107.74</v>
      </c>
      <c r="I165" t="str">
        <f>"504/31056"</f>
        <v>504/31056</v>
      </c>
      <c r="J165" t="str">
        <f>"450/15211"</f>
        <v>450/15211</v>
      </c>
      <c r="K165" t="str">
        <f>"726/31016"</f>
        <v>726/31016</v>
      </c>
    </row>
    <row r="166" spans="3:11" x14ac:dyDescent="0.25">
      <c r="C166" t="s">
        <v>533</v>
      </c>
    </row>
    <row r="168" spans="3:11" x14ac:dyDescent="0.25">
      <c r="C168" t="s">
        <v>17</v>
      </c>
      <c r="F168" t="s">
        <v>7</v>
      </c>
      <c r="J168" t="s">
        <v>13</v>
      </c>
    </row>
    <row r="169" spans="3:11" x14ac:dyDescent="0.25">
      <c r="D169" t="s">
        <v>14</v>
      </c>
      <c r="E169" t="s">
        <v>1</v>
      </c>
      <c r="F169" t="s">
        <v>3</v>
      </c>
      <c r="G169" t="s">
        <v>2</v>
      </c>
      <c r="I169" t="s">
        <v>1</v>
      </c>
      <c r="J169" t="s">
        <v>3</v>
      </c>
      <c r="K169" t="s">
        <v>2</v>
      </c>
    </row>
    <row r="170" spans="3:11" x14ac:dyDescent="0.25">
      <c r="C170" t="s">
        <v>320</v>
      </c>
    </row>
    <row r="172" spans="3:11" x14ac:dyDescent="0.25">
      <c r="C172" t="s">
        <v>18</v>
      </c>
      <c r="F172" t="s">
        <v>7</v>
      </c>
      <c r="J172" t="s">
        <v>13</v>
      </c>
    </row>
    <row r="173" spans="3:11" x14ac:dyDescent="0.25">
      <c r="D173" t="s">
        <v>14</v>
      </c>
      <c r="E173" t="s">
        <v>1</v>
      </c>
      <c r="F173" t="s">
        <v>3</v>
      </c>
      <c r="G173" t="s">
        <v>2</v>
      </c>
      <c r="I173" t="s">
        <v>1</v>
      </c>
      <c r="J173" t="s">
        <v>3</v>
      </c>
      <c r="K173" t="s">
        <v>2</v>
      </c>
    </row>
    <row r="174" spans="3:11" x14ac:dyDescent="0.25">
      <c r="C174" t="s">
        <v>320</v>
      </c>
    </row>
    <row r="176" spans="3:11" x14ac:dyDescent="0.25">
      <c r="C176" t="s">
        <v>36</v>
      </c>
      <c r="F176" t="s">
        <v>7</v>
      </c>
      <c r="J176" t="s">
        <v>13</v>
      </c>
    </row>
    <row r="177" spans="1:11" x14ac:dyDescent="0.25">
      <c r="D177" t="s">
        <v>14</v>
      </c>
      <c r="E177" t="s">
        <v>1</v>
      </c>
      <c r="F177" t="s">
        <v>3</v>
      </c>
      <c r="G177" t="s">
        <v>2</v>
      </c>
      <c r="I177" t="s">
        <v>1</v>
      </c>
      <c r="J177" t="s">
        <v>3</v>
      </c>
      <c r="K177" t="s">
        <v>2</v>
      </c>
    </row>
    <row r="178" spans="1:11" x14ac:dyDescent="0.25">
      <c r="C178" t="s">
        <v>320</v>
      </c>
    </row>
    <row r="182" spans="1:11" x14ac:dyDescent="0.25">
      <c r="A182" t="s">
        <v>4</v>
      </c>
      <c r="B182" t="s">
        <v>6</v>
      </c>
    </row>
    <row r="184" spans="1:11" x14ac:dyDescent="0.25">
      <c r="B184" t="s">
        <v>10</v>
      </c>
      <c r="C184" t="s">
        <v>686</v>
      </c>
    </row>
    <row r="186" spans="1:11" x14ac:dyDescent="0.25">
      <c r="C186" t="s">
        <v>11</v>
      </c>
      <c r="F186" t="s">
        <v>7</v>
      </c>
      <c r="J186" t="s">
        <v>13</v>
      </c>
    </row>
    <row r="187" spans="1:11" x14ac:dyDescent="0.25">
      <c r="D187" t="s">
        <v>14</v>
      </c>
      <c r="E187" t="s">
        <v>1</v>
      </c>
      <c r="F187" t="s">
        <v>3</v>
      </c>
      <c r="G187" t="s">
        <v>2</v>
      </c>
      <c r="I187" t="s">
        <v>1</v>
      </c>
      <c r="J187" t="s">
        <v>3</v>
      </c>
      <c r="K187" t="s">
        <v>2</v>
      </c>
    </row>
    <row r="188" spans="1:11" x14ac:dyDescent="0.25">
      <c r="C188" t="s">
        <v>687</v>
      </c>
      <c r="D188" t="s">
        <v>147</v>
      </c>
      <c r="E188">
        <v>214.86</v>
      </c>
      <c r="F188">
        <v>119.78</v>
      </c>
      <c r="G188">
        <v>200.08</v>
      </c>
      <c r="I188" t="str">
        <f>"287/553"</f>
        <v>287/553</v>
      </c>
      <c r="J188" t="str">
        <f>"174/179"</f>
        <v>174/179</v>
      </c>
      <c r="K188" t="str">
        <f>"271/462"</f>
        <v>271/462</v>
      </c>
    </row>
    <row r="189" spans="1:11" x14ac:dyDescent="0.25">
      <c r="C189" t="s">
        <v>689</v>
      </c>
      <c r="D189" t="s">
        <v>148</v>
      </c>
      <c r="E189">
        <v>203.42</v>
      </c>
      <c r="F189">
        <v>123.02</v>
      </c>
      <c r="G189">
        <v>179.05</v>
      </c>
      <c r="I189" t="str">
        <f>"235/435"</f>
        <v>235/435</v>
      </c>
      <c r="J189" t="str">
        <f>"125/124"</f>
        <v>125/124</v>
      </c>
      <c r="K189" t="str">
        <f>"196/196"</f>
        <v>196/196</v>
      </c>
    </row>
    <row r="190" spans="1:11" x14ac:dyDescent="0.25">
      <c r="C190" t="s">
        <v>691</v>
      </c>
      <c r="D190" t="s">
        <v>171</v>
      </c>
      <c r="E190">
        <v>188.65</v>
      </c>
      <c r="F190">
        <v>98.38</v>
      </c>
      <c r="G190">
        <v>170.27</v>
      </c>
      <c r="I190" t="str">
        <f>"264/499"</f>
        <v>264/499</v>
      </c>
      <c r="J190" t="str">
        <f>"163/220"</f>
        <v>163/220</v>
      </c>
      <c r="K190" t="str">
        <f>"311/799"</f>
        <v>311/799</v>
      </c>
    </row>
    <row r="191" spans="1:11" x14ac:dyDescent="0.25">
      <c r="C191" t="s">
        <v>693</v>
      </c>
      <c r="D191" t="s">
        <v>262</v>
      </c>
      <c r="E191">
        <v>187.21</v>
      </c>
      <c r="F191">
        <v>88.18</v>
      </c>
      <c r="G191">
        <v>151.61000000000001</v>
      </c>
      <c r="I191" t="str">
        <f>"296/2839"</f>
        <v>296/2839</v>
      </c>
      <c r="J191" t="str">
        <f>"158/389"</f>
        <v>158/389</v>
      </c>
      <c r="K191" t="str">
        <f>"302/2108"</f>
        <v>302/2108</v>
      </c>
    </row>
    <row r="192" spans="1:11" x14ac:dyDescent="0.25">
      <c r="C192" t="s">
        <v>694</v>
      </c>
      <c r="D192" t="s">
        <v>451</v>
      </c>
      <c r="E192">
        <v>166.23</v>
      </c>
      <c r="F192">
        <v>84.49</v>
      </c>
      <c r="G192">
        <v>168.97</v>
      </c>
      <c r="I192" t="str">
        <f>"222/356"</f>
        <v>222/356</v>
      </c>
      <c r="J192" t="str">
        <f>"166/293"</f>
        <v>166/293</v>
      </c>
      <c r="K192" t="str">
        <f>"254/659"</f>
        <v>254/659</v>
      </c>
    </row>
    <row r="193" spans="3:11" x14ac:dyDescent="0.25">
      <c r="C193" t="s">
        <v>696</v>
      </c>
      <c r="D193" t="s">
        <v>457</v>
      </c>
      <c r="E193">
        <v>135.49</v>
      </c>
      <c r="F193">
        <v>64.72</v>
      </c>
      <c r="G193">
        <v>144.27000000000001</v>
      </c>
      <c r="I193" t="str">
        <f>"166/268"</f>
        <v>166/268</v>
      </c>
      <c r="J193" t="str">
        <f>"87/129"</f>
        <v>87/129</v>
      </c>
      <c r="K193" t="str">
        <f>"168/296"</f>
        <v>168/296</v>
      </c>
    </row>
    <row r="194" spans="3:11" x14ac:dyDescent="0.25">
      <c r="C194" t="s">
        <v>697</v>
      </c>
      <c r="D194" t="s">
        <v>447</v>
      </c>
      <c r="E194">
        <v>127.67</v>
      </c>
      <c r="F194">
        <v>75.03</v>
      </c>
      <c r="G194">
        <v>124.02</v>
      </c>
      <c r="I194" t="str">
        <f>"137/257"</f>
        <v>137/257</v>
      </c>
      <c r="J194" t="str">
        <f>"77/76"</f>
        <v>77/76</v>
      </c>
      <c r="K194" t="str">
        <f>"126/125"</f>
        <v>126/125</v>
      </c>
    </row>
    <row r="195" spans="3:11" x14ac:dyDescent="0.25">
      <c r="C195" t="s">
        <v>698</v>
      </c>
      <c r="D195" t="s">
        <v>271</v>
      </c>
      <c r="E195">
        <v>127.01</v>
      </c>
      <c r="F195">
        <v>61.54</v>
      </c>
      <c r="G195">
        <v>135.21</v>
      </c>
      <c r="I195" t="str">
        <f>"154/251"</f>
        <v>154/251</v>
      </c>
      <c r="J195" t="str">
        <f>"81/122"</f>
        <v>81/122</v>
      </c>
      <c r="K195" t="str">
        <f>"155/278"</f>
        <v>155/278</v>
      </c>
    </row>
    <row r="196" spans="3:11" x14ac:dyDescent="0.25">
      <c r="C196" t="s">
        <v>699</v>
      </c>
      <c r="D196" t="s">
        <v>500</v>
      </c>
      <c r="E196">
        <v>127.67</v>
      </c>
      <c r="F196">
        <v>73.03</v>
      </c>
      <c r="G196">
        <v>123.02</v>
      </c>
      <c r="I196" t="str">
        <f>"137/257"</f>
        <v>137/257</v>
      </c>
      <c r="J196" t="str">
        <f>"75/74"</f>
        <v>75/74</v>
      </c>
      <c r="K196" t="str">
        <f>"125/124"</f>
        <v>125/124</v>
      </c>
    </row>
    <row r="197" spans="3:11" x14ac:dyDescent="0.25">
      <c r="C197" t="s">
        <v>700</v>
      </c>
      <c r="D197" t="s">
        <v>499</v>
      </c>
      <c r="E197">
        <v>127.67</v>
      </c>
      <c r="F197">
        <v>73.03</v>
      </c>
      <c r="G197">
        <v>123.02</v>
      </c>
      <c r="I197" t="str">
        <f>"137/257"</f>
        <v>137/257</v>
      </c>
      <c r="J197" t="str">
        <f>"75/74"</f>
        <v>75/74</v>
      </c>
      <c r="K197" t="str">
        <f>"125/124"</f>
        <v>125/124</v>
      </c>
    </row>
    <row r="198" spans="3:11" x14ac:dyDescent="0.25">
      <c r="C198" t="s">
        <v>701</v>
      </c>
      <c r="D198" t="s">
        <v>497</v>
      </c>
      <c r="E198">
        <v>127.67</v>
      </c>
      <c r="F198">
        <v>71.03</v>
      </c>
      <c r="G198">
        <v>121.02</v>
      </c>
      <c r="I198" t="str">
        <f>"137/257"</f>
        <v>137/257</v>
      </c>
      <c r="J198" t="str">
        <f>"73/72"</f>
        <v>73/72</v>
      </c>
      <c r="K198" t="str">
        <f>"123/122"</f>
        <v>123/122</v>
      </c>
    </row>
    <row r="199" spans="3:11" x14ac:dyDescent="0.25">
      <c r="C199" t="s">
        <v>702</v>
      </c>
      <c r="D199" t="s">
        <v>154</v>
      </c>
      <c r="E199">
        <v>113.46</v>
      </c>
      <c r="F199">
        <v>72.290000000000006</v>
      </c>
      <c r="G199">
        <v>116.03</v>
      </c>
      <c r="I199" t="str">
        <f>"197/328"</f>
        <v>197/328</v>
      </c>
      <c r="J199" t="str">
        <f>"137/143"</f>
        <v>137/143</v>
      </c>
      <c r="K199" t="str">
        <f>"159/156"</f>
        <v>159/156</v>
      </c>
    </row>
    <row r="200" spans="3:11" x14ac:dyDescent="0.25">
      <c r="C200" t="s">
        <v>710</v>
      </c>
      <c r="D200" t="s">
        <v>505</v>
      </c>
      <c r="E200">
        <v>127.67</v>
      </c>
      <c r="F200">
        <v>71.44</v>
      </c>
      <c r="G200">
        <v>96.9</v>
      </c>
      <c r="I200" t="str">
        <f>"137/257"</f>
        <v>137/257</v>
      </c>
      <c r="J200" t="str">
        <f>"81/79"</f>
        <v>81/79</v>
      </c>
      <c r="K200" t="str">
        <f>"167/162"</f>
        <v>167/162</v>
      </c>
    </row>
    <row r="201" spans="3:11" x14ac:dyDescent="0.25">
      <c r="C201" t="s">
        <v>711</v>
      </c>
      <c r="D201" t="s">
        <v>203</v>
      </c>
      <c r="E201">
        <v>125.26</v>
      </c>
      <c r="F201">
        <v>64.19</v>
      </c>
      <c r="G201">
        <v>105.4</v>
      </c>
      <c r="I201" t="str">
        <f>"173/1280"</f>
        <v>173/1280</v>
      </c>
      <c r="J201" t="str">
        <f>"91/96"</f>
        <v>91/96</v>
      </c>
      <c r="K201" t="str">
        <f>"170/636"</f>
        <v>170/636</v>
      </c>
    </row>
    <row r="202" spans="3:11" x14ac:dyDescent="0.25">
      <c r="C202" t="s">
        <v>716</v>
      </c>
      <c r="D202" t="s">
        <v>201</v>
      </c>
      <c r="E202">
        <v>125.26</v>
      </c>
      <c r="F202">
        <v>64.19</v>
      </c>
      <c r="G202">
        <v>105.4</v>
      </c>
      <c r="I202" t="str">
        <f>"173/1280"</f>
        <v>173/1280</v>
      </c>
      <c r="J202" t="str">
        <f>"91/96"</f>
        <v>91/96</v>
      </c>
      <c r="K202" t="str">
        <f>"170/636"</f>
        <v>170/636</v>
      </c>
    </row>
    <row r="203" spans="3:11" x14ac:dyDescent="0.25">
      <c r="C203" t="s">
        <v>717</v>
      </c>
      <c r="D203" t="s">
        <v>504</v>
      </c>
      <c r="E203">
        <v>127.67</v>
      </c>
      <c r="F203">
        <v>69.459999999999994</v>
      </c>
      <c r="G203">
        <v>96.94</v>
      </c>
      <c r="I203" t="str">
        <f>"137/257"</f>
        <v>137/257</v>
      </c>
      <c r="J203" t="str">
        <f>"79/77"</f>
        <v>79/77</v>
      </c>
      <c r="K203" t="str">
        <f>"164/159"</f>
        <v>164/159</v>
      </c>
    </row>
    <row r="204" spans="3:11" x14ac:dyDescent="0.25">
      <c r="C204" t="s">
        <v>718</v>
      </c>
      <c r="D204" t="s">
        <v>502</v>
      </c>
      <c r="E204">
        <v>127.67</v>
      </c>
      <c r="F204">
        <v>67.47</v>
      </c>
      <c r="G204">
        <v>95.9</v>
      </c>
      <c r="I204" t="str">
        <f>"137/257"</f>
        <v>137/257</v>
      </c>
      <c r="J204" t="str">
        <f>"77/75"</f>
        <v>77/75</v>
      </c>
      <c r="K204" t="str">
        <f>"160/155"</f>
        <v>160/155</v>
      </c>
    </row>
    <row r="205" spans="3:11" x14ac:dyDescent="0.25">
      <c r="C205" t="s">
        <v>719</v>
      </c>
      <c r="D205" t="s">
        <v>23</v>
      </c>
      <c r="E205">
        <v>118.67</v>
      </c>
      <c r="F205">
        <v>66.03</v>
      </c>
      <c r="G205">
        <v>104.02</v>
      </c>
      <c r="I205" t="str">
        <f>"127/239"</f>
        <v>127/239</v>
      </c>
      <c r="J205" t="str">
        <f>"68/67"</f>
        <v>68/67</v>
      </c>
      <c r="K205" t="str">
        <f>"106/105"</f>
        <v>106/105</v>
      </c>
    </row>
    <row r="206" spans="3:11" x14ac:dyDescent="0.25">
      <c r="C206" t="s">
        <v>720</v>
      </c>
      <c r="D206" t="s">
        <v>155</v>
      </c>
      <c r="E206">
        <v>119.59</v>
      </c>
      <c r="F206">
        <v>69.34</v>
      </c>
      <c r="G206">
        <v>98.17</v>
      </c>
      <c r="I206" t="str">
        <f>"245/368"</f>
        <v>245/368</v>
      </c>
      <c r="J206" t="str">
        <f>"134/132"</f>
        <v>134/132</v>
      </c>
      <c r="K206" t="str">
        <f>"155/154"</f>
        <v>155/154</v>
      </c>
    </row>
    <row r="207" spans="3:11" x14ac:dyDescent="0.25">
      <c r="C207" t="s">
        <v>721</v>
      </c>
      <c r="D207" t="s">
        <v>149</v>
      </c>
      <c r="E207">
        <v>119.59</v>
      </c>
      <c r="F207">
        <v>69.34</v>
      </c>
      <c r="G207">
        <v>98.17</v>
      </c>
      <c r="I207" t="str">
        <f>"245/368"</f>
        <v>245/368</v>
      </c>
      <c r="J207" t="str">
        <f>"134/132"</f>
        <v>134/132</v>
      </c>
      <c r="K207" t="str">
        <f>"155/154"</f>
        <v>155/154</v>
      </c>
    </row>
    <row r="208" spans="3:11" x14ac:dyDescent="0.25">
      <c r="C208" t="s">
        <v>722</v>
      </c>
      <c r="D208" t="s">
        <v>143</v>
      </c>
      <c r="E208">
        <v>125.77</v>
      </c>
      <c r="F208">
        <v>63.75</v>
      </c>
      <c r="G208">
        <v>92.58</v>
      </c>
      <c r="I208" t="str">
        <f>"295/393"</f>
        <v>295/393</v>
      </c>
      <c r="J208" t="str">
        <f>"165/206"</f>
        <v>165/206</v>
      </c>
      <c r="K208" t="str">
        <f>"265/413"</f>
        <v>265/413</v>
      </c>
    </row>
    <row r="209" spans="3:11" x14ac:dyDescent="0.25">
      <c r="C209" t="s">
        <v>723</v>
      </c>
      <c r="D209" t="s">
        <v>142</v>
      </c>
      <c r="E209">
        <v>125.77</v>
      </c>
      <c r="F209">
        <v>63.75</v>
      </c>
      <c r="G209">
        <v>92.39</v>
      </c>
      <c r="I209" t="str">
        <f>"295/393"</f>
        <v>295/393</v>
      </c>
      <c r="J209" t="str">
        <f>"165/206"</f>
        <v>165/206</v>
      </c>
      <c r="K209" t="str">
        <f>"266/415"</f>
        <v>266/415</v>
      </c>
    </row>
    <row r="210" spans="3:11" x14ac:dyDescent="0.25">
      <c r="C210" t="s">
        <v>724</v>
      </c>
      <c r="D210" t="s">
        <v>285</v>
      </c>
      <c r="E210">
        <v>98.31</v>
      </c>
      <c r="F210">
        <v>66.209999999999994</v>
      </c>
      <c r="G210">
        <v>105.72</v>
      </c>
      <c r="I210" t="str">
        <f>"169/284"</f>
        <v>169/284</v>
      </c>
      <c r="J210" t="str">
        <f>"104/102"</f>
        <v>104/102</v>
      </c>
      <c r="K210" t="str">
        <f>"130/127"</f>
        <v>130/127</v>
      </c>
    </row>
    <row r="211" spans="3:11" x14ac:dyDescent="0.25">
      <c r="C211" t="s">
        <v>725</v>
      </c>
      <c r="D211" t="s">
        <v>286</v>
      </c>
      <c r="E211">
        <v>98.31</v>
      </c>
      <c r="F211">
        <v>66.209999999999994</v>
      </c>
      <c r="G211">
        <v>105.72</v>
      </c>
      <c r="I211" t="str">
        <f>"169/284"</f>
        <v>169/284</v>
      </c>
      <c r="J211" t="str">
        <f>"104/102"</f>
        <v>104/102</v>
      </c>
      <c r="K211" t="str">
        <f>"130/127"</f>
        <v>130/127</v>
      </c>
    </row>
    <row r="212" spans="3:11" x14ac:dyDescent="0.25">
      <c r="C212" t="s">
        <v>726</v>
      </c>
      <c r="D212" t="s">
        <v>152</v>
      </c>
      <c r="E212">
        <v>98.22</v>
      </c>
      <c r="F212">
        <v>61.27</v>
      </c>
      <c r="G212">
        <v>101.63</v>
      </c>
      <c r="I212" t="str">
        <f>"174/289"</f>
        <v>174/289</v>
      </c>
      <c r="J212" t="str">
        <f>"116/119"</f>
        <v>116/119</v>
      </c>
      <c r="K212" t="str">
        <f>"136/133"</f>
        <v>136/133</v>
      </c>
    </row>
    <row r="213" spans="3:11" x14ac:dyDescent="0.25">
      <c r="C213" t="s">
        <v>727</v>
      </c>
    </row>
    <row r="215" spans="3:11" x14ac:dyDescent="0.25">
      <c r="C215" t="s">
        <v>17</v>
      </c>
      <c r="F215" t="s">
        <v>7</v>
      </c>
      <c r="J215" t="s">
        <v>13</v>
      </c>
    </row>
    <row r="216" spans="3:11" x14ac:dyDescent="0.25">
      <c r="D216" t="s">
        <v>14</v>
      </c>
      <c r="E216" t="s">
        <v>1</v>
      </c>
      <c r="F216" t="s">
        <v>3</v>
      </c>
      <c r="G216" t="s">
        <v>2</v>
      </c>
      <c r="I216" t="s">
        <v>1</v>
      </c>
      <c r="J216" t="s">
        <v>3</v>
      </c>
      <c r="K216" t="s">
        <v>2</v>
      </c>
    </row>
    <row r="217" spans="3:11" x14ac:dyDescent="0.25">
      <c r="C217" t="s">
        <v>687</v>
      </c>
      <c r="D217" t="s">
        <v>450</v>
      </c>
      <c r="E217">
        <v>135.63</v>
      </c>
      <c r="F217">
        <v>46.11</v>
      </c>
      <c r="G217">
        <v>137.65</v>
      </c>
      <c r="I217" t="str">
        <f>"174/274"</f>
        <v>174/274</v>
      </c>
      <c r="J217" t="str">
        <f>"71/92"</f>
        <v>71/92</v>
      </c>
      <c r="K217" t="str">
        <f>"163/279"</f>
        <v>163/279</v>
      </c>
    </row>
    <row r="218" spans="3:11" x14ac:dyDescent="0.25">
      <c r="C218" t="s">
        <v>689</v>
      </c>
      <c r="D218" t="s">
        <v>448</v>
      </c>
      <c r="E218">
        <v>122.71</v>
      </c>
      <c r="F218">
        <v>54.7</v>
      </c>
      <c r="G218">
        <v>132.02000000000001</v>
      </c>
      <c r="I218" t="str">
        <f>"244/584"</f>
        <v>244/584</v>
      </c>
      <c r="J218" t="str">
        <f>"118/147"</f>
        <v>118/147</v>
      </c>
      <c r="K218" t="str">
        <f>"246/771"</f>
        <v>246/771</v>
      </c>
    </row>
    <row r="219" spans="3:11" x14ac:dyDescent="0.25">
      <c r="C219" t="s">
        <v>691</v>
      </c>
      <c r="D219" t="s">
        <v>230</v>
      </c>
      <c r="E219">
        <v>130.54</v>
      </c>
      <c r="F219">
        <v>45.83</v>
      </c>
      <c r="G219">
        <v>128.11000000000001</v>
      </c>
      <c r="I219" t="str">
        <f>"166/264"</f>
        <v>166/264</v>
      </c>
      <c r="J219" t="str">
        <f>"69/90"</f>
        <v>69/90</v>
      </c>
      <c r="K219" t="str">
        <f>"152/260"</f>
        <v>152/260</v>
      </c>
    </row>
    <row r="220" spans="3:11" x14ac:dyDescent="0.25">
      <c r="C220" t="s">
        <v>693</v>
      </c>
      <c r="D220" t="s">
        <v>232</v>
      </c>
      <c r="E220">
        <v>130.54</v>
      </c>
      <c r="F220">
        <v>45.83</v>
      </c>
      <c r="G220">
        <v>128.11000000000001</v>
      </c>
      <c r="I220" t="str">
        <f>"166/264"</f>
        <v>166/264</v>
      </c>
      <c r="J220" t="str">
        <f>"69/90"</f>
        <v>69/90</v>
      </c>
      <c r="K220" t="str">
        <f>"152/260"</f>
        <v>152/260</v>
      </c>
    </row>
    <row r="221" spans="3:11" x14ac:dyDescent="0.25">
      <c r="C221" t="s">
        <v>694</v>
      </c>
      <c r="D221" t="s">
        <v>444</v>
      </c>
      <c r="E221">
        <v>131.37</v>
      </c>
      <c r="F221">
        <v>44.69</v>
      </c>
      <c r="G221">
        <v>128.21</v>
      </c>
      <c r="I221" t="str">
        <f>"180/277"</f>
        <v>180/277</v>
      </c>
      <c r="J221" t="str">
        <f>"82/102"</f>
        <v>82/102</v>
      </c>
      <c r="K221" t="str">
        <f>"169/283"</f>
        <v>169/283</v>
      </c>
    </row>
    <row r="222" spans="3:11" x14ac:dyDescent="0.25">
      <c r="C222" t="s">
        <v>696</v>
      </c>
      <c r="D222" t="s">
        <v>216</v>
      </c>
      <c r="E222">
        <v>130.54</v>
      </c>
      <c r="F222">
        <v>45.05</v>
      </c>
      <c r="G222">
        <v>128.11000000000001</v>
      </c>
      <c r="I222" t="str">
        <f>"166/264"</f>
        <v>166/264</v>
      </c>
      <c r="J222" t="str">
        <f>"68/89"</f>
        <v>68/89</v>
      </c>
      <c r="K222" t="str">
        <f>"152/260"</f>
        <v>152/260</v>
      </c>
    </row>
    <row r="223" spans="3:11" x14ac:dyDescent="0.25">
      <c r="C223" t="s">
        <v>697</v>
      </c>
      <c r="D223" t="s">
        <v>218</v>
      </c>
      <c r="E223">
        <v>130.54</v>
      </c>
      <c r="F223">
        <v>45.05</v>
      </c>
      <c r="G223">
        <v>128.11000000000001</v>
      </c>
      <c r="I223" t="str">
        <f>"166/264"</f>
        <v>166/264</v>
      </c>
      <c r="J223" t="str">
        <f>"68/89"</f>
        <v>68/89</v>
      </c>
      <c r="K223" t="str">
        <f>"152/260"</f>
        <v>152/260</v>
      </c>
    </row>
    <row r="224" spans="3:11" x14ac:dyDescent="0.25">
      <c r="C224" t="s">
        <v>698</v>
      </c>
      <c r="D224" t="s">
        <v>222</v>
      </c>
      <c r="E224">
        <v>130.54</v>
      </c>
      <c r="F224">
        <v>45.05</v>
      </c>
      <c r="G224">
        <v>128.11000000000001</v>
      </c>
      <c r="I224" t="str">
        <f>"166/264"</f>
        <v>166/264</v>
      </c>
      <c r="J224" t="str">
        <f>"68/89"</f>
        <v>68/89</v>
      </c>
      <c r="K224" t="str">
        <f>"152/260"</f>
        <v>152/260</v>
      </c>
    </row>
    <row r="225" spans="3:11" x14ac:dyDescent="0.25">
      <c r="C225" t="s">
        <v>699</v>
      </c>
      <c r="D225" t="s">
        <v>453</v>
      </c>
      <c r="E225">
        <v>129.88</v>
      </c>
      <c r="F225">
        <v>43.68</v>
      </c>
      <c r="G225">
        <v>125.76</v>
      </c>
      <c r="I225" t="str">
        <f>"177/274"</f>
        <v>177/274</v>
      </c>
      <c r="J225" t="str">
        <f>"79/99"</f>
        <v>79/99</v>
      </c>
      <c r="K225" t="str">
        <f>"165/278"</f>
        <v>165/278</v>
      </c>
    </row>
    <row r="226" spans="3:11" x14ac:dyDescent="0.25">
      <c r="C226" t="s">
        <v>700</v>
      </c>
      <c r="D226" t="s">
        <v>455</v>
      </c>
      <c r="E226">
        <v>99.51</v>
      </c>
      <c r="F226">
        <v>50.46</v>
      </c>
      <c r="G226">
        <v>102.37</v>
      </c>
      <c r="I226" t="str">
        <f>"169/351"</f>
        <v>169/351</v>
      </c>
      <c r="J226" t="str">
        <f>"121/200"</f>
        <v>121/200</v>
      </c>
      <c r="K226" t="str">
        <f>"188/463"</f>
        <v>188/463</v>
      </c>
    </row>
    <row r="227" spans="3:11" x14ac:dyDescent="0.25">
      <c r="C227" t="s">
        <v>393</v>
      </c>
    </row>
    <row r="229" spans="3:11" x14ac:dyDescent="0.25">
      <c r="C229" t="s">
        <v>18</v>
      </c>
      <c r="F229" t="s">
        <v>7</v>
      </c>
      <c r="J229" t="s">
        <v>13</v>
      </c>
    </row>
    <row r="230" spans="3:11" x14ac:dyDescent="0.25">
      <c r="D230" t="s">
        <v>14</v>
      </c>
      <c r="E230" t="s">
        <v>1</v>
      </c>
      <c r="F230" t="s">
        <v>3</v>
      </c>
      <c r="G230" t="s">
        <v>2</v>
      </c>
      <c r="I230" t="s">
        <v>1</v>
      </c>
      <c r="J230" t="s">
        <v>3</v>
      </c>
      <c r="K230" t="s">
        <v>2</v>
      </c>
    </row>
    <row r="231" spans="3:11" x14ac:dyDescent="0.25">
      <c r="C231" t="s">
        <v>687</v>
      </c>
      <c r="D231" t="s">
        <v>281</v>
      </c>
      <c r="E231">
        <v>136.52000000000001</v>
      </c>
      <c r="F231">
        <v>80.02</v>
      </c>
      <c r="G231">
        <v>23.09</v>
      </c>
      <c r="I231" t="str">
        <f>"145/160"</f>
        <v>145/160</v>
      </c>
      <c r="J231" t="str">
        <f>"82/81"</f>
        <v>82/81</v>
      </c>
      <c r="K231" t="str">
        <f>"40/39"</f>
        <v>40/39</v>
      </c>
    </row>
    <row r="232" spans="3:11" x14ac:dyDescent="0.25">
      <c r="C232" t="s">
        <v>689</v>
      </c>
      <c r="D232" t="s">
        <v>151</v>
      </c>
      <c r="E232">
        <v>128.16</v>
      </c>
      <c r="F232">
        <v>70.709999999999994</v>
      </c>
      <c r="G232">
        <v>28.84</v>
      </c>
      <c r="I232" t="str">
        <f>"303/448"</f>
        <v>303/448</v>
      </c>
      <c r="J232" t="str">
        <f>"216/337"</f>
        <v>216/337</v>
      </c>
      <c r="K232" t="str">
        <f>"263/320"</f>
        <v>263/320</v>
      </c>
    </row>
    <row r="233" spans="3:11" x14ac:dyDescent="0.25">
      <c r="C233" t="s">
        <v>691</v>
      </c>
      <c r="D233" t="s">
        <v>156</v>
      </c>
      <c r="E233">
        <v>127.46</v>
      </c>
      <c r="F233">
        <v>70.959999999999994</v>
      </c>
      <c r="G233">
        <v>28.54</v>
      </c>
      <c r="I233" t="str">
        <f>"302/447"</f>
        <v>302/447</v>
      </c>
      <c r="J233" t="str">
        <f>"215/336"</f>
        <v>215/336</v>
      </c>
      <c r="K233" t="str">
        <f>"258/313"</f>
        <v>258/313</v>
      </c>
    </row>
    <row r="234" spans="3:11" x14ac:dyDescent="0.25">
      <c r="C234" t="s">
        <v>693</v>
      </c>
      <c r="D234" t="s">
        <v>458</v>
      </c>
      <c r="E234">
        <v>115.56</v>
      </c>
      <c r="F234">
        <v>78.260000000000005</v>
      </c>
      <c r="G234">
        <v>25.69</v>
      </c>
      <c r="I234" t="str">
        <f>"249/439"</f>
        <v>249/439</v>
      </c>
      <c r="J234" t="str">
        <f>"86/84"</f>
        <v>86/84</v>
      </c>
      <c r="K234" t="str">
        <f>"106/106"</f>
        <v>106/106</v>
      </c>
    </row>
    <row r="235" spans="3:11" x14ac:dyDescent="0.25">
      <c r="C235" t="s">
        <v>694</v>
      </c>
      <c r="D235" t="s">
        <v>535</v>
      </c>
      <c r="E235">
        <v>114.32</v>
      </c>
      <c r="F235">
        <v>61.9</v>
      </c>
      <c r="G235">
        <v>14.04</v>
      </c>
      <c r="I235" t="str">
        <f>"125/124"</f>
        <v>125/124</v>
      </c>
      <c r="J235" t="str">
        <f>"70/69"</f>
        <v>70/69</v>
      </c>
      <c r="K235" t="str">
        <f>"79/95"</f>
        <v>79/95</v>
      </c>
    </row>
    <row r="236" spans="3:11" x14ac:dyDescent="0.25">
      <c r="C236" t="s">
        <v>696</v>
      </c>
      <c r="D236" t="s">
        <v>536</v>
      </c>
      <c r="E236">
        <v>114.32</v>
      </c>
      <c r="F236">
        <v>61.9</v>
      </c>
      <c r="G236">
        <v>14.04</v>
      </c>
      <c r="I236" t="str">
        <f>"125/124"</f>
        <v>125/124</v>
      </c>
      <c r="J236" t="str">
        <f>"70/69"</f>
        <v>70/69</v>
      </c>
      <c r="K236" t="str">
        <f>"79/95"</f>
        <v>79/95</v>
      </c>
    </row>
    <row r="237" spans="3:11" x14ac:dyDescent="0.25">
      <c r="C237" t="s">
        <v>728</v>
      </c>
    </row>
    <row r="239" spans="3:11" x14ac:dyDescent="0.25">
      <c r="C239" t="s">
        <v>36</v>
      </c>
      <c r="F239" t="s">
        <v>7</v>
      </c>
      <c r="J239" t="s">
        <v>13</v>
      </c>
    </row>
    <row r="240" spans="3:11" x14ac:dyDescent="0.25">
      <c r="D240" t="s">
        <v>14</v>
      </c>
      <c r="E240" t="s">
        <v>1</v>
      </c>
      <c r="F240" t="s">
        <v>3</v>
      </c>
      <c r="G240" t="s">
        <v>2</v>
      </c>
      <c r="I240" t="s">
        <v>1</v>
      </c>
      <c r="J240" t="s">
        <v>3</v>
      </c>
      <c r="K240" t="s">
        <v>2</v>
      </c>
    </row>
    <row r="241" spans="2:11" x14ac:dyDescent="0.25">
      <c r="C241" t="s">
        <v>687</v>
      </c>
      <c r="D241" t="s">
        <v>534</v>
      </c>
      <c r="E241">
        <v>93.7</v>
      </c>
      <c r="F241">
        <v>65.58</v>
      </c>
      <c r="G241">
        <v>71.5</v>
      </c>
      <c r="I241" t="str">
        <f>"130/292"</f>
        <v>130/292</v>
      </c>
      <c r="J241" t="str">
        <f>"89/147"</f>
        <v>89/147</v>
      </c>
      <c r="K241" t="str">
        <f>"133/308"</f>
        <v>133/308</v>
      </c>
    </row>
    <row r="242" spans="2:11" x14ac:dyDescent="0.25">
      <c r="C242" t="s">
        <v>689</v>
      </c>
      <c r="D242" t="s">
        <v>508</v>
      </c>
      <c r="E242">
        <v>81.790000000000006</v>
      </c>
      <c r="F242">
        <v>73.77</v>
      </c>
      <c r="G242">
        <v>69.849999999999994</v>
      </c>
      <c r="I242" t="str">
        <f>"142/293"</f>
        <v>142/293</v>
      </c>
      <c r="J242" t="str">
        <f>"101/159"</f>
        <v>101/159</v>
      </c>
      <c r="K242" t="str">
        <f>"138/302"</f>
        <v>138/302</v>
      </c>
    </row>
    <row r="243" spans="2:11" x14ac:dyDescent="0.25">
      <c r="C243" t="s">
        <v>691</v>
      </c>
      <c r="D243" t="s">
        <v>454</v>
      </c>
      <c r="E243">
        <v>76.38</v>
      </c>
      <c r="F243">
        <v>55.86</v>
      </c>
      <c r="G243">
        <v>80.180000000000007</v>
      </c>
      <c r="I243" t="str">
        <f>"103/237"</f>
        <v>103/237</v>
      </c>
      <c r="J243" t="str">
        <f>"65/112"</f>
        <v>65/112</v>
      </c>
      <c r="K243" t="str">
        <f>"117/315"</f>
        <v>117/315</v>
      </c>
    </row>
    <row r="244" spans="2:11" x14ac:dyDescent="0.25">
      <c r="C244" t="s">
        <v>729</v>
      </c>
    </row>
    <row r="246" spans="2:11" x14ac:dyDescent="0.25">
      <c r="B246" t="s">
        <v>37</v>
      </c>
      <c r="C246" t="s">
        <v>338</v>
      </c>
    </row>
    <row r="248" spans="2:11" x14ac:dyDescent="0.25">
      <c r="C248" t="s">
        <v>11</v>
      </c>
      <c r="F248" t="s">
        <v>7</v>
      </c>
      <c r="J248" t="s">
        <v>13</v>
      </c>
    </row>
    <row r="249" spans="2:11" x14ac:dyDescent="0.25">
      <c r="D249" t="s">
        <v>14</v>
      </c>
      <c r="E249" t="s">
        <v>1</v>
      </c>
      <c r="F249" t="s">
        <v>3</v>
      </c>
      <c r="G249" t="s">
        <v>2</v>
      </c>
      <c r="I249" t="s">
        <v>1</v>
      </c>
      <c r="J249" t="s">
        <v>3</v>
      </c>
      <c r="K249" t="s">
        <v>2</v>
      </c>
    </row>
    <row r="250" spans="2:11" x14ac:dyDescent="0.25">
      <c r="C250" t="s">
        <v>320</v>
      </c>
    </row>
    <row r="252" spans="2:11" x14ac:dyDescent="0.25">
      <c r="C252" t="s">
        <v>17</v>
      </c>
      <c r="F252" t="s">
        <v>7</v>
      </c>
      <c r="J252" t="s">
        <v>13</v>
      </c>
    </row>
    <row r="253" spans="2:11" x14ac:dyDescent="0.25">
      <c r="D253" t="s">
        <v>14</v>
      </c>
      <c r="E253" t="s">
        <v>1</v>
      </c>
      <c r="F253" t="s">
        <v>3</v>
      </c>
      <c r="G253" t="s">
        <v>2</v>
      </c>
      <c r="I253" t="s">
        <v>1</v>
      </c>
      <c r="J253" t="s">
        <v>3</v>
      </c>
      <c r="K253" t="s">
        <v>2</v>
      </c>
    </row>
    <row r="254" spans="2:11" x14ac:dyDescent="0.25">
      <c r="C254" t="s">
        <v>320</v>
      </c>
    </row>
    <row r="256" spans="2:11" x14ac:dyDescent="0.25">
      <c r="C256" t="s">
        <v>18</v>
      </c>
      <c r="F256" t="s">
        <v>7</v>
      </c>
      <c r="J256" t="s">
        <v>13</v>
      </c>
    </row>
    <row r="257" spans="2:11" x14ac:dyDescent="0.25">
      <c r="D257" t="s">
        <v>14</v>
      </c>
      <c r="E257" t="s">
        <v>1</v>
      </c>
      <c r="F257" t="s">
        <v>3</v>
      </c>
      <c r="G257" t="s">
        <v>2</v>
      </c>
      <c r="I257" t="s">
        <v>1</v>
      </c>
      <c r="J257" t="s">
        <v>3</v>
      </c>
      <c r="K257" t="s">
        <v>2</v>
      </c>
    </row>
    <row r="258" spans="2:11" x14ac:dyDescent="0.25">
      <c r="C258" t="s">
        <v>320</v>
      </c>
    </row>
    <row r="260" spans="2:11" x14ac:dyDescent="0.25">
      <c r="C260" t="s">
        <v>36</v>
      </c>
      <c r="F260" t="s">
        <v>7</v>
      </c>
      <c r="J260" t="s">
        <v>13</v>
      </c>
    </row>
    <row r="261" spans="2:11" x14ac:dyDescent="0.25">
      <c r="D261" t="s">
        <v>14</v>
      </c>
      <c r="E261" t="s">
        <v>1</v>
      </c>
      <c r="F261" t="s">
        <v>3</v>
      </c>
      <c r="G261" t="s">
        <v>2</v>
      </c>
      <c r="I261" t="s">
        <v>1</v>
      </c>
      <c r="J261" t="s">
        <v>3</v>
      </c>
      <c r="K261" t="s">
        <v>2</v>
      </c>
    </row>
    <row r="262" spans="2:11" x14ac:dyDescent="0.25">
      <c r="C262" t="s">
        <v>320</v>
      </c>
    </row>
    <row r="264" spans="2:11" x14ac:dyDescent="0.25">
      <c r="B264" t="s">
        <v>38</v>
      </c>
      <c r="C264" t="s">
        <v>339</v>
      </c>
    </row>
    <row r="266" spans="2:11" x14ac:dyDescent="0.25">
      <c r="C266" t="s">
        <v>11</v>
      </c>
      <c r="F266" t="s">
        <v>7</v>
      </c>
      <c r="J266" t="s">
        <v>13</v>
      </c>
    </row>
    <row r="267" spans="2:11" x14ac:dyDescent="0.25">
      <c r="D267" t="s">
        <v>14</v>
      </c>
      <c r="E267" t="s">
        <v>1</v>
      </c>
      <c r="F267" t="s">
        <v>3</v>
      </c>
      <c r="G267" t="s">
        <v>2</v>
      </c>
      <c r="I267" t="s">
        <v>1</v>
      </c>
      <c r="J267" t="s">
        <v>3</v>
      </c>
      <c r="K267" t="s">
        <v>2</v>
      </c>
    </row>
    <row r="268" spans="2:11" x14ac:dyDescent="0.25">
      <c r="C268" t="s">
        <v>320</v>
      </c>
    </row>
    <row r="270" spans="2:11" x14ac:dyDescent="0.25">
      <c r="C270" t="s">
        <v>17</v>
      </c>
      <c r="F270" t="s">
        <v>7</v>
      </c>
      <c r="J270" t="s">
        <v>13</v>
      </c>
    </row>
    <row r="271" spans="2:11" x14ac:dyDescent="0.25">
      <c r="D271" t="s">
        <v>14</v>
      </c>
      <c r="E271" t="s">
        <v>1</v>
      </c>
      <c r="F271" t="s">
        <v>3</v>
      </c>
      <c r="G271" t="s">
        <v>2</v>
      </c>
      <c r="I271" t="s">
        <v>1</v>
      </c>
      <c r="J271" t="s">
        <v>3</v>
      </c>
      <c r="K271" t="s">
        <v>2</v>
      </c>
    </row>
    <row r="272" spans="2:11" x14ac:dyDescent="0.25">
      <c r="C272" t="s">
        <v>320</v>
      </c>
    </row>
    <row r="274" spans="1:11" x14ac:dyDescent="0.25">
      <c r="C274" t="s">
        <v>18</v>
      </c>
      <c r="F274" t="s">
        <v>7</v>
      </c>
      <c r="J274" t="s">
        <v>13</v>
      </c>
    </row>
    <row r="275" spans="1:11" x14ac:dyDescent="0.25">
      <c r="D275" t="s">
        <v>14</v>
      </c>
      <c r="E275" t="s">
        <v>1</v>
      </c>
      <c r="F275" t="s">
        <v>3</v>
      </c>
      <c r="G275" t="s">
        <v>2</v>
      </c>
      <c r="I275" t="s">
        <v>1</v>
      </c>
      <c r="J275" t="s">
        <v>3</v>
      </c>
      <c r="K275" t="s">
        <v>2</v>
      </c>
    </row>
    <row r="276" spans="1:11" x14ac:dyDescent="0.25">
      <c r="C276" t="s">
        <v>320</v>
      </c>
    </row>
    <row r="278" spans="1:11" x14ac:dyDescent="0.25">
      <c r="C278" t="s">
        <v>36</v>
      </c>
      <c r="F278" t="s">
        <v>7</v>
      </c>
      <c r="J278" t="s">
        <v>13</v>
      </c>
    </row>
    <row r="279" spans="1:11" x14ac:dyDescent="0.25">
      <c r="D279" t="s">
        <v>14</v>
      </c>
      <c r="E279" t="s">
        <v>1</v>
      </c>
      <c r="F279" t="s">
        <v>3</v>
      </c>
      <c r="G279" t="s">
        <v>2</v>
      </c>
      <c r="I279" t="s">
        <v>1</v>
      </c>
      <c r="J279" t="s">
        <v>3</v>
      </c>
      <c r="K279" t="s">
        <v>2</v>
      </c>
    </row>
    <row r="280" spans="1:11" x14ac:dyDescent="0.25">
      <c r="C280" t="s">
        <v>320</v>
      </c>
    </row>
    <row r="284" spans="1:11" x14ac:dyDescent="0.25">
      <c r="A284" t="s">
        <v>0</v>
      </c>
      <c r="B284" t="s">
        <v>8</v>
      </c>
    </row>
    <row r="286" spans="1:11" x14ac:dyDescent="0.25">
      <c r="B286" t="s">
        <v>10</v>
      </c>
      <c r="C286" t="s">
        <v>177</v>
      </c>
    </row>
    <row r="288" spans="1:11" x14ac:dyDescent="0.25">
      <c r="C288" t="s">
        <v>11</v>
      </c>
      <c r="F288" t="s">
        <v>7</v>
      </c>
      <c r="J288" t="s">
        <v>13</v>
      </c>
    </row>
    <row r="289" spans="3:11" x14ac:dyDescent="0.25">
      <c r="D289" t="s">
        <v>14</v>
      </c>
      <c r="E289" t="s">
        <v>1</v>
      </c>
      <c r="F289" t="s">
        <v>3</v>
      </c>
      <c r="G289" t="s">
        <v>2</v>
      </c>
      <c r="I289" t="s">
        <v>1</v>
      </c>
      <c r="J289" t="s">
        <v>3</v>
      </c>
      <c r="K289" t="s">
        <v>2</v>
      </c>
    </row>
    <row r="290" spans="3:11" x14ac:dyDescent="0.25">
      <c r="C290" t="s">
        <v>178</v>
      </c>
      <c r="D290" t="s">
        <v>537</v>
      </c>
      <c r="E290">
        <v>2.78</v>
      </c>
      <c r="F290">
        <v>2.5499999999999998</v>
      </c>
      <c r="G290">
        <v>2.2000000000000002</v>
      </c>
      <c r="I290" t="str">
        <f>"17/20"</f>
        <v>17/20</v>
      </c>
      <c r="J290" t="str">
        <f>"13/14"</f>
        <v>13/14</v>
      </c>
      <c r="K290" t="str">
        <f>"25/22"</f>
        <v>25/22</v>
      </c>
    </row>
    <row r="291" spans="3:11" x14ac:dyDescent="0.25">
      <c r="C291" t="s">
        <v>179</v>
      </c>
      <c r="D291" t="s">
        <v>538</v>
      </c>
      <c r="E291">
        <v>2.17</v>
      </c>
      <c r="F291">
        <v>2.0499999999999998</v>
      </c>
      <c r="G291">
        <v>2.29</v>
      </c>
      <c r="I291" t="str">
        <f>"13/12"</f>
        <v>13/12</v>
      </c>
      <c r="J291" t="str">
        <f>"15/11"</f>
        <v>15/11</v>
      </c>
      <c r="K291" t="str">
        <f>"29/24"</f>
        <v>29/24</v>
      </c>
    </row>
    <row r="292" spans="3:11" x14ac:dyDescent="0.25">
      <c r="C292" t="s">
        <v>180</v>
      </c>
      <c r="D292" t="s">
        <v>539</v>
      </c>
      <c r="E292">
        <v>2.12</v>
      </c>
      <c r="F292">
        <v>2.0299999999999998</v>
      </c>
      <c r="G292">
        <v>2.2999999999999998</v>
      </c>
      <c r="I292" t="str">
        <f>"17/14"</f>
        <v>17/14</v>
      </c>
      <c r="J292" t="str">
        <f>"24/21"</f>
        <v>24/21</v>
      </c>
      <c r="K292" t="str">
        <f>"39/38"</f>
        <v>39/38</v>
      </c>
    </row>
    <row r="293" spans="3:11" x14ac:dyDescent="0.25">
      <c r="C293" t="s">
        <v>181</v>
      </c>
      <c r="D293" t="s">
        <v>540</v>
      </c>
      <c r="E293">
        <v>2.41</v>
      </c>
      <c r="F293">
        <v>1.82</v>
      </c>
      <c r="G293">
        <v>1.68</v>
      </c>
      <c r="I293" t="str">
        <f>"21/20"</f>
        <v>21/20</v>
      </c>
      <c r="J293" t="str">
        <f>"17/11"</f>
        <v>17/11</v>
      </c>
      <c r="K293" t="str">
        <f>"31/22"</f>
        <v>31/22</v>
      </c>
    </row>
    <row r="294" spans="3:11" x14ac:dyDescent="0.25">
      <c r="C294" t="s">
        <v>182</v>
      </c>
      <c r="D294" t="s">
        <v>431</v>
      </c>
      <c r="E294">
        <v>2.09</v>
      </c>
      <c r="F294">
        <v>1.51</v>
      </c>
      <c r="G294">
        <v>1.96</v>
      </c>
      <c r="I294" t="str">
        <f>"19/15"</f>
        <v>19/15</v>
      </c>
      <c r="J294" t="str">
        <f>"15/10"</f>
        <v>15/10</v>
      </c>
      <c r="K294" t="str">
        <f>"15/12"</f>
        <v>15/12</v>
      </c>
    </row>
    <row r="295" spans="3:11" x14ac:dyDescent="0.25">
      <c r="C295" t="s">
        <v>183</v>
      </c>
      <c r="D295" t="s">
        <v>432</v>
      </c>
      <c r="E295">
        <v>2.09</v>
      </c>
      <c r="F295">
        <v>1.51</v>
      </c>
      <c r="G295">
        <v>1.96</v>
      </c>
      <c r="I295" t="str">
        <f>"19/15"</f>
        <v>19/15</v>
      </c>
      <c r="J295" t="str">
        <f>"15/10"</f>
        <v>15/10</v>
      </c>
      <c r="K295" t="str">
        <f>"15/12"</f>
        <v>15/12</v>
      </c>
    </row>
    <row r="296" spans="3:11" x14ac:dyDescent="0.25">
      <c r="C296" t="s">
        <v>730</v>
      </c>
    </row>
    <row r="298" spans="3:11" x14ac:dyDescent="0.25">
      <c r="C298" t="s">
        <v>17</v>
      </c>
      <c r="F298" t="s">
        <v>7</v>
      </c>
      <c r="J298" t="s">
        <v>13</v>
      </c>
    </row>
    <row r="299" spans="3:11" x14ac:dyDescent="0.25">
      <c r="D299" t="s">
        <v>14</v>
      </c>
      <c r="E299" t="s">
        <v>1</v>
      </c>
      <c r="F299" t="s">
        <v>3</v>
      </c>
      <c r="G299" t="s">
        <v>2</v>
      </c>
      <c r="I299" t="s">
        <v>1</v>
      </c>
      <c r="J299" t="s">
        <v>3</v>
      </c>
      <c r="K299" t="s">
        <v>2</v>
      </c>
    </row>
    <row r="300" spans="3:11" x14ac:dyDescent="0.25">
      <c r="C300" t="s">
        <v>178</v>
      </c>
      <c r="D300" t="s">
        <v>420</v>
      </c>
      <c r="E300">
        <v>2.58</v>
      </c>
      <c r="F300">
        <v>3.49</v>
      </c>
      <c r="G300">
        <v>2.27</v>
      </c>
      <c r="I300" t="str">
        <f>"18/19"</f>
        <v>18/19</v>
      </c>
      <c r="J300" t="str">
        <f t="shared" ref="J300:J305" si="0">"22/33"</f>
        <v>22/33</v>
      </c>
      <c r="K300" t="str">
        <f>"13/13"</f>
        <v>13/13</v>
      </c>
    </row>
    <row r="301" spans="3:11" x14ac:dyDescent="0.25">
      <c r="C301" t="s">
        <v>179</v>
      </c>
      <c r="D301" t="s">
        <v>541</v>
      </c>
      <c r="E301">
        <v>2.04</v>
      </c>
      <c r="F301">
        <v>3.81</v>
      </c>
      <c r="G301">
        <v>2.29</v>
      </c>
      <c r="I301" t="str">
        <f>"17/13"</f>
        <v>17/13</v>
      </c>
      <c r="J301" t="str">
        <f t="shared" si="0"/>
        <v>22/33</v>
      </c>
      <c r="K301" t="str">
        <f>"46/41"</f>
        <v>46/41</v>
      </c>
    </row>
    <row r="302" spans="3:11" x14ac:dyDescent="0.25">
      <c r="C302" t="s">
        <v>180</v>
      </c>
      <c r="D302" t="s">
        <v>542</v>
      </c>
      <c r="E302">
        <v>2.04</v>
      </c>
      <c r="F302">
        <v>3.81</v>
      </c>
      <c r="G302">
        <v>2.29</v>
      </c>
      <c r="I302" t="str">
        <f>"17/13"</f>
        <v>17/13</v>
      </c>
      <c r="J302" t="str">
        <f t="shared" si="0"/>
        <v>22/33</v>
      </c>
      <c r="K302" t="str">
        <f>"46/41"</f>
        <v>46/41</v>
      </c>
    </row>
    <row r="303" spans="3:11" x14ac:dyDescent="0.25">
      <c r="C303" t="s">
        <v>181</v>
      </c>
      <c r="D303" t="s">
        <v>543</v>
      </c>
      <c r="E303">
        <v>2.04</v>
      </c>
      <c r="F303">
        <v>3.81</v>
      </c>
      <c r="G303">
        <v>2.29</v>
      </c>
      <c r="I303" t="str">
        <f>"17/13"</f>
        <v>17/13</v>
      </c>
      <c r="J303" t="str">
        <f t="shared" si="0"/>
        <v>22/33</v>
      </c>
      <c r="K303" t="str">
        <f>"46/41"</f>
        <v>46/41</v>
      </c>
    </row>
    <row r="304" spans="3:11" x14ac:dyDescent="0.25">
      <c r="C304" t="s">
        <v>182</v>
      </c>
      <c r="D304" t="s">
        <v>544</v>
      </c>
      <c r="E304">
        <v>2.04</v>
      </c>
      <c r="F304">
        <v>3.81</v>
      </c>
      <c r="G304">
        <v>2.29</v>
      </c>
      <c r="I304" t="str">
        <f>"17/13"</f>
        <v>17/13</v>
      </c>
      <c r="J304" t="str">
        <f t="shared" si="0"/>
        <v>22/33</v>
      </c>
      <c r="K304" t="str">
        <f>"46/41"</f>
        <v>46/41</v>
      </c>
    </row>
    <row r="305" spans="3:11" x14ac:dyDescent="0.25">
      <c r="C305" t="s">
        <v>183</v>
      </c>
      <c r="D305" t="s">
        <v>545</v>
      </c>
      <c r="E305">
        <v>2.04</v>
      </c>
      <c r="F305">
        <v>3.81</v>
      </c>
      <c r="G305">
        <v>2.29</v>
      </c>
      <c r="I305" t="str">
        <f>"17/13"</f>
        <v>17/13</v>
      </c>
      <c r="J305" t="str">
        <f t="shared" si="0"/>
        <v>22/33</v>
      </c>
      <c r="K305" t="str">
        <f>"46/41"</f>
        <v>46/41</v>
      </c>
    </row>
    <row r="306" spans="3:11" x14ac:dyDescent="0.25">
      <c r="C306" t="s">
        <v>184</v>
      </c>
      <c r="D306" t="s">
        <v>546</v>
      </c>
      <c r="E306">
        <v>2.56</v>
      </c>
      <c r="F306">
        <v>2.82</v>
      </c>
      <c r="G306">
        <v>1.57</v>
      </c>
      <c r="I306" t="str">
        <f>"20/22"</f>
        <v>20/22</v>
      </c>
      <c r="J306" t="str">
        <f>"22/26"</f>
        <v>22/26</v>
      </c>
      <c r="K306" t="str">
        <f>"21/14"</f>
        <v>21/14</v>
      </c>
    </row>
    <row r="307" spans="3:11" x14ac:dyDescent="0.25">
      <c r="C307" t="s">
        <v>185</v>
      </c>
      <c r="D307" t="s">
        <v>547</v>
      </c>
      <c r="E307">
        <v>2.41</v>
      </c>
      <c r="F307">
        <v>2.73</v>
      </c>
      <c r="G307">
        <v>1.38</v>
      </c>
      <c r="I307" t="str">
        <f>"12/13"</f>
        <v>12/13</v>
      </c>
      <c r="J307" t="str">
        <f>"13/16"</f>
        <v>13/16</v>
      </c>
      <c r="K307" t="str">
        <f>"21/13"</f>
        <v>21/13</v>
      </c>
    </row>
    <row r="308" spans="3:11" x14ac:dyDescent="0.25">
      <c r="C308" t="s">
        <v>186</v>
      </c>
      <c r="D308" t="s">
        <v>548</v>
      </c>
      <c r="E308">
        <v>1.67</v>
      </c>
      <c r="F308">
        <v>2.7</v>
      </c>
      <c r="G308">
        <v>1.5</v>
      </c>
      <c r="I308" t="str">
        <f>"25/18"</f>
        <v>25/18</v>
      </c>
      <c r="J308" t="str">
        <f>"16/17"</f>
        <v>16/17</v>
      </c>
      <c r="K308" t="str">
        <f>"14/10"</f>
        <v>14/10</v>
      </c>
    </row>
    <row r="309" spans="3:11" x14ac:dyDescent="0.25">
      <c r="C309" t="s">
        <v>731</v>
      </c>
    </row>
    <row r="311" spans="3:11" x14ac:dyDescent="0.25">
      <c r="C311" t="s">
        <v>18</v>
      </c>
      <c r="F311" t="s">
        <v>7</v>
      </c>
      <c r="J311" t="s">
        <v>13</v>
      </c>
    </row>
    <row r="312" spans="3:11" x14ac:dyDescent="0.25">
      <c r="D312" t="s">
        <v>14</v>
      </c>
      <c r="E312" t="s">
        <v>1</v>
      </c>
      <c r="F312" t="s">
        <v>3</v>
      </c>
      <c r="G312" t="s">
        <v>2</v>
      </c>
      <c r="I312" t="s">
        <v>1</v>
      </c>
      <c r="J312" t="s">
        <v>3</v>
      </c>
      <c r="K312" t="s">
        <v>2</v>
      </c>
    </row>
    <row r="313" spans="3:11" x14ac:dyDescent="0.25">
      <c r="C313" t="s">
        <v>178</v>
      </c>
      <c r="D313" t="s">
        <v>549</v>
      </c>
      <c r="E313">
        <v>2.2400000000000002</v>
      </c>
      <c r="F313">
        <v>2.16</v>
      </c>
      <c r="G313">
        <v>5.16</v>
      </c>
      <c r="I313" t="str">
        <f>"28/28"</f>
        <v>28/28</v>
      </c>
      <c r="J313" t="str">
        <f>"34/30"</f>
        <v>34/30</v>
      </c>
      <c r="K313" t="str">
        <f>"71/141"</f>
        <v>71/141</v>
      </c>
    </row>
    <row r="314" spans="3:11" x14ac:dyDescent="0.25">
      <c r="C314" t="s">
        <v>179</v>
      </c>
      <c r="D314" t="s">
        <v>550</v>
      </c>
      <c r="E314">
        <v>2.86</v>
      </c>
      <c r="F314">
        <v>2.1</v>
      </c>
      <c r="G314">
        <v>4.47</v>
      </c>
      <c r="I314" t="str">
        <f>"29/35"</f>
        <v>29/35</v>
      </c>
      <c r="J314" t="str">
        <f>"46/39"</f>
        <v>46/39</v>
      </c>
      <c r="K314" t="str">
        <f>"73/129"</f>
        <v>73/129</v>
      </c>
    </row>
    <row r="315" spans="3:11" x14ac:dyDescent="0.25">
      <c r="C315" t="s">
        <v>180</v>
      </c>
      <c r="D315" t="s">
        <v>551</v>
      </c>
      <c r="E315">
        <v>2.86</v>
      </c>
      <c r="F315">
        <v>2.02</v>
      </c>
      <c r="G315">
        <v>4.41</v>
      </c>
      <c r="I315" t="str">
        <f>"29/35"</f>
        <v>29/35</v>
      </c>
      <c r="J315" t="str">
        <f>"44/36"</f>
        <v>44/36</v>
      </c>
      <c r="K315" t="str">
        <f>"69/120"</f>
        <v>69/120</v>
      </c>
    </row>
    <row r="316" spans="3:11" x14ac:dyDescent="0.25">
      <c r="C316" t="s">
        <v>181</v>
      </c>
      <c r="D316" t="s">
        <v>552</v>
      </c>
      <c r="E316">
        <v>3.12</v>
      </c>
      <c r="F316">
        <v>1.77</v>
      </c>
      <c r="G316">
        <v>3.85</v>
      </c>
      <c r="I316" t="str">
        <f>"26/30"</f>
        <v>26/30</v>
      </c>
      <c r="J316" t="str">
        <f>"13/10"</f>
        <v>13/10</v>
      </c>
      <c r="K316" t="str">
        <f>"25/41"</f>
        <v>25/41</v>
      </c>
    </row>
    <row r="317" spans="3:11" x14ac:dyDescent="0.25">
      <c r="C317" t="s">
        <v>182</v>
      </c>
      <c r="D317" t="s">
        <v>553</v>
      </c>
      <c r="E317">
        <v>2.78</v>
      </c>
      <c r="F317">
        <v>2.19</v>
      </c>
      <c r="G317">
        <v>3.65</v>
      </c>
      <c r="I317" t="str">
        <f>"35/42"</f>
        <v>35/42</v>
      </c>
      <c r="J317" t="str">
        <f>"35/32"</f>
        <v>35/32</v>
      </c>
      <c r="K317" t="str">
        <f>"71/98"</f>
        <v>71/98</v>
      </c>
    </row>
    <row r="318" spans="3:11" x14ac:dyDescent="0.25">
      <c r="C318" t="s">
        <v>183</v>
      </c>
      <c r="D318" t="s">
        <v>554</v>
      </c>
      <c r="E318">
        <v>2.5299999999999998</v>
      </c>
      <c r="F318">
        <v>2.4500000000000002</v>
      </c>
      <c r="G318">
        <v>3.46</v>
      </c>
      <c r="I318" t="str">
        <f>"15/15"</f>
        <v>15/15</v>
      </c>
      <c r="J318" t="str">
        <f>"13/13"</f>
        <v>13/13</v>
      </c>
      <c r="K318" t="str">
        <f>"35/45"</f>
        <v>35/45</v>
      </c>
    </row>
    <row r="319" spans="3:11" x14ac:dyDescent="0.25">
      <c r="C319" t="s">
        <v>184</v>
      </c>
      <c r="D319" t="s">
        <v>555</v>
      </c>
      <c r="E319">
        <v>2.5299999999999998</v>
      </c>
      <c r="F319">
        <v>2.4500000000000002</v>
      </c>
      <c r="G319">
        <v>3.46</v>
      </c>
      <c r="I319" t="str">
        <f>"15/15"</f>
        <v>15/15</v>
      </c>
      <c r="J319" t="str">
        <f>"13/13"</f>
        <v>13/13</v>
      </c>
      <c r="K319" t="str">
        <f>"35/45"</f>
        <v>35/45</v>
      </c>
    </row>
    <row r="320" spans="3:11" x14ac:dyDescent="0.25">
      <c r="C320" t="s">
        <v>185</v>
      </c>
      <c r="D320" t="s">
        <v>556</v>
      </c>
      <c r="E320">
        <v>2.08</v>
      </c>
      <c r="F320">
        <v>1.65</v>
      </c>
      <c r="G320">
        <v>4.66</v>
      </c>
      <c r="I320" t="str">
        <f>"33/29"</f>
        <v>33/29</v>
      </c>
      <c r="J320" t="str">
        <f>"26/17"</f>
        <v>26/17</v>
      </c>
      <c r="K320" t="str">
        <f>"72/131"</f>
        <v>72/131</v>
      </c>
    </row>
    <row r="321" spans="3:11" x14ac:dyDescent="0.25">
      <c r="C321" t="s">
        <v>186</v>
      </c>
      <c r="D321" t="s">
        <v>557</v>
      </c>
      <c r="E321">
        <v>2.82</v>
      </c>
      <c r="F321">
        <v>1.99</v>
      </c>
      <c r="G321">
        <v>3.57</v>
      </c>
      <c r="I321" t="str">
        <f>"19/15"</f>
        <v>19/15</v>
      </c>
      <c r="J321" t="str">
        <f>"26/23"</f>
        <v>26/23</v>
      </c>
      <c r="K321" t="str">
        <f>"49/66"</f>
        <v>49/66</v>
      </c>
    </row>
    <row r="322" spans="3:11" x14ac:dyDescent="0.25">
      <c r="C322" t="s">
        <v>187</v>
      </c>
      <c r="D322" t="s">
        <v>558</v>
      </c>
      <c r="E322">
        <v>2.4300000000000002</v>
      </c>
      <c r="F322">
        <v>1.39</v>
      </c>
      <c r="G322">
        <v>4.46</v>
      </c>
      <c r="I322" t="str">
        <f>"21/20"</f>
        <v>21/20</v>
      </c>
      <c r="J322" t="str">
        <f>"18/11"</f>
        <v>18/11</v>
      </c>
      <c r="K322" t="str">
        <f>"30/51"</f>
        <v>30/51</v>
      </c>
    </row>
    <row r="323" spans="3:11" x14ac:dyDescent="0.25">
      <c r="C323" t="s">
        <v>188</v>
      </c>
      <c r="D323" t="s">
        <v>559</v>
      </c>
      <c r="E323">
        <v>2.5499999999999998</v>
      </c>
      <c r="F323">
        <v>2.37</v>
      </c>
      <c r="G323">
        <v>3.36</v>
      </c>
      <c r="I323" t="str">
        <f>"20/21"</f>
        <v>20/21</v>
      </c>
      <c r="J323" t="str">
        <f>"27/28"</f>
        <v>27/28</v>
      </c>
      <c r="K323" t="str">
        <f>"66/85"</f>
        <v>66/85</v>
      </c>
    </row>
    <row r="324" spans="3:11" x14ac:dyDescent="0.25">
      <c r="C324" t="s">
        <v>189</v>
      </c>
      <c r="D324" t="s">
        <v>560</v>
      </c>
      <c r="E324">
        <v>1.95</v>
      </c>
      <c r="F324">
        <v>1.71</v>
      </c>
      <c r="G324">
        <v>4.43</v>
      </c>
      <c r="I324" t="str">
        <f>"31/25"</f>
        <v>31/25</v>
      </c>
      <c r="J324" t="str">
        <f>"24/16"</f>
        <v>24/16</v>
      </c>
      <c r="K324" t="str">
        <f>"67/115"</f>
        <v>67/115</v>
      </c>
    </row>
    <row r="325" spans="3:11" x14ac:dyDescent="0.25">
      <c r="C325" t="s">
        <v>190</v>
      </c>
      <c r="D325" t="s">
        <v>561</v>
      </c>
      <c r="E325">
        <v>2.4700000000000002</v>
      </c>
      <c r="F325">
        <v>2.37</v>
      </c>
      <c r="G325">
        <v>3.06</v>
      </c>
      <c r="I325" t="str">
        <f>"19/19"</f>
        <v>19/19</v>
      </c>
      <c r="J325" t="str">
        <f>"27/28"</f>
        <v>27/28</v>
      </c>
      <c r="K325" t="str">
        <f>"63/73"</f>
        <v>63/73</v>
      </c>
    </row>
    <row r="326" spans="3:11" x14ac:dyDescent="0.25">
      <c r="C326" t="s">
        <v>191</v>
      </c>
      <c r="D326" t="s">
        <v>562</v>
      </c>
      <c r="E326">
        <v>2.99</v>
      </c>
      <c r="F326">
        <v>1.9</v>
      </c>
      <c r="G326">
        <v>2.89</v>
      </c>
      <c r="I326" t="str">
        <f>"23/27"</f>
        <v>23/27</v>
      </c>
      <c r="J326" t="str">
        <f>"17/14"</f>
        <v>17/14</v>
      </c>
      <c r="K326" t="str">
        <f>"39/47"</f>
        <v>39/47</v>
      </c>
    </row>
    <row r="327" spans="3:11" x14ac:dyDescent="0.25">
      <c r="C327" t="s">
        <v>192</v>
      </c>
      <c r="D327" t="s">
        <v>563</v>
      </c>
      <c r="E327">
        <v>2.93</v>
      </c>
      <c r="F327">
        <v>2.23</v>
      </c>
      <c r="G327">
        <v>2.54</v>
      </c>
      <c r="I327" t="str">
        <f>"28/33"</f>
        <v>28/33</v>
      </c>
      <c r="J327" t="str">
        <f>"22/19"</f>
        <v>22/19</v>
      </c>
      <c r="K327" t="str">
        <f>"41/42"</f>
        <v>41/42</v>
      </c>
    </row>
    <row r="328" spans="3:11" x14ac:dyDescent="0.25">
      <c r="C328" t="s">
        <v>193</v>
      </c>
      <c r="D328" t="s">
        <v>564</v>
      </c>
      <c r="E328">
        <v>2.35</v>
      </c>
      <c r="F328">
        <v>2.17</v>
      </c>
      <c r="G328">
        <v>3.15</v>
      </c>
      <c r="I328" t="str">
        <f>"23/23"</f>
        <v>23/23</v>
      </c>
      <c r="J328" t="str">
        <f>"20/19"</f>
        <v>20/19</v>
      </c>
      <c r="K328" t="str">
        <f>"44/50"</f>
        <v>44/50</v>
      </c>
    </row>
    <row r="329" spans="3:11" x14ac:dyDescent="0.25">
      <c r="C329" t="s">
        <v>194</v>
      </c>
      <c r="D329" t="s">
        <v>565</v>
      </c>
      <c r="E329">
        <v>2.93</v>
      </c>
      <c r="F329">
        <v>2.2599999999999998</v>
      </c>
      <c r="G329">
        <v>2.4700000000000002</v>
      </c>
      <c r="I329" t="str">
        <f>"28/33"</f>
        <v>28/33</v>
      </c>
      <c r="J329" t="str">
        <f>"23/20"</f>
        <v>23/20</v>
      </c>
      <c r="K329" t="str">
        <f>"43/43"</f>
        <v>43/43</v>
      </c>
    </row>
    <row r="330" spans="3:11" x14ac:dyDescent="0.25">
      <c r="C330" t="s">
        <v>195</v>
      </c>
      <c r="D330" t="s">
        <v>566</v>
      </c>
      <c r="E330">
        <v>2.5299999999999998</v>
      </c>
      <c r="F330">
        <v>1.79</v>
      </c>
      <c r="G330">
        <v>3.26</v>
      </c>
      <c r="I330" t="str">
        <f>"17/20"</f>
        <v>17/20</v>
      </c>
      <c r="J330" t="str">
        <f>"22/16"</f>
        <v>22/16</v>
      </c>
      <c r="K330" t="str">
        <f>"29/37"</f>
        <v>29/37</v>
      </c>
    </row>
    <row r="331" spans="3:11" x14ac:dyDescent="0.25">
      <c r="C331" t="s">
        <v>197</v>
      </c>
      <c r="D331" t="s">
        <v>567</v>
      </c>
      <c r="E331">
        <v>1.77</v>
      </c>
      <c r="F331">
        <v>2.4500000000000002</v>
      </c>
      <c r="G331">
        <v>3.21</v>
      </c>
      <c r="I331" t="str">
        <f>"15/10"</f>
        <v>15/10</v>
      </c>
      <c r="J331" t="str">
        <f>"21/21"</f>
        <v>21/21</v>
      </c>
      <c r="K331" t="str">
        <f>"38/46"</f>
        <v>38/46</v>
      </c>
    </row>
    <row r="332" spans="3:11" x14ac:dyDescent="0.25">
      <c r="C332" t="s">
        <v>199</v>
      </c>
      <c r="D332" t="s">
        <v>568</v>
      </c>
      <c r="E332">
        <v>2.5</v>
      </c>
      <c r="F332">
        <v>1.68</v>
      </c>
      <c r="G332">
        <v>3.21</v>
      </c>
      <c r="I332" t="str">
        <f>"14/16"</f>
        <v>14/16</v>
      </c>
      <c r="J332" t="str">
        <f>"21/15"</f>
        <v>21/15</v>
      </c>
      <c r="K332" t="str">
        <f>"28/35"</f>
        <v>28/35</v>
      </c>
    </row>
    <row r="333" spans="3:11" x14ac:dyDescent="0.25">
      <c r="C333" t="s">
        <v>200</v>
      </c>
      <c r="D333" t="s">
        <v>422</v>
      </c>
      <c r="E333">
        <v>2.09</v>
      </c>
      <c r="F333">
        <v>1.39</v>
      </c>
      <c r="G333">
        <v>3.51</v>
      </c>
      <c r="I333" t="str">
        <f>"17/15"</f>
        <v>17/15</v>
      </c>
      <c r="J333" t="str">
        <f>"18/11"</f>
        <v>18/11</v>
      </c>
      <c r="K333" t="str">
        <f>"24/34"</f>
        <v>24/34</v>
      </c>
    </row>
    <row r="334" spans="3:11" x14ac:dyDescent="0.25">
      <c r="C334" t="s">
        <v>202</v>
      </c>
      <c r="D334" t="s">
        <v>569</v>
      </c>
      <c r="E334">
        <v>2.2799999999999998</v>
      </c>
      <c r="F334">
        <v>1.95</v>
      </c>
      <c r="G334">
        <v>2.71</v>
      </c>
      <c r="I334" t="str">
        <f>"25/21"</f>
        <v>25/21</v>
      </c>
      <c r="J334" t="str">
        <f>"28/20"</f>
        <v>28/20</v>
      </c>
      <c r="K334" t="str">
        <f>"42/46"</f>
        <v>42/46</v>
      </c>
    </row>
    <row r="335" spans="3:11" x14ac:dyDescent="0.25">
      <c r="C335" t="s">
        <v>204</v>
      </c>
      <c r="D335" t="s">
        <v>570</v>
      </c>
      <c r="E335">
        <v>2.2799999999999998</v>
      </c>
      <c r="F335">
        <v>1.95</v>
      </c>
      <c r="G335">
        <v>2.71</v>
      </c>
      <c r="I335" t="str">
        <f>"25/21"</f>
        <v>25/21</v>
      </c>
      <c r="J335" t="str">
        <f>"28/20"</f>
        <v>28/20</v>
      </c>
      <c r="K335" t="str">
        <f>"42/46"</f>
        <v>42/46</v>
      </c>
    </row>
    <row r="336" spans="3:11" x14ac:dyDescent="0.25">
      <c r="C336" t="s">
        <v>205</v>
      </c>
      <c r="D336" t="s">
        <v>571</v>
      </c>
      <c r="E336">
        <v>1.76</v>
      </c>
      <c r="F336">
        <v>2.2999999999999998</v>
      </c>
      <c r="G336">
        <v>2.84</v>
      </c>
      <c r="I336" t="str">
        <f>"29/21"</f>
        <v>29/21</v>
      </c>
      <c r="J336" t="str">
        <f>"24/19"</f>
        <v>24/19</v>
      </c>
      <c r="K336" t="str">
        <f>"60/66"</f>
        <v>60/66</v>
      </c>
    </row>
    <row r="337" spans="3:11" x14ac:dyDescent="0.25">
      <c r="C337" t="s">
        <v>206</v>
      </c>
      <c r="D337" t="s">
        <v>44</v>
      </c>
      <c r="E337">
        <v>2.0099999999999998</v>
      </c>
      <c r="F337">
        <v>1.68</v>
      </c>
      <c r="G337">
        <v>2.8</v>
      </c>
      <c r="I337" t="str">
        <f>"17/15"</f>
        <v>17/15</v>
      </c>
      <c r="J337" t="str">
        <f>"23/17"</f>
        <v>23/17</v>
      </c>
      <c r="K337" t="str">
        <f>"45/50"</f>
        <v>45/50</v>
      </c>
    </row>
    <row r="338" spans="3:11" x14ac:dyDescent="0.25">
      <c r="C338" t="s">
        <v>207</v>
      </c>
      <c r="D338" t="s">
        <v>572</v>
      </c>
      <c r="E338">
        <v>1.65</v>
      </c>
      <c r="F338">
        <v>1.71</v>
      </c>
      <c r="G338">
        <v>2.85</v>
      </c>
      <c r="I338" t="str">
        <f>"17/11"</f>
        <v>17/11</v>
      </c>
      <c r="J338" t="str">
        <f>"26/18"</f>
        <v>26/18</v>
      </c>
      <c r="K338" t="str">
        <f>"34/38"</f>
        <v>34/38</v>
      </c>
    </row>
    <row r="339" spans="3:11" x14ac:dyDescent="0.25">
      <c r="C339" t="s">
        <v>573</v>
      </c>
    </row>
    <row r="341" spans="3:11" x14ac:dyDescent="0.25">
      <c r="C341" t="s">
        <v>36</v>
      </c>
      <c r="F341" t="s">
        <v>7</v>
      </c>
      <c r="J341" t="s">
        <v>13</v>
      </c>
    </row>
    <row r="342" spans="3:11" x14ac:dyDescent="0.25">
      <c r="D342" t="s">
        <v>14</v>
      </c>
      <c r="E342" t="s">
        <v>1</v>
      </c>
      <c r="F342" t="s">
        <v>3</v>
      </c>
      <c r="G342" t="s">
        <v>2</v>
      </c>
      <c r="I342" t="s">
        <v>1</v>
      </c>
      <c r="J342" t="s">
        <v>3</v>
      </c>
      <c r="K342" t="s">
        <v>2</v>
      </c>
    </row>
    <row r="343" spans="3:11" x14ac:dyDescent="0.25">
      <c r="C343" t="s">
        <v>178</v>
      </c>
      <c r="D343" t="s">
        <v>574</v>
      </c>
      <c r="E343">
        <v>35.31</v>
      </c>
      <c r="F343">
        <v>2.52</v>
      </c>
      <c r="G343">
        <v>2.34</v>
      </c>
      <c r="I343" t="str">
        <f>"90/1020"</f>
        <v>90/1020</v>
      </c>
      <c r="J343" t="str">
        <f>"30/33"</f>
        <v>30/33</v>
      </c>
      <c r="K343" t="str">
        <f>"42/40"</f>
        <v>42/40</v>
      </c>
    </row>
    <row r="344" spans="3:11" x14ac:dyDescent="0.25">
      <c r="C344" t="s">
        <v>179</v>
      </c>
      <c r="D344" t="s">
        <v>575</v>
      </c>
      <c r="E344">
        <v>35.31</v>
      </c>
      <c r="F344">
        <v>2.52</v>
      </c>
      <c r="G344">
        <v>2.34</v>
      </c>
      <c r="I344" t="str">
        <f>"90/1020"</f>
        <v>90/1020</v>
      </c>
      <c r="J344" t="str">
        <f>"30/33"</f>
        <v>30/33</v>
      </c>
      <c r="K344" t="str">
        <f>"42/40"</f>
        <v>42/40</v>
      </c>
    </row>
    <row r="345" spans="3:11" x14ac:dyDescent="0.25">
      <c r="C345" t="s">
        <v>180</v>
      </c>
      <c r="D345" t="s">
        <v>576</v>
      </c>
      <c r="E345">
        <v>7.59</v>
      </c>
      <c r="F345">
        <v>1.86</v>
      </c>
      <c r="G345">
        <v>1.83</v>
      </c>
      <c r="I345" t="str">
        <f>"11/38"</f>
        <v>11/38</v>
      </c>
      <c r="J345" t="str">
        <f>"20/16"</f>
        <v>20/16</v>
      </c>
      <c r="K345" t="str">
        <f>"32/24"</f>
        <v>32/24</v>
      </c>
    </row>
    <row r="346" spans="3:11" x14ac:dyDescent="0.25">
      <c r="C346" t="s">
        <v>181</v>
      </c>
      <c r="D346" t="s">
        <v>577</v>
      </c>
      <c r="E346">
        <v>7.59</v>
      </c>
      <c r="F346">
        <v>1.86</v>
      </c>
      <c r="G346">
        <v>1.83</v>
      </c>
      <c r="I346" t="str">
        <f>"11/38"</f>
        <v>11/38</v>
      </c>
      <c r="J346" t="str">
        <f>"20/16"</f>
        <v>20/16</v>
      </c>
      <c r="K346" t="str">
        <f>"32/24"</f>
        <v>32/24</v>
      </c>
    </row>
    <row r="347" spans="3:11" x14ac:dyDescent="0.25">
      <c r="C347" t="s">
        <v>182</v>
      </c>
      <c r="D347" t="s">
        <v>578</v>
      </c>
      <c r="E347">
        <v>5.47</v>
      </c>
      <c r="F347">
        <v>2.1800000000000002</v>
      </c>
      <c r="G347">
        <v>2.44</v>
      </c>
      <c r="I347" t="str">
        <f>"16/39"</f>
        <v>16/39</v>
      </c>
      <c r="J347" t="str">
        <f>"14/13"</f>
        <v>14/13</v>
      </c>
      <c r="K347" t="str">
        <f>"29/30"</f>
        <v>29/30</v>
      </c>
    </row>
    <row r="348" spans="3:11" x14ac:dyDescent="0.25">
      <c r="C348" t="s">
        <v>183</v>
      </c>
      <c r="D348" t="s">
        <v>579</v>
      </c>
      <c r="E348">
        <v>5.55</v>
      </c>
      <c r="F348">
        <v>2.33</v>
      </c>
      <c r="G348">
        <v>1.69</v>
      </c>
      <c r="I348" t="str">
        <f>"11/25"</f>
        <v>11/25</v>
      </c>
      <c r="J348" t="str">
        <f>"10/10"</f>
        <v>10/10</v>
      </c>
      <c r="K348" t="str">
        <f>"16/12"</f>
        <v>16/12</v>
      </c>
    </row>
    <row r="349" spans="3:11" x14ac:dyDescent="0.25">
      <c r="C349" t="s">
        <v>184</v>
      </c>
      <c r="D349" t="s">
        <v>580</v>
      </c>
      <c r="E349">
        <v>4.9800000000000004</v>
      </c>
      <c r="F349">
        <v>2.15</v>
      </c>
      <c r="G349">
        <v>1.94</v>
      </c>
      <c r="I349" t="str">
        <f>"31/61"</f>
        <v>31/61</v>
      </c>
      <c r="J349" t="str">
        <f>"24/21"</f>
        <v>24/21</v>
      </c>
      <c r="K349" t="str">
        <f>"41/32"</f>
        <v>41/32</v>
      </c>
    </row>
    <row r="350" spans="3:11" x14ac:dyDescent="0.25">
      <c r="C350" t="s">
        <v>185</v>
      </c>
      <c r="D350" t="s">
        <v>581</v>
      </c>
      <c r="E350">
        <v>3.91</v>
      </c>
      <c r="F350">
        <v>2.5099999999999998</v>
      </c>
      <c r="G350">
        <v>2.35</v>
      </c>
      <c r="I350" t="str">
        <f>"13/18"</f>
        <v>13/18</v>
      </c>
      <c r="J350" t="str">
        <f>"28/28"</f>
        <v>28/28</v>
      </c>
      <c r="K350" t="str">
        <f>"29/29"</f>
        <v>29/29</v>
      </c>
    </row>
    <row r="351" spans="3:11" x14ac:dyDescent="0.25">
      <c r="C351" t="s">
        <v>186</v>
      </c>
      <c r="D351" t="s">
        <v>45</v>
      </c>
      <c r="E351">
        <v>4.13</v>
      </c>
      <c r="F351">
        <v>2.2999999999999998</v>
      </c>
      <c r="G351">
        <v>1.58</v>
      </c>
      <c r="I351" t="str">
        <f>"19/24"</f>
        <v>19/24</v>
      </c>
      <c r="J351" t="str">
        <f>"23/21"</f>
        <v>23/21</v>
      </c>
      <c r="K351" t="str">
        <f>"23/15"</f>
        <v>23/15</v>
      </c>
    </row>
    <row r="352" spans="3:11" x14ac:dyDescent="0.25">
      <c r="C352" t="s">
        <v>187</v>
      </c>
      <c r="D352" t="s">
        <v>433</v>
      </c>
      <c r="E352">
        <v>4.4800000000000004</v>
      </c>
      <c r="F352">
        <v>1.69</v>
      </c>
      <c r="G352">
        <v>1.73</v>
      </c>
      <c r="I352" t="str">
        <f>"18/31"</f>
        <v>18/31</v>
      </c>
      <c r="J352" t="str">
        <f>"14/10"</f>
        <v>14/10</v>
      </c>
      <c r="K352" t="str">
        <f>"17/11"</f>
        <v>17/11</v>
      </c>
    </row>
    <row r="353" spans="2:11" x14ac:dyDescent="0.25">
      <c r="C353" t="s">
        <v>188</v>
      </c>
      <c r="D353" t="s">
        <v>582</v>
      </c>
      <c r="E353">
        <v>3.63</v>
      </c>
      <c r="F353">
        <v>1.89</v>
      </c>
      <c r="G353">
        <v>2.1800000000000002</v>
      </c>
      <c r="I353" t="str">
        <f>"38/55"</f>
        <v>38/55</v>
      </c>
      <c r="J353" t="str">
        <f>"27/20"</f>
        <v>27/20</v>
      </c>
      <c r="K353" t="str">
        <f>"46/40"</f>
        <v>46/40</v>
      </c>
    </row>
    <row r="354" spans="2:11" x14ac:dyDescent="0.25">
      <c r="C354" t="s">
        <v>732</v>
      </c>
    </row>
    <row r="356" spans="2:11" x14ac:dyDescent="0.25">
      <c r="B356" t="s">
        <v>37</v>
      </c>
      <c r="C356" t="s">
        <v>288</v>
      </c>
    </row>
    <row r="358" spans="2:11" x14ac:dyDescent="0.25">
      <c r="C358" t="s">
        <v>11</v>
      </c>
      <c r="F358" t="s">
        <v>7</v>
      </c>
      <c r="J358" t="s">
        <v>13</v>
      </c>
    </row>
    <row r="359" spans="2:11" x14ac:dyDescent="0.25">
      <c r="D359" t="s">
        <v>14</v>
      </c>
      <c r="E359" t="s">
        <v>1</v>
      </c>
      <c r="F359" t="s">
        <v>3</v>
      </c>
      <c r="G359" t="s">
        <v>2</v>
      </c>
      <c r="I359" t="s">
        <v>1</v>
      </c>
      <c r="J359" t="s">
        <v>3</v>
      </c>
      <c r="K359" t="s">
        <v>2</v>
      </c>
    </row>
    <row r="360" spans="2:11" x14ac:dyDescent="0.25">
      <c r="C360" t="s">
        <v>289</v>
      </c>
      <c r="D360" t="s">
        <v>583</v>
      </c>
      <c r="E360">
        <v>1.51</v>
      </c>
      <c r="F360">
        <v>1.76</v>
      </c>
      <c r="G360">
        <v>1.71</v>
      </c>
      <c r="I360" t="str">
        <f>"25/17"</f>
        <v>25/17</v>
      </c>
      <c r="J360" t="str">
        <f>"21/16"</f>
        <v>21/16</v>
      </c>
      <c r="K360" t="str">
        <f>"25/18"</f>
        <v>25/18</v>
      </c>
    </row>
    <row r="361" spans="2:11" x14ac:dyDescent="0.25">
      <c r="C361" t="s">
        <v>291</v>
      </c>
      <c r="D361" t="s">
        <v>584</v>
      </c>
      <c r="E361">
        <v>1.54</v>
      </c>
      <c r="F361">
        <v>1.78</v>
      </c>
      <c r="G361">
        <v>1.51</v>
      </c>
      <c r="I361" t="str">
        <f>"16/11"</f>
        <v>16/11</v>
      </c>
      <c r="J361" t="str">
        <f>"15/11"</f>
        <v>15/11</v>
      </c>
      <c r="K361" t="str">
        <f>"19/13"</f>
        <v>19/13</v>
      </c>
    </row>
    <row r="362" spans="2:11" x14ac:dyDescent="0.25">
      <c r="C362" t="s">
        <v>733</v>
      </c>
    </row>
    <row r="364" spans="2:11" x14ac:dyDescent="0.25">
      <c r="C364" t="s">
        <v>17</v>
      </c>
      <c r="F364" t="s">
        <v>7</v>
      </c>
      <c r="J364" t="s">
        <v>13</v>
      </c>
    </row>
    <row r="365" spans="2:11" x14ac:dyDescent="0.25">
      <c r="D365" t="s">
        <v>14</v>
      </c>
      <c r="E365" t="s">
        <v>1</v>
      </c>
      <c r="F365" t="s">
        <v>3</v>
      </c>
      <c r="G365" t="s">
        <v>2</v>
      </c>
      <c r="I365" t="s">
        <v>1</v>
      </c>
      <c r="J365" t="s">
        <v>3</v>
      </c>
      <c r="K365" t="s">
        <v>2</v>
      </c>
    </row>
    <row r="366" spans="2:11" x14ac:dyDescent="0.25">
      <c r="C366" t="s">
        <v>585</v>
      </c>
    </row>
    <row r="368" spans="2:11" x14ac:dyDescent="0.25">
      <c r="C368" t="s">
        <v>18</v>
      </c>
      <c r="F368" t="s">
        <v>7</v>
      </c>
      <c r="J368" t="s">
        <v>13</v>
      </c>
    </row>
    <row r="369" spans="2:11" x14ac:dyDescent="0.25">
      <c r="D369" t="s">
        <v>14</v>
      </c>
      <c r="E369" t="s">
        <v>1</v>
      </c>
      <c r="F369" t="s">
        <v>3</v>
      </c>
      <c r="G369" t="s">
        <v>2</v>
      </c>
      <c r="I369" t="s">
        <v>1</v>
      </c>
      <c r="J369" t="s">
        <v>3</v>
      </c>
      <c r="K369" t="s">
        <v>2</v>
      </c>
    </row>
    <row r="370" spans="2:11" x14ac:dyDescent="0.25">
      <c r="C370" t="s">
        <v>289</v>
      </c>
      <c r="D370" t="s">
        <v>586</v>
      </c>
      <c r="E370">
        <v>1.88</v>
      </c>
      <c r="F370">
        <v>1.98</v>
      </c>
      <c r="G370">
        <v>2.96</v>
      </c>
      <c r="I370" t="str">
        <f>"16/13"</f>
        <v>16/13</v>
      </c>
      <c r="J370" t="str">
        <f>"15/12"</f>
        <v>15/12</v>
      </c>
      <c r="K370" t="str">
        <f>"34/44"</f>
        <v>34/44</v>
      </c>
    </row>
    <row r="371" spans="2:11" x14ac:dyDescent="0.25">
      <c r="C371" t="s">
        <v>291</v>
      </c>
      <c r="D371" t="s">
        <v>435</v>
      </c>
      <c r="E371">
        <v>1.79</v>
      </c>
      <c r="F371">
        <v>1.51</v>
      </c>
      <c r="G371">
        <v>1.83</v>
      </c>
      <c r="I371" t="str">
        <f>"16/12"</f>
        <v>16/12</v>
      </c>
      <c r="J371" t="str">
        <f>"15/10"</f>
        <v>15/10</v>
      </c>
      <c r="K371" t="str">
        <f>"27/19"</f>
        <v>27/19</v>
      </c>
    </row>
    <row r="372" spans="2:11" x14ac:dyDescent="0.25">
      <c r="C372" t="s">
        <v>734</v>
      </c>
    </row>
    <row r="374" spans="2:11" x14ac:dyDescent="0.25">
      <c r="C374" t="s">
        <v>36</v>
      </c>
      <c r="F374" t="s">
        <v>7</v>
      </c>
      <c r="J374" t="s">
        <v>13</v>
      </c>
    </row>
    <row r="375" spans="2:11" x14ac:dyDescent="0.25">
      <c r="D375" t="s">
        <v>14</v>
      </c>
      <c r="E375" t="s">
        <v>1</v>
      </c>
      <c r="F375" t="s">
        <v>3</v>
      </c>
      <c r="G375" t="s">
        <v>2</v>
      </c>
      <c r="I375" t="s">
        <v>1</v>
      </c>
      <c r="J375" t="s">
        <v>3</v>
      </c>
      <c r="K375" t="s">
        <v>2</v>
      </c>
    </row>
    <row r="376" spans="2:11" x14ac:dyDescent="0.25">
      <c r="C376" t="s">
        <v>585</v>
      </c>
    </row>
    <row r="378" spans="2:11" x14ac:dyDescent="0.25">
      <c r="B378" t="s">
        <v>38</v>
      </c>
      <c r="C378" t="s">
        <v>310</v>
      </c>
    </row>
    <row r="380" spans="2:11" x14ac:dyDescent="0.25">
      <c r="C380" t="s">
        <v>11</v>
      </c>
      <c r="F380" t="s">
        <v>7</v>
      </c>
      <c r="J380" t="s">
        <v>13</v>
      </c>
    </row>
    <row r="381" spans="2:11" x14ac:dyDescent="0.25">
      <c r="D381" t="s">
        <v>14</v>
      </c>
      <c r="E381" t="s">
        <v>1</v>
      </c>
      <c r="F381" t="s">
        <v>3</v>
      </c>
      <c r="G381" t="s">
        <v>2</v>
      </c>
      <c r="I381" t="s">
        <v>1</v>
      </c>
      <c r="J381" t="s">
        <v>3</v>
      </c>
      <c r="K381" t="s">
        <v>2</v>
      </c>
    </row>
    <row r="382" spans="2:11" x14ac:dyDescent="0.25">
      <c r="C382" t="s">
        <v>320</v>
      </c>
    </row>
    <row r="384" spans="2:11" x14ac:dyDescent="0.25">
      <c r="C384" t="s">
        <v>17</v>
      </c>
      <c r="F384" t="s">
        <v>7</v>
      </c>
      <c r="J384" t="s">
        <v>13</v>
      </c>
    </row>
    <row r="385" spans="3:11" x14ac:dyDescent="0.25">
      <c r="D385" t="s">
        <v>14</v>
      </c>
      <c r="E385" t="s">
        <v>1</v>
      </c>
      <c r="F385" t="s">
        <v>3</v>
      </c>
      <c r="G385" t="s">
        <v>2</v>
      </c>
      <c r="I385" t="s">
        <v>1</v>
      </c>
      <c r="J385" t="s">
        <v>3</v>
      </c>
      <c r="K385" t="s">
        <v>2</v>
      </c>
    </row>
    <row r="386" spans="3:11" x14ac:dyDescent="0.25">
      <c r="C386" t="s">
        <v>351</v>
      </c>
    </row>
    <row r="388" spans="3:11" x14ac:dyDescent="0.25">
      <c r="C388" t="s">
        <v>18</v>
      </c>
      <c r="F388" t="s">
        <v>7</v>
      </c>
      <c r="J388" t="s">
        <v>13</v>
      </c>
    </row>
    <row r="389" spans="3:11" x14ac:dyDescent="0.25">
      <c r="D389" t="s">
        <v>14</v>
      </c>
      <c r="E389" t="s">
        <v>1</v>
      </c>
      <c r="F389" t="s">
        <v>3</v>
      </c>
      <c r="G389" t="s">
        <v>2</v>
      </c>
      <c r="I389" t="s">
        <v>1</v>
      </c>
      <c r="J389" t="s">
        <v>3</v>
      </c>
      <c r="K389" t="s">
        <v>2</v>
      </c>
    </row>
    <row r="390" spans="3:11" x14ac:dyDescent="0.25">
      <c r="C390" t="s">
        <v>311</v>
      </c>
      <c r="D390" t="s">
        <v>587</v>
      </c>
      <c r="E390">
        <v>2.16</v>
      </c>
      <c r="F390">
        <v>1.98</v>
      </c>
      <c r="G390">
        <v>3.61</v>
      </c>
      <c r="I390" t="str">
        <f>"20/17"</f>
        <v>20/17</v>
      </c>
      <c r="J390" t="str">
        <f>"17/14"</f>
        <v>17/14</v>
      </c>
      <c r="K390" t="str">
        <f>"36/42"</f>
        <v>36/42</v>
      </c>
    </row>
    <row r="391" spans="3:11" x14ac:dyDescent="0.25">
      <c r="C391" t="s">
        <v>312</v>
      </c>
      <c r="D391" t="s">
        <v>588</v>
      </c>
      <c r="E391">
        <v>2.62</v>
      </c>
      <c r="F391">
        <v>2.1</v>
      </c>
      <c r="G391">
        <v>2.46</v>
      </c>
      <c r="I391" t="str">
        <f>"14/13"</f>
        <v>14/13</v>
      </c>
      <c r="J391" t="str">
        <f>"13/12"</f>
        <v>13/12</v>
      </c>
      <c r="K391" t="str">
        <f>"23/24"</f>
        <v>23/24</v>
      </c>
    </row>
    <row r="392" spans="3:11" x14ac:dyDescent="0.25">
      <c r="C392" t="s">
        <v>735</v>
      </c>
    </row>
    <row r="394" spans="3:11" x14ac:dyDescent="0.25">
      <c r="C394" t="s">
        <v>36</v>
      </c>
      <c r="F394" t="s">
        <v>7</v>
      </c>
      <c r="J394" t="s">
        <v>13</v>
      </c>
    </row>
    <row r="395" spans="3:11" x14ac:dyDescent="0.25">
      <c r="D395" t="s">
        <v>14</v>
      </c>
      <c r="E395" t="s">
        <v>1</v>
      </c>
      <c r="F395" t="s">
        <v>3</v>
      </c>
      <c r="G395" t="s">
        <v>2</v>
      </c>
      <c r="I395" t="s">
        <v>1</v>
      </c>
      <c r="J395" t="s">
        <v>3</v>
      </c>
      <c r="K395" t="s">
        <v>2</v>
      </c>
    </row>
    <row r="396" spans="3:11" x14ac:dyDescent="0.25">
      <c r="C396" t="s">
        <v>311</v>
      </c>
      <c r="D396" t="s">
        <v>589</v>
      </c>
      <c r="E396">
        <v>4.3899999999999997</v>
      </c>
      <c r="F396">
        <v>2.15</v>
      </c>
      <c r="G396">
        <v>2.12</v>
      </c>
      <c r="I396" t="str">
        <f>"19/29"</f>
        <v>19/29</v>
      </c>
      <c r="J396" t="str">
        <f>"11/11"</f>
        <v>11/11</v>
      </c>
      <c r="K396" t="str">
        <f>"16/13"</f>
        <v>16/13</v>
      </c>
    </row>
    <row r="397" spans="3:11" x14ac:dyDescent="0.25">
      <c r="C397" t="s">
        <v>312</v>
      </c>
      <c r="D397" t="s">
        <v>590</v>
      </c>
      <c r="E397">
        <v>2.87</v>
      </c>
      <c r="F397">
        <v>1.91</v>
      </c>
      <c r="G397">
        <v>2.17</v>
      </c>
      <c r="I397" t="str">
        <f>"16/18"</f>
        <v>16/18</v>
      </c>
      <c r="J397" t="str">
        <f>"15/12"</f>
        <v>15/12</v>
      </c>
      <c r="K397" t="str">
        <f>"16/15"</f>
        <v>16/15</v>
      </c>
    </row>
    <row r="398" spans="3:11" x14ac:dyDescent="0.25">
      <c r="C398" t="s">
        <v>313</v>
      </c>
      <c r="D398" t="s">
        <v>591</v>
      </c>
      <c r="E398">
        <v>2.87</v>
      </c>
      <c r="F398">
        <v>1.91</v>
      </c>
      <c r="G398">
        <v>2.17</v>
      </c>
      <c r="I398" t="str">
        <f>"16/18"</f>
        <v>16/18</v>
      </c>
      <c r="J398" t="str">
        <f>"15/12"</f>
        <v>15/12</v>
      </c>
      <c r="K398" t="str">
        <f>"16/15"</f>
        <v>16/15</v>
      </c>
    </row>
    <row r="399" spans="3:11" x14ac:dyDescent="0.25">
      <c r="C399" t="s">
        <v>314</v>
      </c>
      <c r="D399" t="s">
        <v>592</v>
      </c>
      <c r="E399">
        <v>2.87</v>
      </c>
      <c r="F399">
        <v>1.91</v>
      </c>
      <c r="G399">
        <v>2.17</v>
      </c>
      <c r="I399" t="str">
        <f>"16/18"</f>
        <v>16/18</v>
      </c>
      <c r="J399" t="str">
        <f>"15/12"</f>
        <v>15/12</v>
      </c>
      <c r="K399" t="str">
        <f>"16/15"</f>
        <v>16/15</v>
      </c>
    </row>
    <row r="400" spans="3:11" x14ac:dyDescent="0.25">
      <c r="C400" t="s">
        <v>736</v>
      </c>
    </row>
    <row r="404" spans="1:11" x14ac:dyDescent="0.25">
      <c r="A404" t="s">
        <v>4</v>
      </c>
      <c r="B404" t="s">
        <v>8</v>
      </c>
    </row>
    <row r="406" spans="1:11" x14ac:dyDescent="0.25">
      <c r="B406" t="s">
        <v>10</v>
      </c>
      <c r="C406" t="s">
        <v>686</v>
      </c>
    </row>
    <row r="408" spans="1:11" x14ac:dyDescent="0.25">
      <c r="C408" t="s">
        <v>11</v>
      </c>
      <c r="F408" t="s">
        <v>7</v>
      </c>
      <c r="J408" t="s">
        <v>13</v>
      </c>
    </row>
    <row r="409" spans="1:11" x14ac:dyDescent="0.25">
      <c r="D409" t="s">
        <v>14</v>
      </c>
      <c r="E409" t="s">
        <v>1</v>
      </c>
      <c r="F409" t="s">
        <v>3</v>
      </c>
      <c r="G409" t="s">
        <v>2</v>
      </c>
      <c r="I409" t="s">
        <v>1</v>
      </c>
      <c r="J409" t="s">
        <v>3</v>
      </c>
      <c r="K409" t="s">
        <v>2</v>
      </c>
    </row>
    <row r="410" spans="1:11" x14ac:dyDescent="0.25">
      <c r="C410" t="s">
        <v>687</v>
      </c>
      <c r="D410" t="s">
        <v>556</v>
      </c>
      <c r="E410">
        <v>3.36</v>
      </c>
      <c r="F410">
        <v>2.39</v>
      </c>
      <c r="G410">
        <v>4.07</v>
      </c>
      <c r="I410" t="str">
        <f>"18/21"</f>
        <v>18/21</v>
      </c>
      <c r="J410" t="str">
        <f>"14/12"</f>
        <v>14/12</v>
      </c>
      <c r="K410" t="str">
        <f>"37/38"</f>
        <v>37/38</v>
      </c>
    </row>
    <row r="411" spans="1:11" x14ac:dyDescent="0.25">
      <c r="C411" t="s">
        <v>689</v>
      </c>
      <c r="D411" t="s">
        <v>560</v>
      </c>
      <c r="E411">
        <v>3.27</v>
      </c>
      <c r="F411">
        <v>2.39</v>
      </c>
      <c r="G411">
        <v>3.9</v>
      </c>
      <c r="I411" t="str">
        <f>"17/19"</f>
        <v>17/19</v>
      </c>
      <c r="J411" t="str">
        <f>"14/12"</f>
        <v>14/12</v>
      </c>
      <c r="K411" t="str">
        <f>"34/34"</f>
        <v>34/34</v>
      </c>
    </row>
    <row r="412" spans="1:11" x14ac:dyDescent="0.25">
      <c r="C412" t="s">
        <v>737</v>
      </c>
    </row>
    <row r="414" spans="1:11" x14ac:dyDescent="0.25">
      <c r="C414" t="s">
        <v>17</v>
      </c>
      <c r="F414" t="s">
        <v>7</v>
      </c>
      <c r="J414" t="s">
        <v>13</v>
      </c>
    </row>
    <row r="415" spans="1:11" x14ac:dyDescent="0.25">
      <c r="D415" t="s">
        <v>14</v>
      </c>
      <c r="E415" t="s">
        <v>1</v>
      </c>
      <c r="F415" t="s">
        <v>3</v>
      </c>
      <c r="G415" t="s">
        <v>2</v>
      </c>
      <c r="I415" t="s">
        <v>1</v>
      </c>
      <c r="J415" t="s">
        <v>3</v>
      </c>
      <c r="K415" t="s">
        <v>2</v>
      </c>
    </row>
    <row r="416" spans="1:11" x14ac:dyDescent="0.25">
      <c r="C416" t="s">
        <v>404</v>
      </c>
    </row>
    <row r="418" spans="3:11" x14ac:dyDescent="0.25">
      <c r="C418" t="s">
        <v>18</v>
      </c>
      <c r="F418" t="s">
        <v>7</v>
      </c>
      <c r="J418" t="s">
        <v>13</v>
      </c>
    </row>
    <row r="419" spans="3:11" x14ac:dyDescent="0.25">
      <c r="D419" t="s">
        <v>14</v>
      </c>
      <c r="E419" t="s">
        <v>1</v>
      </c>
      <c r="F419" t="s">
        <v>3</v>
      </c>
      <c r="G419" t="s">
        <v>2</v>
      </c>
      <c r="I419" t="s">
        <v>1</v>
      </c>
      <c r="J419" t="s">
        <v>3</v>
      </c>
      <c r="K419" t="s">
        <v>2</v>
      </c>
    </row>
    <row r="420" spans="3:11" x14ac:dyDescent="0.25">
      <c r="C420" t="s">
        <v>687</v>
      </c>
      <c r="D420" t="s">
        <v>92</v>
      </c>
      <c r="E420">
        <v>5.84</v>
      </c>
      <c r="F420">
        <v>4.55</v>
      </c>
      <c r="G420">
        <v>9.42</v>
      </c>
      <c r="I420" t="str">
        <f>"55/109"</f>
        <v>55/109</v>
      </c>
      <c r="J420" t="str">
        <f>"40/65"</f>
        <v>40/65</v>
      </c>
      <c r="K420" t="str">
        <f>"81/224"</f>
        <v>81/224</v>
      </c>
    </row>
    <row r="421" spans="3:11" x14ac:dyDescent="0.25">
      <c r="C421" t="s">
        <v>689</v>
      </c>
      <c r="D421" t="s">
        <v>89</v>
      </c>
      <c r="E421">
        <v>2.13</v>
      </c>
      <c r="F421">
        <v>4.87</v>
      </c>
      <c r="G421">
        <v>11.34</v>
      </c>
      <c r="I421" t="str">
        <f>"20/15"</f>
        <v>20/15</v>
      </c>
      <c r="J421" t="str">
        <f>"15/12"</f>
        <v>15/12</v>
      </c>
      <c r="K421" t="str">
        <f>"97/109"</f>
        <v>97/109</v>
      </c>
    </row>
    <row r="422" spans="3:11" x14ac:dyDescent="0.25">
      <c r="C422" t="s">
        <v>691</v>
      </c>
      <c r="D422" t="s">
        <v>80</v>
      </c>
      <c r="E422">
        <v>2.13</v>
      </c>
      <c r="F422">
        <v>4.87</v>
      </c>
      <c r="G422">
        <v>11.1</v>
      </c>
      <c r="I422" t="str">
        <f>"20/15"</f>
        <v>20/15</v>
      </c>
      <c r="J422" t="str">
        <f>"15/12"</f>
        <v>15/12</v>
      </c>
      <c r="K422" t="str">
        <f>"96/108"</f>
        <v>96/108</v>
      </c>
    </row>
    <row r="423" spans="3:11" x14ac:dyDescent="0.25">
      <c r="C423" t="s">
        <v>693</v>
      </c>
      <c r="D423" t="s">
        <v>549</v>
      </c>
      <c r="E423">
        <v>2.15</v>
      </c>
      <c r="F423">
        <v>4.3899999999999997</v>
      </c>
      <c r="G423">
        <v>11.01</v>
      </c>
      <c r="I423" t="str">
        <f>"20/16"</f>
        <v>20/16</v>
      </c>
      <c r="J423" t="str">
        <f>"12/17"</f>
        <v>12/17</v>
      </c>
      <c r="K423" t="str">
        <f>"39/119"</f>
        <v>39/119</v>
      </c>
    </row>
    <row r="424" spans="3:11" x14ac:dyDescent="0.25">
      <c r="C424" t="s">
        <v>694</v>
      </c>
      <c r="D424" t="s">
        <v>599</v>
      </c>
      <c r="E424">
        <v>4.95</v>
      </c>
      <c r="F424">
        <v>3.42</v>
      </c>
      <c r="G424">
        <v>7.3</v>
      </c>
      <c r="I424" t="str">
        <f>"39/70"</f>
        <v>39/70</v>
      </c>
      <c r="J424" t="str">
        <f>"19/25"</f>
        <v>19/25</v>
      </c>
      <c r="K424" t="str">
        <f>"52/131"</f>
        <v>52/131</v>
      </c>
    </row>
    <row r="425" spans="3:11" x14ac:dyDescent="0.25">
      <c r="C425" t="s">
        <v>696</v>
      </c>
      <c r="D425" t="s">
        <v>596</v>
      </c>
      <c r="E425">
        <v>4.03</v>
      </c>
      <c r="F425">
        <v>4</v>
      </c>
      <c r="G425">
        <v>6.62</v>
      </c>
      <c r="I425" t="str">
        <f>"13/17"</f>
        <v>13/17</v>
      </c>
      <c r="J425" t="str">
        <f>"21/20"</f>
        <v>21/20</v>
      </c>
      <c r="K425" t="str">
        <f>"31/53"</f>
        <v>31/53</v>
      </c>
    </row>
    <row r="426" spans="3:11" x14ac:dyDescent="0.25">
      <c r="C426" t="s">
        <v>697</v>
      </c>
      <c r="D426" t="s">
        <v>593</v>
      </c>
      <c r="E426">
        <v>3</v>
      </c>
      <c r="F426">
        <v>4.5999999999999996</v>
      </c>
      <c r="G426">
        <v>4.51</v>
      </c>
      <c r="I426" t="str">
        <f>"18/21"</f>
        <v>18/21</v>
      </c>
      <c r="J426" t="str">
        <f>"16/23"</f>
        <v>16/23</v>
      </c>
      <c r="K426" t="str">
        <f>"38/50"</f>
        <v>38/50</v>
      </c>
    </row>
    <row r="427" spans="3:11" x14ac:dyDescent="0.25">
      <c r="C427" t="s">
        <v>738</v>
      </c>
    </row>
    <row r="429" spans="3:11" x14ac:dyDescent="0.25">
      <c r="C429" t="s">
        <v>36</v>
      </c>
      <c r="F429" t="s">
        <v>7</v>
      </c>
      <c r="J429" t="s">
        <v>13</v>
      </c>
    </row>
    <row r="430" spans="3:11" x14ac:dyDescent="0.25">
      <c r="D430" t="s">
        <v>14</v>
      </c>
      <c r="E430" t="s">
        <v>1</v>
      </c>
      <c r="F430" t="s">
        <v>3</v>
      </c>
      <c r="G430" t="s">
        <v>2</v>
      </c>
      <c r="I430" t="s">
        <v>1</v>
      </c>
      <c r="J430" t="s">
        <v>3</v>
      </c>
      <c r="K430" t="s">
        <v>2</v>
      </c>
    </row>
    <row r="431" spans="3:11" x14ac:dyDescent="0.25">
      <c r="C431" t="s">
        <v>687</v>
      </c>
      <c r="D431" t="s">
        <v>446</v>
      </c>
      <c r="E431">
        <v>7.83</v>
      </c>
      <c r="F431">
        <v>3.75</v>
      </c>
      <c r="G431">
        <v>3.43</v>
      </c>
      <c r="I431" t="str">
        <f>"36/32"</f>
        <v>36/32</v>
      </c>
      <c r="J431" t="str">
        <f>"17/14"</f>
        <v>17/14</v>
      </c>
      <c r="K431" t="str">
        <f>"31/28"</f>
        <v>31/28</v>
      </c>
    </row>
    <row r="432" spans="3:11" x14ac:dyDescent="0.25">
      <c r="C432" t="s">
        <v>689</v>
      </c>
      <c r="D432" t="s">
        <v>739</v>
      </c>
      <c r="E432">
        <v>7.82</v>
      </c>
      <c r="F432">
        <v>3.51</v>
      </c>
      <c r="G432">
        <v>3.18</v>
      </c>
      <c r="I432" t="str">
        <f>"38/94"</f>
        <v>38/94</v>
      </c>
      <c r="J432" t="str">
        <f>"13/11"</f>
        <v>13/11</v>
      </c>
      <c r="K432" t="str">
        <f>"24/26"</f>
        <v>24/26</v>
      </c>
    </row>
    <row r="433" spans="2:11" x14ac:dyDescent="0.25">
      <c r="C433" t="s">
        <v>691</v>
      </c>
      <c r="D433" t="s">
        <v>373</v>
      </c>
      <c r="E433">
        <v>6.82</v>
      </c>
      <c r="F433">
        <v>3.45</v>
      </c>
      <c r="G433">
        <v>4.24</v>
      </c>
      <c r="I433" t="str">
        <f>"41/49"</f>
        <v>41/49</v>
      </c>
      <c r="J433" t="str">
        <f>"13/14"</f>
        <v>13/14</v>
      </c>
      <c r="K433" t="str">
        <f>"47/52"</f>
        <v>47/52</v>
      </c>
    </row>
    <row r="434" spans="2:11" x14ac:dyDescent="0.25">
      <c r="C434" t="s">
        <v>693</v>
      </c>
      <c r="D434" t="s">
        <v>740</v>
      </c>
      <c r="E434">
        <v>7.82</v>
      </c>
      <c r="F434">
        <v>3.51</v>
      </c>
      <c r="G434">
        <v>3.08</v>
      </c>
      <c r="I434" t="str">
        <f>"38/94"</f>
        <v>38/94</v>
      </c>
      <c r="J434" t="str">
        <f>"13/11"</f>
        <v>13/11</v>
      </c>
      <c r="K434" t="str">
        <f>"23/25"</f>
        <v>23/25</v>
      </c>
    </row>
    <row r="435" spans="2:11" x14ac:dyDescent="0.25">
      <c r="C435" t="s">
        <v>694</v>
      </c>
      <c r="D435" t="s">
        <v>741</v>
      </c>
      <c r="E435">
        <v>7.82</v>
      </c>
      <c r="F435">
        <v>3.51</v>
      </c>
      <c r="G435">
        <v>3.08</v>
      </c>
      <c r="I435" t="str">
        <f>"38/94"</f>
        <v>38/94</v>
      </c>
      <c r="J435" t="str">
        <f>"13/11"</f>
        <v>13/11</v>
      </c>
      <c r="K435" t="str">
        <f>"23/25"</f>
        <v>23/25</v>
      </c>
    </row>
    <row r="436" spans="2:11" x14ac:dyDescent="0.25">
      <c r="C436" t="s">
        <v>696</v>
      </c>
      <c r="D436" t="s">
        <v>601</v>
      </c>
      <c r="E436">
        <v>7.68</v>
      </c>
      <c r="F436">
        <v>3.04</v>
      </c>
      <c r="G436">
        <v>3.43</v>
      </c>
      <c r="I436" t="str">
        <f>"35/31"</f>
        <v>35/31</v>
      </c>
      <c r="J436" t="str">
        <f>"15/12"</f>
        <v>15/12</v>
      </c>
      <c r="K436" t="str">
        <f>"31/28"</f>
        <v>31/28</v>
      </c>
    </row>
    <row r="437" spans="2:11" x14ac:dyDescent="0.25">
      <c r="C437" t="s">
        <v>742</v>
      </c>
    </row>
    <row r="439" spans="2:11" x14ac:dyDescent="0.25">
      <c r="B439" t="s">
        <v>37</v>
      </c>
      <c r="C439" t="s">
        <v>338</v>
      </c>
    </row>
    <row r="441" spans="2:11" x14ac:dyDescent="0.25">
      <c r="C441" t="s">
        <v>11</v>
      </c>
      <c r="F441" t="s">
        <v>7</v>
      </c>
      <c r="J441" t="s">
        <v>13</v>
      </c>
    </row>
    <row r="442" spans="2:11" x14ac:dyDescent="0.25">
      <c r="D442" t="s">
        <v>14</v>
      </c>
      <c r="E442" t="s">
        <v>1</v>
      </c>
      <c r="F442" t="s">
        <v>3</v>
      </c>
      <c r="G442" t="s">
        <v>2</v>
      </c>
      <c r="I442" t="s">
        <v>1</v>
      </c>
      <c r="J442" t="s">
        <v>3</v>
      </c>
      <c r="K442" t="s">
        <v>2</v>
      </c>
    </row>
    <row r="443" spans="2:11" x14ac:dyDescent="0.25">
      <c r="C443" t="s">
        <v>320</v>
      </c>
    </row>
    <row r="445" spans="2:11" x14ac:dyDescent="0.25">
      <c r="C445" t="s">
        <v>17</v>
      </c>
      <c r="F445" t="s">
        <v>7</v>
      </c>
      <c r="J445" t="s">
        <v>13</v>
      </c>
    </row>
    <row r="446" spans="2:11" x14ac:dyDescent="0.25">
      <c r="D446" t="s">
        <v>14</v>
      </c>
      <c r="E446" t="s">
        <v>1</v>
      </c>
      <c r="F446" t="s">
        <v>3</v>
      </c>
      <c r="G446" t="s">
        <v>2</v>
      </c>
      <c r="I446" t="s">
        <v>1</v>
      </c>
      <c r="J446" t="s">
        <v>3</v>
      </c>
      <c r="K446" t="s">
        <v>2</v>
      </c>
    </row>
    <row r="447" spans="2:11" x14ac:dyDescent="0.25">
      <c r="C447" t="s">
        <v>320</v>
      </c>
    </row>
    <row r="449" spans="2:11" x14ac:dyDescent="0.25">
      <c r="C449" t="s">
        <v>18</v>
      </c>
      <c r="F449" t="s">
        <v>7</v>
      </c>
      <c r="J449" t="s">
        <v>13</v>
      </c>
    </row>
    <row r="450" spans="2:11" x14ac:dyDescent="0.25">
      <c r="D450" t="s">
        <v>14</v>
      </c>
      <c r="E450" t="s">
        <v>1</v>
      </c>
      <c r="F450" t="s">
        <v>3</v>
      </c>
      <c r="G450" t="s">
        <v>2</v>
      </c>
      <c r="I450" t="s">
        <v>1</v>
      </c>
      <c r="J450" t="s">
        <v>3</v>
      </c>
      <c r="K450" t="s">
        <v>2</v>
      </c>
    </row>
    <row r="451" spans="2:11" x14ac:dyDescent="0.25">
      <c r="C451" t="s">
        <v>320</v>
      </c>
    </row>
    <row r="453" spans="2:11" x14ac:dyDescent="0.25">
      <c r="C453" t="s">
        <v>36</v>
      </c>
      <c r="F453" t="s">
        <v>7</v>
      </c>
      <c r="J453" t="s">
        <v>13</v>
      </c>
    </row>
    <row r="454" spans="2:11" x14ac:dyDescent="0.25">
      <c r="D454" t="s">
        <v>14</v>
      </c>
      <c r="E454" t="s">
        <v>1</v>
      </c>
      <c r="F454" t="s">
        <v>3</v>
      </c>
      <c r="G454" t="s">
        <v>2</v>
      </c>
      <c r="I454" t="s">
        <v>1</v>
      </c>
      <c r="J454" t="s">
        <v>3</v>
      </c>
      <c r="K454" t="s">
        <v>2</v>
      </c>
    </row>
    <row r="455" spans="2:11" x14ac:dyDescent="0.25">
      <c r="C455" t="s">
        <v>320</v>
      </c>
    </row>
    <row r="457" spans="2:11" x14ac:dyDescent="0.25">
      <c r="B457" t="s">
        <v>38</v>
      </c>
      <c r="C457" t="s">
        <v>339</v>
      </c>
    </row>
    <row r="459" spans="2:11" x14ac:dyDescent="0.25">
      <c r="C459" t="s">
        <v>11</v>
      </c>
      <c r="F459" t="s">
        <v>7</v>
      </c>
      <c r="J459" t="s">
        <v>13</v>
      </c>
    </row>
    <row r="460" spans="2:11" x14ac:dyDescent="0.25">
      <c r="D460" t="s">
        <v>14</v>
      </c>
      <c r="E460" t="s">
        <v>1</v>
      </c>
      <c r="F460" t="s">
        <v>3</v>
      </c>
      <c r="G460" t="s">
        <v>2</v>
      </c>
      <c r="I460" t="s">
        <v>1</v>
      </c>
      <c r="J460" t="s">
        <v>3</v>
      </c>
      <c r="K460" t="s">
        <v>2</v>
      </c>
    </row>
    <row r="461" spans="2:11" x14ac:dyDescent="0.25">
      <c r="C461" t="s">
        <v>320</v>
      </c>
    </row>
    <row r="463" spans="2:11" x14ac:dyDescent="0.25">
      <c r="C463" t="s">
        <v>17</v>
      </c>
      <c r="F463" t="s">
        <v>7</v>
      </c>
      <c r="J463" t="s">
        <v>13</v>
      </c>
    </row>
    <row r="464" spans="2:11" x14ac:dyDescent="0.25">
      <c r="D464" t="s">
        <v>14</v>
      </c>
      <c r="E464" t="s">
        <v>1</v>
      </c>
      <c r="F464" t="s">
        <v>3</v>
      </c>
      <c r="G464" t="s">
        <v>2</v>
      </c>
      <c r="I464" t="s">
        <v>1</v>
      </c>
      <c r="J464" t="s">
        <v>3</v>
      </c>
      <c r="K464" t="s">
        <v>2</v>
      </c>
    </row>
    <row r="465" spans="3:11" x14ac:dyDescent="0.25">
      <c r="C465" t="s">
        <v>320</v>
      </c>
    </row>
    <row r="467" spans="3:11" x14ac:dyDescent="0.25">
      <c r="C467" t="s">
        <v>18</v>
      </c>
      <c r="F467" t="s">
        <v>7</v>
      </c>
      <c r="J467" t="s">
        <v>13</v>
      </c>
    </row>
    <row r="468" spans="3:11" x14ac:dyDescent="0.25">
      <c r="D468" t="s">
        <v>14</v>
      </c>
      <c r="E468" t="s">
        <v>1</v>
      </c>
      <c r="F468" t="s">
        <v>3</v>
      </c>
      <c r="G468" t="s">
        <v>2</v>
      </c>
      <c r="I468" t="s">
        <v>1</v>
      </c>
      <c r="J468" t="s">
        <v>3</v>
      </c>
      <c r="K468" t="s">
        <v>2</v>
      </c>
    </row>
    <row r="469" spans="3:11" x14ac:dyDescent="0.25">
      <c r="C469" t="s">
        <v>320</v>
      </c>
    </row>
    <row r="471" spans="3:11" x14ac:dyDescent="0.25">
      <c r="C471" t="s">
        <v>36</v>
      </c>
      <c r="F471" t="s">
        <v>7</v>
      </c>
      <c r="J471" t="s">
        <v>13</v>
      </c>
    </row>
    <row r="472" spans="3:11" x14ac:dyDescent="0.25">
      <c r="D472" t="s">
        <v>14</v>
      </c>
      <c r="E472" t="s">
        <v>1</v>
      </c>
      <c r="F472" t="s">
        <v>3</v>
      </c>
      <c r="G472" t="s">
        <v>2</v>
      </c>
      <c r="I472" t="s">
        <v>1</v>
      </c>
      <c r="J472" t="s">
        <v>3</v>
      </c>
      <c r="K472" t="s">
        <v>2</v>
      </c>
    </row>
    <row r="473" spans="3:11" x14ac:dyDescent="0.25">
      <c r="C473" t="s">
        <v>320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5"/>
  <sheetViews>
    <sheetView workbookViewId="0">
      <selection activeCell="C9" sqref="C9"/>
    </sheetView>
  </sheetViews>
  <sheetFormatPr defaultRowHeight="15" x14ac:dyDescent="0.25"/>
  <cols>
    <col min="1" max="1" width="6.5703125" bestFit="1" customWidth="1"/>
    <col min="2" max="2" width="20.5703125" bestFit="1" customWidth="1"/>
    <col min="3" max="3" width="20.28515625" customWidth="1"/>
    <col min="4" max="4" width="89.7109375" bestFit="1" customWidth="1"/>
    <col min="5" max="5" width="5" bestFit="1" customWidth="1"/>
    <col min="6" max="6" width="7.28515625" bestFit="1" customWidth="1"/>
    <col min="7" max="7" width="5" bestFit="1" customWidth="1"/>
    <col min="9" max="9" width="8.85546875" bestFit="1" customWidth="1"/>
    <col min="10" max="10" width="14.7109375" bestFit="1" customWidth="1"/>
    <col min="11" max="11" width="8.85546875" bestFit="1" customWidth="1"/>
  </cols>
  <sheetData>
    <row r="1" spans="1:11" x14ac:dyDescent="0.25">
      <c r="A1" t="s">
        <v>0</v>
      </c>
      <c r="B1" t="s">
        <v>355</v>
      </c>
    </row>
    <row r="3" spans="1:11" x14ac:dyDescent="0.25">
      <c r="B3" t="s">
        <v>10</v>
      </c>
      <c r="C3" t="s">
        <v>177</v>
      </c>
    </row>
    <row r="5" spans="1:11" x14ac:dyDescent="0.25">
      <c r="C5" t="s">
        <v>11</v>
      </c>
      <c r="F5" t="s">
        <v>356</v>
      </c>
      <c r="J5" t="s">
        <v>13</v>
      </c>
    </row>
    <row r="6" spans="1:11" x14ac:dyDescent="0.25">
      <c r="D6" t="s">
        <v>14</v>
      </c>
      <c r="E6" t="s">
        <v>1</v>
      </c>
      <c r="F6" t="s">
        <v>3</v>
      </c>
      <c r="G6" t="s">
        <v>2</v>
      </c>
      <c r="I6" t="s">
        <v>1</v>
      </c>
      <c r="J6" t="s">
        <v>3</v>
      </c>
      <c r="K6" t="s">
        <v>2</v>
      </c>
    </row>
    <row r="7" spans="1:11" x14ac:dyDescent="0.25">
      <c r="C7" t="s">
        <v>178</v>
      </c>
      <c r="D7" t="s">
        <v>50</v>
      </c>
      <c r="E7">
        <v>5.35</v>
      </c>
      <c r="F7">
        <v>6.18</v>
      </c>
      <c r="G7">
        <v>4.8899999999999997</v>
      </c>
      <c r="I7" t="str">
        <f>"113/255"</f>
        <v>113/255</v>
      </c>
      <c r="J7" t="str">
        <f>"127/201"</f>
        <v>127/201</v>
      </c>
      <c r="K7" t="str">
        <f>"182/366"</f>
        <v>182/366</v>
      </c>
    </row>
    <row r="8" spans="1:11" x14ac:dyDescent="0.25">
      <c r="C8" t="s">
        <v>179</v>
      </c>
      <c r="D8" t="s">
        <v>357</v>
      </c>
      <c r="E8">
        <v>4.76</v>
      </c>
      <c r="F8">
        <v>6.85</v>
      </c>
      <c r="G8">
        <v>4.7</v>
      </c>
      <c r="I8" t="str">
        <f>"123/310"</f>
        <v>123/310</v>
      </c>
      <c r="J8" t="str">
        <f>"101/268"</f>
        <v>101/268</v>
      </c>
      <c r="K8" t="str">
        <f>"167/433"</f>
        <v>167/433</v>
      </c>
    </row>
    <row r="9" spans="1:11" x14ac:dyDescent="0.25">
      <c r="C9" t="s">
        <v>180</v>
      </c>
      <c r="D9" t="s">
        <v>358</v>
      </c>
      <c r="E9">
        <v>4.76</v>
      </c>
      <c r="F9">
        <v>5.04</v>
      </c>
      <c r="G9">
        <v>6.46</v>
      </c>
      <c r="I9" t="str">
        <f>"65/129"</f>
        <v>65/129</v>
      </c>
      <c r="J9" t="str">
        <f>"65/147"</f>
        <v>65/147</v>
      </c>
      <c r="K9" t="str">
        <f>"107/167"</f>
        <v>107/167</v>
      </c>
    </row>
    <row r="10" spans="1:11" x14ac:dyDescent="0.25">
      <c r="C10" t="s">
        <v>181</v>
      </c>
      <c r="D10" t="s">
        <v>81</v>
      </c>
      <c r="E10">
        <v>4.8499999999999996</v>
      </c>
      <c r="F10">
        <v>6.24</v>
      </c>
      <c r="G10">
        <v>5.05</v>
      </c>
      <c r="I10" t="str">
        <f>"114/271"</f>
        <v>114/271</v>
      </c>
      <c r="J10" t="str">
        <f>"106/266"</f>
        <v>106/266</v>
      </c>
      <c r="K10" t="str">
        <f>"163/355"</f>
        <v>163/355</v>
      </c>
    </row>
    <row r="11" spans="1:11" x14ac:dyDescent="0.25">
      <c r="C11" t="s">
        <v>182</v>
      </c>
      <c r="D11" t="s">
        <v>359</v>
      </c>
      <c r="E11">
        <v>4.4800000000000004</v>
      </c>
      <c r="F11">
        <v>6.83</v>
      </c>
      <c r="G11">
        <v>4.79</v>
      </c>
      <c r="I11" t="str">
        <f>"119/290"</f>
        <v>119/290</v>
      </c>
      <c r="J11" t="str">
        <f>"98/259"</f>
        <v>98/259</v>
      </c>
      <c r="K11" t="str">
        <f>"157/408"</f>
        <v>157/408</v>
      </c>
    </row>
    <row r="12" spans="1:11" x14ac:dyDescent="0.25">
      <c r="C12" t="s">
        <v>183</v>
      </c>
      <c r="D12" t="s">
        <v>360</v>
      </c>
      <c r="E12">
        <v>4.4800000000000004</v>
      </c>
      <c r="F12">
        <v>6.78</v>
      </c>
      <c r="G12">
        <v>4.8</v>
      </c>
      <c r="I12" t="str">
        <f>"119/290"</f>
        <v>119/290</v>
      </c>
      <c r="J12" t="str">
        <f>"96/256"</f>
        <v>96/256</v>
      </c>
      <c r="K12" t="str">
        <f>"156/406"</f>
        <v>156/406</v>
      </c>
    </row>
    <row r="13" spans="1:11" x14ac:dyDescent="0.25">
      <c r="C13" t="s">
        <v>184</v>
      </c>
      <c r="D13" t="s">
        <v>361</v>
      </c>
      <c r="E13">
        <v>4.72</v>
      </c>
      <c r="F13">
        <v>5.63</v>
      </c>
      <c r="G13">
        <v>4.68</v>
      </c>
      <c r="I13" t="str">
        <f>"134/340"</f>
        <v>134/340</v>
      </c>
      <c r="J13" t="str">
        <f>"114/304"</f>
        <v>114/304</v>
      </c>
      <c r="K13" t="str">
        <f>"180/469"</f>
        <v>180/469</v>
      </c>
    </row>
    <row r="14" spans="1:11" x14ac:dyDescent="0.25">
      <c r="C14" t="s">
        <v>185</v>
      </c>
      <c r="D14" t="s">
        <v>362</v>
      </c>
      <c r="E14">
        <v>5.54</v>
      </c>
      <c r="F14">
        <v>4.63</v>
      </c>
      <c r="G14">
        <v>4.6500000000000004</v>
      </c>
      <c r="I14" t="str">
        <f>"101/315"</f>
        <v>101/315</v>
      </c>
      <c r="J14" t="str">
        <f>"160/576"</f>
        <v>160/576</v>
      </c>
      <c r="K14" t="str">
        <f>"222/592"</f>
        <v>222/592</v>
      </c>
    </row>
    <row r="15" spans="1:11" x14ac:dyDescent="0.25">
      <c r="C15" t="s">
        <v>186</v>
      </c>
      <c r="D15" t="s">
        <v>363</v>
      </c>
      <c r="E15">
        <v>5.0199999999999996</v>
      </c>
      <c r="F15">
        <v>4.8</v>
      </c>
      <c r="G15">
        <v>5</v>
      </c>
      <c r="I15" t="str">
        <f>"119/290"</f>
        <v>119/290</v>
      </c>
      <c r="J15" t="str">
        <f>"94/261"</f>
        <v>94/261</v>
      </c>
      <c r="K15" t="str">
        <f>"129/293"</f>
        <v>129/293</v>
      </c>
    </row>
    <row r="16" spans="1:11" x14ac:dyDescent="0.25">
      <c r="C16" t="s">
        <v>187</v>
      </c>
      <c r="D16" t="s">
        <v>364</v>
      </c>
      <c r="E16">
        <v>4.1500000000000004</v>
      </c>
      <c r="F16">
        <v>4.5599999999999996</v>
      </c>
      <c r="G16">
        <v>5.83</v>
      </c>
      <c r="I16" t="str">
        <f>"59/118"</f>
        <v>59/118</v>
      </c>
      <c r="J16" t="str">
        <f>"61/124"</f>
        <v>61/124</v>
      </c>
      <c r="K16" t="str">
        <f>"99/148"</f>
        <v>99/148</v>
      </c>
    </row>
    <row r="17" spans="3:11" x14ac:dyDescent="0.25">
      <c r="C17" t="s">
        <v>365</v>
      </c>
    </row>
    <row r="19" spans="3:11" x14ac:dyDescent="0.25">
      <c r="C19" t="s">
        <v>17</v>
      </c>
      <c r="F19" t="s">
        <v>356</v>
      </c>
      <c r="J19" t="s">
        <v>13</v>
      </c>
    </row>
    <row r="20" spans="3:11" x14ac:dyDescent="0.25">
      <c r="D20" t="s">
        <v>14</v>
      </c>
      <c r="E20" t="s">
        <v>1</v>
      </c>
      <c r="F20" t="s">
        <v>3</v>
      </c>
      <c r="G20" t="s">
        <v>2</v>
      </c>
      <c r="I20" t="s">
        <v>1</v>
      </c>
      <c r="J20" t="s">
        <v>3</v>
      </c>
      <c r="K20" t="s">
        <v>2</v>
      </c>
    </row>
    <row r="21" spans="3:11" x14ac:dyDescent="0.25">
      <c r="C21" t="s">
        <v>178</v>
      </c>
      <c r="D21" t="s">
        <v>366</v>
      </c>
      <c r="E21">
        <v>4.0999999999999996</v>
      </c>
      <c r="F21">
        <v>4.43</v>
      </c>
      <c r="G21">
        <v>6.73</v>
      </c>
      <c r="I21" t="str">
        <f>"72/170"</f>
        <v>72/170</v>
      </c>
      <c r="J21" t="str">
        <f>"69/94"</f>
        <v>69/94</v>
      </c>
      <c r="K21" t="str">
        <f>"101/147"</f>
        <v>101/147</v>
      </c>
    </row>
    <row r="22" spans="3:11" x14ac:dyDescent="0.25">
      <c r="C22" t="s">
        <v>179</v>
      </c>
      <c r="D22" t="s">
        <v>367</v>
      </c>
      <c r="E22">
        <v>4.8600000000000003</v>
      </c>
      <c r="F22">
        <v>3.92</v>
      </c>
      <c r="G22">
        <v>5.38</v>
      </c>
      <c r="I22" t="str">
        <f>"92/220"</f>
        <v>92/220</v>
      </c>
      <c r="J22" t="str">
        <f>"74/174"</f>
        <v>74/174</v>
      </c>
      <c r="K22" t="str">
        <f>"122/257"</f>
        <v>122/257</v>
      </c>
    </row>
    <row r="23" spans="3:11" x14ac:dyDescent="0.25">
      <c r="C23" t="s">
        <v>180</v>
      </c>
      <c r="D23" t="s">
        <v>368</v>
      </c>
      <c r="E23">
        <v>4.8600000000000003</v>
      </c>
      <c r="F23">
        <v>3.92</v>
      </c>
      <c r="G23">
        <v>5.38</v>
      </c>
      <c r="I23" t="str">
        <f>"92/220"</f>
        <v>92/220</v>
      </c>
      <c r="J23" t="str">
        <f>"74/174"</f>
        <v>74/174</v>
      </c>
      <c r="K23" t="str">
        <f>"122/257"</f>
        <v>122/257</v>
      </c>
    </row>
    <row r="24" spans="3:11" x14ac:dyDescent="0.25">
      <c r="C24" t="s">
        <v>181</v>
      </c>
      <c r="D24" t="s">
        <v>369</v>
      </c>
      <c r="E24">
        <v>4.8600000000000003</v>
      </c>
      <c r="F24">
        <v>3.92</v>
      </c>
      <c r="G24">
        <v>5.38</v>
      </c>
      <c r="I24" t="str">
        <f>"92/220"</f>
        <v>92/220</v>
      </c>
      <c r="J24" t="str">
        <f>"74/174"</f>
        <v>74/174</v>
      </c>
      <c r="K24" t="str">
        <f>"122/257"</f>
        <v>122/257</v>
      </c>
    </row>
    <row r="25" spans="3:11" x14ac:dyDescent="0.25">
      <c r="C25" t="s">
        <v>182</v>
      </c>
      <c r="D25" t="s">
        <v>51</v>
      </c>
      <c r="E25">
        <v>4.1900000000000004</v>
      </c>
      <c r="F25">
        <v>4.16</v>
      </c>
      <c r="G25">
        <v>5.6</v>
      </c>
      <c r="I25" t="str">
        <f>"82/192"</f>
        <v>82/192</v>
      </c>
      <c r="J25" t="str">
        <f>"85/118"</f>
        <v>85/118</v>
      </c>
      <c r="K25" t="str">
        <f>"126/197"</f>
        <v>126/197</v>
      </c>
    </row>
    <row r="26" spans="3:11" x14ac:dyDescent="0.25">
      <c r="C26" t="s">
        <v>183</v>
      </c>
      <c r="D26" t="s">
        <v>71</v>
      </c>
      <c r="E26">
        <v>4.0999999999999996</v>
      </c>
      <c r="F26">
        <v>4.4400000000000004</v>
      </c>
      <c r="G26">
        <v>5.27</v>
      </c>
      <c r="I26" t="str">
        <f>"96/210"</f>
        <v>96/210</v>
      </c>
      <c r="J26" t="str">
        <f>"101/149"</f>
        <v>101/149</v>
      </c>
      <c r="K26" t="str">
        <f>"146/267"</f>
        <v>146/267</v>
      </c>
    </row>
    <row r="27" spans="3:11" x14ac:dyDescent="0.25">
      <c r="C27" t="s">
        <v>184</v>
      </c>
      <c r="D27" t="s">
        <v>370</v>
      </c>
      <c r="E27">
        <v>4.5599999999999996</v>
      </c>
      <c r="F27">
        <v>4.41</v>
      </c>
      <c r="G27">
        <v>4.83</v>
      </c>
      <c r="I27" t="str">
        <f>"47/57"</f>
        <v>47/57</v>
      </c>
      <c r="J27" t="str">
        <f>"111/293"</f>
        <v>111/293</v>
      </c>
      <c r="K27" t="str">
        <f>"156/358"</f>
        <v>156/358</v>
      </c>
    </row>
    <row r="28" spans="3:11" x14ac:dyDescent="0.25">
      <c r="C28" t="s">
        <v>185</v>
      </c>
      <c r="D28" t="s">
        <v>371</v>
      </c>
      <c r="E28">
        <v>4.09</v>
      </c>
      <c r="F28">
        <v>4.43</v>
      </c>
      <c r="G28">
        <v>5.04</v>
      </c>
      <c r="I28" t="str">
        <f>"71/168"</f>
        <v>71/168</v>
      </c>
      <c r="J28" t="str">
        <f>"69/94"</f>
        <v>69/94</v>
      </c>
      <c r="K28" t="str">
        <f>"99/143"</f>
        <v>99/143</v>
      </c>
    </row>
    <row r="29" spans="3:11" x14ac:dyDescent="0.25">
      <c r="C29" t="s">
        <v>186</v>
      </c>
      <c r="D29" t="s">
        <v>372</v>
      </c>
      <c r="E29">
        <v>4.4000000000000004</v>
      </c>
      <c r="F29">
        <v>3.99</v>
      </c>
      <c r="G29">
        <v>4.5999999999999996</v>
      </c>
      <c r="I29" t="str">
        <f>"102/191"</f>
        <v>102/191</v>
      </c>
      <c r="J29" t="str">
        <f>"140/461"</f>
        <v>140/461</v>
      </c>
      <c r="K29" t="str">
        <f>"240/827"</f>
        <v>240/827</v>
      </c>
    </row>
    <row r="30" spans="3:11" x14ac:dyDescent="0.25">
      <c r="C30" t="s">
        <v>187</v>
      </c>
      <c r="D30" t="s">
        <v>373</v>
      </c>
      <c r="E30">
        <v>4.62</v>
      </c>
      <c r="F30">
        <v>2.83</v>
      </c>
      <c r="G30">
        <v>4.68</v>
      </c>
      <c r="I30" t="str">
        <f>"71/157"</f>
        <v>71/157</v>
      </c>
      <c r="J30" t="str">
        <f>"54/130"</f>
        <v>54/130</v>
      </c>
      <c r="K30" t="str">
        <f>"139/270"</f>
        <v>139/270</v>
      </c>
    </row>
    <row r="31" spans="3:11" x14ac:dyDescent="0.25">
      <c r="C31" t="s">
        <v>743</v>
      </c>
    </row>
    <row r="33" spans="3:11" x14ac:dyDescent="0.25">
      <c r="C33" t="s">
        <v>18</v>
      </c>
      <c r="F33" t="s">
        <v>356</v>
      </c>
      <c r="J33" t="s">
        <v>13</v>
      </c>
    </row>
    <row r="34" spans="3:11" x14ac:dyDescent="0.25">
      <c r="D34" t="s">
        <v>14</v>
      </c>
      <c r="E34" t="s">
        <v>1</v>
      </c>
      <c r="F34" t="s">
        <v>3</v>
      </c>
      <c r="G34" t="s">
        <v>2</v>
      </c>
      <c r="I34" t="s">
        <v>1</v>
      </c>
      <c r="J34" t="s">
        <v>3</v>
      </c>
      <c r="K34" t="s">
        <v>2</v>
      </c>
    </row>
    <row r="35" spans="3:11" x14ac:dyDescent="0.25">
      <c r="C35" t="s">
        <v>178</v>
      </c>
      <c r="D35" t="s">
        <v>374</v>
      </c>
      <c r="E35">
        <v>4.63</v>
      </c>
      <c r="F35">
        <v>5.93</v>
      </c>
      <c r="G35">
        <v>4.3600000000000003</v>
      </c>
      <c r="I35" t="str">
        <f>"114/529"</f>
        <v>114/529</v>
      </c>
      <c r="J35" t="str">
        <f>"141/473"</f>
        <v>141/473</v>
      </c>
      <c r="K35" t="str">
        <f>"237/980"</f>
        <v>237/980</v>
      </c>
    </row>
    <row r="36" spans="3:11" x14ac:dyDescent="0.25">
      <c r="C36" t="s">
        <v>179</v>
      </c>
      <c r="D36" t="s">
        <v>375</v>
      </c>
      <c r="E36">
        <v>4.6100000000000003</v>
      </c>
      <c r="F36">
        <v>5.89</v>
      </c>
      <c r="G36">
        <v>4.3600000000000003</v>
      </c>
      <c r="I36" t="str">
        <f>"128/589"</f>
        <v>128/589</v>
      </c>
      <c r="J36" t="str">
        <f>"154/538"</f>
        <v>154/538</v>
      </c>
      <c r="K36" t="str">
        <f>"255/1044"</f>
        <v>255/1044</v>
      </c>
    </row>
    <row r="37" spans="3:11" x14ac:dyDescent="0.25">
      <c r="C37" t="s">
        <v>180</v>
      </c>
      <c r="D37" t="s">
        <v>82</v>
      </c>
      <c r="E37">
        <v>5.05</v>
      </c>
      <c r="F37">
        <v>5.38</v>
      </c>
      <c r="G37">
        <v>4.13</v>
      </c>
      <c r="I37" t="str">
        <f>"180/830"</f>
        <v>180/830</v>
      </c>
      <c r="J37" t="str">
        <f>"186/625"</f>
        <v>186/625</v>
      </c>
      <c r="K37" t="str">
        <f>"236/714"</f>
        <v>236/714</v>
      </c>
    </row>
    <row r="38" spans="3:11" x14ac:dyDescent="0.25">
      <c r="C38" t="s">
        <v>181</v>
      </c>
      <c r="D38" t="s">
        <v>59</v>
      </c>
      <c r="E38">
        <v>4.79</v>
      </c>
      <c r="F38">
        <v>4.8099999999999996</v>
      </c>
      <c r="G38">
        <v>4.43</v>
      </c>
      <c r="I38" t="str">
        <f>"89/135"</f>
        <v>89/135</v>
      </c>
      <c r="J38" t="str">
        <f>"127/216"</f>
        <v>127/216</v>
      </c>
      <c r="K38" t="str">
        <f>"223/620"</f>
        <v>223/620</v>
      </c>
    </row>
    <row r="39" spans="3:11" x14ac:dyDescent="0.25">
      <c r="C39" t="s">
        <v>182</v>
      </c>
      <c r="D39" t="s">
        <v>57</v>
      </c>
      <c r="E39">
        <v>4.8499999999999996</v>
      </c>
      <c r="F39">
        <v>4.8</v>
      </c>
      <c r="G39">
        <v>4.3600000000000003</v>
      </c>
      <c r="I39" t="str">
        <f>"85/127"</f>
        <v>85/127</v>
      </c>
      <c r="J39" t="str">
        <f>"124/213"</f>
        <v>124/213</v>
      </c>
      <c r="K39" t="str">
        <f>"221/618"</f>
        <v>221/618</v>
      </c>
    </row>
    <row r="40" spans="3:11" x14ac:dyDescent="0.25">
      <c r="C40" t="s">
        <v>183</v>
      </c>
      <c r="D40" t="s">
        <v>63</v>
      </c>
      <c r="E40">
        <v>4.8499999999999996</v>
      </c>
      <c r="F40">
        <v>4.8</v>
      </c>
      <c r="G40">
        <v>4.3600000000000003</v>
      </c>
      <c r="I40" t="str">
        <f>"85/127"</f>
        <v>85/127</v>
      </c>
      <c r="J40" t="str">
        <f>"124/213"</f>
        <v>124/213</v>
      </c>
      <c r="K40" t="str">
        <f>"221/618"</f>
        <v>221/618</v>
      </c>
    </row>
    <row r="41" spans="3:11" x14ac:dyDescent="0.25">
      <c r="C41" t="s">
        <v>184</v>
      </c>
      <c r="D41" t="s">
        <v>341</v>
      </c>
      <c r="E41">
        <v>5.13</v>
      </c>
      <c r="F41">
        <v>4.54</v>
      </c>
      <c r="G41">
        <v>4.28</v>
      </c>
      <c r="I41" t="str">
        <f>"139/344"</f>
        <v>139/344</v>
      </c>
      <c r="J41" t="str">
        <f>"162/455"</f>
        <v>162/455</v>
      </c>
      <c r="K41" t="str">
        <f>"243/728"</f>
        <v>243/728</v>
      </c>
    </row>
    <row r="42" spans="3:11" x14ac:dyDescent="0.25">
      <c r="C42" t="s">
        <v>185</v>
      </c>
      <c r="D42" t="s">
        <v>376</v>
      </c>
      <c r="E42">
        <v>4.51</v>
      </c>
      <c r="F42">
        <v>5.36</v>
      </c>
      <c r="G42">
        <v>3.76</v>
      </c>
      <c r="I42" t="str">
        <f>"168/506"</f>
        <v>168/506</v>
      </c>
      <c r="J42" t="str">
        <f>"197/709"</f>
        <v>197/709</v>
      </c>
      <c r="K42" t="str">
        <f>"281/1246"</f>
        <v>281/1246</v>
      </c>
    </row>
    <row r="43" spans="3:11" x14ac:dyDescent="0.25">
      <c r="C43" t="s">
        <v>186</v>
      </c>
      <c r="D43" t="s">
        <v>377</v>
      </c>
      <c r="E43">
        <v>4.8099999999999996</v>
      </c>
      <c r="F43">
        <v>4.53</v>
      </c>
      <c r="G43">
        <v>4.1500000000000004</v>
      </c>
      <c r="I43" t="str">
        <f>"259/2120"</f>
        <v>259/2120</v>
      </c>
      <c r="J43" t="str">
        <f>"304/2325"</f>
        <v>304/2325</v>
      </c>
      <c r="K43" t="str">
        <f>"399/1910"</f>
        <v>399/1910</v>
      </c>
    </row>
    <row r="44" spans="3:11" x14ac:dyDescent="0.25">
      <c r="C44" t="s">
        <v>187</v>
      </c>
      <c r="D44" t="s">
        <v>378</v>
      </c>
      <c r="E44">
        <v>4.1399999999999997</v>
      </c>
      <c r="F44">
        <v>5.28</v>
      </c>
      <c r="G44">
        <v>4.03</v>
      </c>
      <c r="I44" t="str">
        <f>"247/3475"</f>
        <v>247/3475</v>
      </c>
      <c r="J44" t="str">
        <f>"256/1321"</f>
        <v>256/1321</v>
      </c>
      <c r="K44" t="str">
        <f>"407/3044"</f>
        <v>407/3044</v>
      </c>
    </row>
    <row r="45" spans="3:11" x14ac:dyDescent="0.25">
      <c r="C45" t="s">
        <v>188</v>
      </c>
      <c r="D45" t="s">
        <v>62</v>
      </c>
      <c r="E45">
        <v>4.54</v>
      </c>
      <c r="F45">
        <v>4.8600000000000003</v>
      </c>
      <c r="G45">
        <v>4.01</v>
      </c>
      <c r="I45" t="str">
        <f>"296/2187"</f>
        <v>296/2187</v>
      </c>
      <c r="J45" t="str">
        <f>"276/1029"</f>
        <v>276/1029</v>
      </c>
      <c r="K45" t="str">
        <f>"528/2663"</f>
        <v>528/2663</v>
      </c>
    </row>
    <row r="46" spans="3:11" x14ac:dyDescent="0.25">
      <c r="C46" t="s">
        <v>189</v>
      </c>
      <c r="D46" t="s">
        <v>77</v>
      </c>
      <c r="E46">
        <v>4.5</v>
      </c>
      <c r="F46">
        <v>4.7699999999999996</v>
      </c>
      <c r="G46">
        <v>4</v>
      </c>
      <c r="I46" t="str">
        <f>"301/2209"</f>
        <v>301/2209</v>
      </c>
      <c r="J46" t="str">
        <f>"284/1055"</f>
        <v>284/1055</v>
      </c>
      <c r="K46" t="str">
        <f>"542/2767"</f>
        <v>542/2767</v>
      </c>
    </row>
    <row r="47" spans="3:11" x14ac:dyDescent="0.25">
      <c r="C47" t="s">
        <v>190</v>
      </c>
      <c r="D47" t="s">
        <v>73</v>
      </c>
      <c r="E47">
        <v>4.42</v>
      </c>
      <c r="F47">
        <v>4.83</v>
      </c>
      <c r="G47">
        <v>3.92</v>
      </c>
      <c r="I47" t="str">
        <f>"285/2147"</f>
        <v>285/2147</v>
      </c>
      <c r="J47" t="str">
        <f>"269/972"</f>
        <v>269/972</v>
      </c>
      <c r="K47" t="str">
        <f>"503/2608"</f>
        <v>503/2608</v>
      </c>
    </row>
    <row r="48" spans="3:11" x14ac:dyDescent="0.25">
      <c r="C48" t="s">
        <v>191</v>
      </c>
      <c r="D48" t="s">
        <v>66</v>
      </c>
      <c r="E48">
        <v>4.41</v>
      </c>
      <c r="F48">
        <v>4.8</v>
      </c>
      <c r="G48">
        <v>3.93</v>
      </c>
      <c r="I48" t="str">
        <f>"286/2153"</f>
        <v>286/2153</v>
      </c>
      <c r="J48" t="str">
        <f>"269/974"</f>
        <v>269/974</v>
      </c>
      <c r="K48" t="str">
        <f>"503/2602"</f>
        <v>503/2602</v>
      </c>
    </row>
    <row r="49" spans="3:11" x14ac:dyDescent="0.25">
      <c r="C49" t="s">
        <v>192</v>
      </c>
      <c r="D49" t="s">
        <v>379</v>
      </c>
      <c r="E49">
        <v>4.68</v>
      </c>
      <c r="F49">
        <v>4.53</v>
      </c>
      <c r="G49">
        <v>3.9</v>
      </c>
      <c r="I49" t="str">
        <f>"331/4016"</f>
        <v>331/4016</v>
      </c>
      <c r="J49" t="str">
        <f>"385/2149"</f>
        <v>385/2149</v>
      </c>
      <c r="K49" t="str">
        <f>"541/4423"</f>
        <v>541/4423</v>
      </c>
    </row>
    <row r="50" spans="3:11" x14ac:dyDescent="0.25">
      <c r="C50" t="s">
        <v>193</v>
      </c>
      <c r="D50" t="s">
        <v>58</v>
      </c>
      <c r="E50">
        <v>4.67</v>
      </c>
      <c r="F50">
        <v>4.6500000000000004</v>
      </c>
      <c r="G50">
        <v>3.68</v>
      </c>
      <c r="I50" t="str">
        <f>"324/1528"</f>
        <v>324/1528</v>
      </c>
      <c r="J50" t="str">
        <f>"420/1979"</f>
        <v>420/1979</v>
      </c>
      <c r="K50" t="str">
        <f>"599/4051"</f>
        <v>599/4051</v>
      </c>
    </row>
    <row r="51" spans="3:11" x14ac:dyDescent="0.25">
      <c r="C51" t="s">
        <v>194</v>
      </c>
      <c r="D51" t="s">
        <v>107</v>
      </c>
      <c r="E51">
        <v>4.1399999999999997</v>
      </c>
      <c r="F51">
        <v>4.71</v>
      </c>
      <c r="G51">
        <v>3.87</v>
      </c>
      <c r="I51" t="str">
        <f>"337/3596"</f>
        <v>337/3596</v>
      </c>
      <c r="J51" t="str">
        <f>"430/2296"</f>
        <v>430/2296</v>
      </c>
      <c r="K51" t="str">
        <f>"575/3167"</f>
        <v>575/3167</v>
      </c>
    </row>
    <row r="52" spans="3:11" x14ac:dyDescent="0.25">
      <c r="C52" t="s">
        <v>195</v>
      </c>
      <c r="D52" t="s">
        <v>70</v>
      </c>
      <c r="E52">
        <v>4.22</v>
      </c>
      <c r="F52">
        <v>4.6100000000000003</v>
      </c>
      <c r="G52">
        <v>3.87</v>
      </c>
      <c r="I52" t="str">
        <f>"320/2209"</f>
        <v>320/2209</v>
      </c>
      <c r="J52" t="str">
        <f>"313/1181"</f>
        <v>313/1181</v>
      </c>
      <c r="K52" t="str">
        <f>"494/2423"</f>
        <v>494/2423</v>
      </c>
    </row>
    <row r="53" spans="3:11" x14ac:dyDescent="0.25">
      <c r="C53" t="s">
        <v>197</v>
      </c>
      <c r="D53" t="s">
        <v>61</v>
      </c>
      <c r="E53">
        <v>4.22</v>
      </c>
      <c r="F53">
        <v>4.6100000000000003</v>
      </c>
      <c r="G53">
        <v>3.87</v>
      </c>
      <c r="I53" t="str">
        <f>"320/2209"</f>
        <v>320/2209</v>
      </c>
      <c r="J53" t="str">
        <f>"313/1181"</f>
        <v>313/1181</v>
      </c>
      <c r="K53" t="str">
        <f>"494/2423"</f>
        <v>494/2423</v>
      </c>
    </row>
    <row r="54" spans="3:11" x14ac:dyDescent="0.25">
      <c r="C54" t="s">
        <v>199</v>
      </c>
      <c r="D54" t="s">
        <v>69</v>
      </c>
      <c r="E54">
        <v>4.2</v>
      </c>
      <c r="F54">
        <v>4.54</v>
      </c>
      <c r="G54">
        <v>3.88</v>
      </c>
      <c r="I54" t="str">
        <f>"335/2290"</f>
        <v>335/2290</v>
      </c>
      <c r="J54" t="str">
        <f>"334/1294"</f>
        <v>334/1294</v>
      </c>
      <c r="K54" t="str">
        <f>"525/2607"</f>
        <v>525/2607</v>
      </c>
    </row>
    <row r="55" spans="3:11" x14ac:dyDescent="0.25">
      <c r="C55" t="s">
        <v>200</v>
      </c>
      <c r="D55" t="s">
        <v>67</v>
      </c>
      <c r="E55">
        <v>4.2</v>
      </c>
      <c r="F55">
        <v>4.54</v>
      </c>
      <c r="G55">
        <v>3.88</v>
      </c>
      <c r="I55" t="str">
        <f>"335/2290"</f>
        <v>335/2290</v>
      </c>
      <c r="J55" t="str">
        <f>"334/1294"</f>
        <v>334/1294</v>
      </c>
      <c r="K55" t="str">
        <f>"525/2607"</f>
        <v>525/2607</v>
      </c>
    </row>
    <row r="56" spans="3:11" x14ac:dyDescent="0.25">
      <c r="C56" t="s">
        <v>380</v>
      </c>
    </row>
    <row r="58" spans="3:11" x14ac:dyDescent="0.25">
      <c r="C58" t="s">
        <v>36</v>
      </c>
      <c r="F58" t="s">
        <v>356</v>
      </c>
      <c r="J58" t="s">
        <v>13</v>
      </c>
    </row>
    <row r="59" spans="3:11" x14ac:dyDescent="0.25">
      <c r="D59" t="s">
        <v>14</v>
      </c>
      <c r="E59" t="s">
        <v>1</v>
      </c>
      <c r="F59" t="s">
        <v>3</v>
      </c>
      <c r="G59" t="s">
        <v>2</v>
      </c>
      <c r="I59" t="s">
        <v>1</v>
      </c>
      <c r="J59" t="s">
        <v>3</v>
      </c>
      <c r="K59" t="s">
        <v>2</v>
      </c>
    </row>
    <row r="60" spans="3:11" x14ac:dyDescent="0.25">
      <c r="C60" t="s">
        <v>178</v>
      </c>
      <c r="D60" t="s">
        <v>381</v>
      </c>
      <c r="E60">
        <v>3.69</v>
      </c>
      <c r="F60">
        <v>6.94</v>
      </c>
      <c r="G60">
        <v>4.95</v>
      </c>
      <c r="I60" t="str">
        <f>"145/637"</f>
        <v>145/637</v>
      </c>
      <c r="J60" t="str">
        <f>"133/450"</f>
        <v>133/450</v>
      </c>
      <c r="K60" t="str">
        <f>"200/533"</f>
        <v>200/533</v>
      </c>
    </row>
    <row r="61" spans="3:11" x14ac:dyDescent="0.25">
      <c r="C61" t="s">
        <v>179</v>
      </c>
      <c r="D61" t="s">
        <v>382</v>
      </c>
      <c r="E61">
        <v>3.33</v>
      </c>
      <c r="F61">
        <v>7.5</v>
      </c>
      <c r="G61">
        <v>4.62</v>
      </c>
      <c r="I61" t="str">
        <f>"101/322"</f>
        <v>101/322</v>
      </c>
      <c r="J61" t="str">
        <f>"74/95"</f>
        <v>74/95</v>
      </c>
      <c r="K61" t="str">
        <f>"163/340"</f>
        <v>163/340</v>
      </c>
    </row>
    <row r="62" spans="3:11" x14ac:dyDescent="0.25">
      <c r="C62" t="s">
        <v>180</v>
      </c>
      <c r="D62" t="s">
        <v>85</v>
      </c>
      <c r="E62">
        <v>3.77</v>
      </c>
      <c r="F62">
        <v>5.33</v>
      </c>
      <c r="G62">
        <v>4.87</v>
      </c>
      <c r="I62" t="str">
        <f>"96/198"</f>
        <v>96/198</v>
      </c>
      <c r="J62" t="str">
        <f>"82/122"</f>
        <v>82/122</v>
      </c>
      <c r="K62" t="str">
        <f>"113/165"</f>
        <v>113/165</v>
      </c>
    </row>
    <row r="63" spans="3:11" x14ac:dyDescent="0.25">
      <c r="C63" t="s">
        <v>181</v>
      </c>
      <c r="D63" t="s">
        <v>108</v>
      </c>
      <c r="E63">
        <v>2.9</v>
      </c>
      <c r="F63">
        <v>6.31</v>
      </c>
      <c r="G63">
        <v>4.67</v>
      </c>
      <c r="I63" t="str">
        <f>"51/115"</f>
        <v>51/115</v>
      </c>
      <c r="J63" t="str">
        <f>"86/107"</f>
        <v>86/107</v>
      </c>
      <c r="K63" t="str">
        <f>"149/275"</f>
        <v>149/275</v>
      </c>
    </row>
    <row r="64" spans="3:11" x14ac:dyDescent="0.25">
      <c r="C64" t="s">
        <v>182</v>
      </c>
      <c r="D64" t="s">
        <v>383</v>
      </c>
      <c r="E64">
        <v>2.46</v>
      </c>
      <c r="F64">
        <v>5.26</v>
      </c>
      <c r="G64">
        <v>6.01</v>
      </c>
      <c r="I64" t="str">
        <f>"120/934"</f>
        <v>120/934</v>
      </c>
      <c r="J64" t="str">
        <f>"202/980"</f>
        <v>202/980</v>
      </c>
      <c r="K64" t="str">
        <f>"209/430"</f>
        <v>209/430</v>
      </c>
    </row>
    <row r="65" spans="2:11" x14ac:dyDescent="0.25">
      <c r="C65" t="s">
        <v>183</v>
      </c>
      <c r="D65" t="s">
        <v>384</v>
      </c>
      <c r="E65">
        <v>3.32</v>
      </c>
      <c r="F65">
        <v>5.38</v>
      </c>
      <c r="G65">
        <v>4.92</v>
      </c>
      <c r="I65" t="str">
        <f>"84/256"</f>
        <v>84/256</v>
      </c>
      <c r="J65" t="str">
        <f>"109/233"</f>
        <v>109/233</v>
      </c>
      <c r="K65" t="str">
        <f>"168/353"</f>
        <v>168/353</v>
      </c>
    </row>
    <row r="66" spans="2:11" x14ac:dyDescent="0.25">
      <c r="C66" t="s">
        <v>184</v>
      </c>
      <c r="D66" t="s">
        <v>385</v>
      </c>
      <c r="E66">
        <v>2.72</v>
      </c>
      <c r="F66">
        <v>5.32</v>
      </c>
      <c r="G66">
        <v>5.45</v>
      </c>
      <c r="I66" t="str">
        <f>"129/1087"</f>
        <v>129/1087</v>
      </c>
      <c r="J66" t="str">
        <f>"180/1159"</f>
        <v>180/1159</v>
      </c>
      <c r="K66" t="str">
        <f>"177/362"</f>
        <v>177/362</v>
      </c>
    </row>
    <row r="67" spans="2:11" x14ac:dyDescent="0.25">
      <c r="C67" t="s">
        <v>185</v>
      </c>
      <c r="D67" t="s">
        <v>91</v>
      </c>
      <c r="E67">
        <v>3.17</v>
      </c>
      <c r="F67">
        <v>4.7699999999999996</v>
      </c>
      <c r="G67">
        <v>4.79</v>
      </c>
      <c r="I67" t="str">
        <f>"95/258"</f>
        <v>95/258</v>
      </c>
      <c r="J67" t="str">
        <f>"101/175"</f>
        <v>101/175</v>
      </c>
      <c r="K67" t="str">
        <f>"158/389"</f>
        <v>158/389</v>
      </c>
    </row>
    <row r="68" spans="2:11" x14ac:dyDescent="0.25">
      <c r="C68" t="s">
        <v>186</v>
      </c>
      <c r="D68" t="s">
        <v>96</v>
      </c>
      <c r="E68">
        <v>3.11</v>
      </c>
      <c r="F68">
        <v>4.8899999999999997</v>
      </c>
      <c r="G68">
        <v>4.68</v>
      </c>
      <c r="I68" t="str">
        <f>"174/1047"</f>
        <v>174/1047</v>
      </c>
      <c r="J68" t="str">
        <f>"303/1465"</f>
        <v>303/1465</v>
      </c>
      <c r="K68" t="str">
        <f>"354/1130"</f>
        <v>354/1130</v>
      </c>
    </row>
    <row r="69" spans="2:11" x14ac:dyDescent="0.25">
      <c r="C69" t="s">
        <v>187</v>
      </c>
      <c r="D69" t="s">
        <v>106</v>
      </c>
      <c r="E69">
        <v>3.11</v>
      </c>
      <c r="F69">
        <v>4.8899999999999997</v>
      </c>
      <c r="G69">
        <v>4.68</v>
      </c>
      <c r="I69" t="str">
        <f>"174/1047"</f>
        <v>174/1047</v>
      </c>
      <c r="J69" t="str">
        <f>"303/1465"</f>
        <v>303/1465</v>
      </c>
      <c r="K69" t="str">
        <f>"354/1130"</f>
        <v>354/1130</v>
      </c>
    </row>
    <row r="70" spans="2:11" x14ac:dyDescent="0.25">
      <c r="C70" t="s">
        <v>188</v>
      </c>
      <c r="D70" t="s">
        <v>68</v>
      </c>
      <c r="E70">
        <v>3.14</v>
      </c>
      <c r="F70">
        <v>4.8899999999999997</v>
      </c>
      <c r="G70">
        <v>4.6399999999999997</v>
      </c>
      <c r="I70" t="str">
        <f>"189/1060"</f>
        <v>189/1060</v>
      </c>
      <c r="J70" t="str">
        <f>"318/1540"</f>
        <v>318/1540</v>
      </c>
      <c r="K70" t="str">
        <f>"373/1223"</f>
        <v>373/1223</v>
      </c>
    </row>
    <row r="71" spans="2:11" x14ac:dyDescent="0.25">
      <c r="C71" t="s">
        <v>189</v>
      </c>
      <c r="D71" t="s">
        <v>386</v>
      </c>
      <c r="E71">
        <v>2.4700000000000002</v>
      </c>
      <c r="F71">
        <v>5.0199999999999996</v>
      </c>
      <c r="G71">
        <v>5.07</v>
      </c>
      <c r="I71" t="str">
        <f>"135/968"</f>
        <v>135/968</v>
      </c>
      <c r="J71" t="str">
        <f>"242/1142"</f>
        <v>242/1142</v>
      </c>
      <c r="K71" t="str">
        <f>"256/625"</f>
        <v>256/625</v>
      </c>
    </row>
    <row r="72" spans="2:11" x14ac:dyDescent="0.25">
      <c r="C72" t="s">
        <v>190</v>
      </c>
      <c r="D72" t="s">
        <v>387</v>
      </c>
      <c r="E72">
        <v>2.4700000000000002</v>
      </c>
      <c r="F72">
        <v>5.0199999999999996</v>
      </c>
      <c r="G72">
        <v>5.07</v>
      </c>
      <c r="I72" t="str">
        <f>"135/968"</f>
        <v>135/968</v>
      </c>
      <c r="J72" t="str">
        <f>"242/1142"</f>
        <v>242/1142</v>
      </c>
      <c r="K72" t="str">
        <f>"256/625"</f>
        <v>256/625</v>
      </c>
    </row>
    <row r="73" spans="2:11" x14ac:dyDescent="0.25">
      <c r="C73" t="s">
        <v>191</v>
      </c>
      <c r="D73" t="s">
        <v>388</v>
      </c>
      <c r="E73">
        <v>2.5299999999999998</v>
      </c>
      <c r="F73">
        <v>4.58</v>
      </c>
      <c r="G73">
        <v>4.67</v>
      </c>
      <c r="I73" t="str">
        <f>"97/308"</f>
        <v>97/308</v>
      </c>
      <c r="J73" t="str">
        <f>"154/566"</f>
        <v>154/566</v>
      </c>
      <c r="K73" t="str">
        <f>"219/579"</f>
        <v>219/579</v>
      </c>
    </row>
    <row r="74" spans="2:11" x14ac:dyDescent="0.25">
      <c r="C74" t="s">
        <v>744</v>
      </c>
    </row>
    <row r="76" spans="2:11" x14ac:dyDescent="0.25">
      <c r="B76" t="s">
        <v>37</v>
      </c>
      <c r="C76" t="s">
        <v>288</v>
      </c>
    </row>
    <row r="78" spans="2:11" x14ac:dyDescent="0.25">
      <c r="C78" t="s">
        <v>11</v>
      </c>
      <c r="F78" t="s">
        <v>356</v>
      </c>
      <c r="J78" t="s">
        <v>13</v>
      </c>
    </row>
    <row r="79" spans="2:11" x14ac:dyDescent="0.25">
      <c r="D79" t="s">
        <v>14</v>
      </c>
      <c r="E79" t="s">
        <v>1</v>
      </c>
      <c r="F79" t="s">
        <v>3</v>
      </c>
      <c r="G79" t="s">
        <v>2</v>
      </c>
      <c r="I79" t="s">
        <v>1</v>
      </c>
      <c r="J79" t="s">
        <v>3</v>
      </c>
      <c r="K79" t="s">
        <v>2</v>
      </c>
    </row>
    <row r="80" spans="2:11" x14ac:dyDescent="0.25">
      <c r="C80" t="s">
        <v>320</v>
      </c>
    </row>
    <row r="82" spans="3:11" x14ac:dyDescent="0.25">
      <c r="C82" t="s">
        <v>17</v>
      </c>
      <c r="F82" t="s">
        <v>356</v>
      </c>
      <c r="J82" t="s">
        <v>13</v>
      </c>
    </row>
    <row r="83" spans="3:11" x14ac:dyDescent="0.25">
      <c r="D83" t="s">
        <v>14</v>
      </c>
      <c r="E83" t="s">
        <v>1</v>
      </c>
      <c r="F83" t="s">
        <v>3</v>
      </c>
      <c r="G83" t="s">
        <v>2</v>
      </c>
      <c r="I83" t="s">
        <v>1</v>
      </c>
      <c r="J83" t="s">
        <v>3</v>
      </c>
      <c r="K83" t="s">
        <v>2</v>
      </c>
    </row>
    <row r="84" spans="3:11" x14ac:dyDescent="0.25">
      <c r="C84" t="s">
        <v>289</v>
      </c>
      <c r="D84" t="s">
        <v>389</v>
      </c>
      <c r="E84">
        <v>4.84</v>
      </c>
      <c r="F84">
        <v>3.89</v>
      </c>
      <c r="G84">
        <v>5.09</v>
      </c>
      <c r="I84" t="str">
        <f>"166/632"</f>
        <v>166/632</v>
      </c>
      <c r="J84" t="str">
        <f>"110/435"</f>
        <v>110/435</v>
      </c>
      <c r="K84" t="str">
        <f>"176/387"</f>
        <v>176/387</v>
      </c>
    </row>
    <row r="85" spans="3:11" x14ac:dyDescent="0.25">
      <c r="C85" t="s">
        <v>745</v>
      </c>
    </row>
    <row r="87" spans="3:11" x14ac:dyDescent="0.25">
      <c r="C87" t="s">
        <v>18</v>
      </c>
      <c r="F87" t="s">
        <v>356</v>
      </c>
      <c r="J87" t="s">
        <v>13</v>
      </c>
    </row>
    <row r="88" spans="3:11" x14ac:dyDescent="0.25">
      <c r="D88" t="s">
        <v>14</v>
      </c>
      <c r="E88" t="s">
        <v>1</v>
      </c>
      <c r="F88" t="s">
        <v>3</v>
      </c>
      <c r="G88" t="s">
        <v>2</v>
      </c>
      <c r="I88" t="s">
        <v>1</v>
      </c>
      <c r="J88" t="s">
        <v>3</v>
      </c>
      <c r="K88" t="s">
        <v>2</v>
      </c>
    </row>
    <row r="89" spans="3:11" x14ac:dyDescent="0.25">
      <c r="C89" t="s">
        <v>289</v>
      </c>
      <c r="D89" t="s">
        <v>390</v>
      </c>
      <c r="E89">
        <v>5.15</v>
      </c>
      <c r="F89">
        <v>6.85</v>
      </c>
      <c r="G89">
        <v>4.55</v>
      </c>
      <c r="I89" t="str">
        <f>"129/385"</f>
        <v>129/385</v>
      </c>
      <c r="J89" t="str">
        <f>"88/163"</f>
        <v>88/163</v>
      </c>
      <c r="K89" t="str">
        <f>"156/360"</f>
        <v>156/360</v>
      </c>
    </row>
    <row r="90" spans="3:11" x14ac:dyDescent="0.25">
      <c r="C90" t="s">
        <v>291</v>
      </c>
      <c r="D90" t="s">
        <v>128</v>
      </c>
      <c r="E90">
        <v>5.86</v>
      </c>
      <c r="F90">
        <v>5.79</v>
      </c>
      <c r="G90">
        <v>4.5999999999999996</v>
      </c>
      <c r="I90" t="str">
        <f>"163/299"</f>
        <v>163/299</v>
      </c>
      <c r="J90" t="str">
        <f>"134/245"</f>
        <v>134/245</v>
      </c>
      <c r="K90" t="str">
        <f>"237/611"</f>
        <v>237/611</v>
      </c>
    </row>
    <row r="91" spans="3:11" x14ac:dyDescent="0.25">
      <c r="C91" t="s">
        <v>293</v>
      </c>
      <c r="D91" t="s">
        <v>118</v>
      </c>
      <c r="E91">
        <v>6.12</v>
      </c>
      <c r="F91">
        <v>5.07</v>
      </c>
      <c r="G91">
        <v>4.71</v>
      </c>
      <c r="I91" t="str">
        <f>"164/350"</f>
        <v>164/350</v>
      </c>
      <c r="J91" t="str">
        <f>"140/267"</f>
        <v>140/267</v>
      </c>
      <c r="K91" t="str">
        <f>"236/684"</f>
        <v>236/684</v>
      </c>
    </row>
    <row r="92" spans="3:11" x14ac:dyDescent="0.25">
      <c r="C92" t="s">
        <v>295</v>
      </c>
      <c r="D92" t="s">
        <v>113</v>
      </c>
      <c r="E92">
        <v>5.73</v>
      </c>
      <c r="F92">
        <v>5.43</v>
      </c>
      <c r="G92">
        <v>4.2699999999999996</v>
      </c>
      <c r="I92" t="str">
        <f>"307/1146"</f>
        <v>307/1146</v>
      </c>
      <c r="J92" t="str">
        <f>"244/1016"</f>
        <v>244/1016</v>
      </c>
      <c r="K92" t="str">
        <f>"368/1485"</f>
        <v>368/1485</v>
      </c>
    </row>
    <row r="93" spans="3:11" x14ac:dyDescent="0.25">
      <c r="C93" t="s">
        <v>297</v>
      </c>
      <c r="D93" t="s">
        <v>349</v>
      </c>
      <c r="E93">
        <v>5.62</v>
      </c>
      <c r="F93">
        <v>5.48</v>
      </c>
      <c r="G93">
        <v>4.25</v>
      </c>
      <c r="I93" t="str">
        <f>"295/1096"</f>
        <v>295/1096</v>
      </c>
      <c r="J93" t="str">
        <f>"232/965"</f>
        <v>232/965</v>
      </c>
      <c r="K93" t="str">
        <f>"351/1418"</f>
        <v>351/1418</v>
      </c>
    </row>
    <row r="94" spans="3:11" x14ac:dyDescent="0.25">
      <c r="C94" t="s">
        <v>299</v>
      </c>
      <c r="D94" t="s">
        <v>391</v>
      </c>
      <c r="E94">
        <v>5.23</v>
      </c>
      <c r="F94">
        <v>5.33</v>
      </c>
      <c r="G94">
        <v>4.5</v>
      </c>
      <c r="I94" t="str">
        <f>"100/213"</f>
        <v>100/213</v>
      </c>
      <c r="J94" t="str">
        <f>"74/170"</f>
        <v>74/170</v>
      </c>
      <c r="K94" t="str">
        <f>"105/279"</f>
        <v>105/279</v>
      </c>
    </row>
    <row r="95" spans="3:11" x14ac:dyDescent="0.25">
      <c r="C95" t="s">
        <v>343</v>
      </c>
      <c r="D95" t="s">
        <v>392</v>
      </c>
      <c r="E95">
        <v>6.04</v>
      </c>
      <c r="F95">
        <v>4.9000000000000004</v>
      </c>
      <c r="G95">
        <v>4.12</v>
      </c>
      <c r="I95" t="str">
        <f>"144/347"</f>
        <v>144/347</v>
      </c>
      <c r="J95" t="str">
        <f>"102/299"</f>
        <v>102/299</v>
      </c>
      <c r="K95" t="str">
        <f>"172/584"</f>
        <v>172/584</v>
      </c>
    </row>
    <row r="96" spans="3:11" x14ac:dyDescent="0.25">
      <c r="C96" t="s">
        <v>344</v>
      </c>
      <c r="D96" t="s">
        <v>125</v>
      </c>
      <c r="E96">
        <v>5.05</v>
      </c>
      <c r="F96">
        <v>5.26</v>
      </c>
      <c r="G96">
        <v>4.46</v>
      </c>
      <c r="I96" t="str">
        <f>"211/545"</f>
        <v>211/545</v>
      </c>
      <c r="J96" t="str">
        <f>"188/399"</f>
        <v>188/399</v>
      </c>
      <c r="K96" t="str">
        <f>"292/941"</f>
        <v>292/941</v>
      </c>
    </row>
    <row r="97" spans="2:11" x14ac:dyDescent="0.25">
      <c r="C97" t="s">
        <v>345</v>
      </c>
      <c r="D97" t="s">
        <v>131</v>
      </c>
      <c r="E97">
        <v>4.95</v>
      </c>
      <c r="F97">
        <v>5.28</v>
      </c>
      <c r="G97">
        <v>4.3099999999999996</v>
      </c>
      <c r="I97" t="str">
        <f>"172/508"</f>
        <v>172/508</v>
      </c>
      <c r="J97" t="str">
        <f>"107/216"</f>
        <v>107/216</v>
      </c>
      <c r="K97" t="str">
        <f>"183/472"</f>
        <v>183/472</v>
      </c>
    </row>
    <row r="98" spans="2:11" x14ac:dyDescent="0.25">
      <c r="C98" t="s">
        <v>346</v>
      </c>
      <c r="D98" t="s">
        <v>112</v>
      </c>
      <c r="E98">
        <v>4.78</v>
      </c>
      <c r="F98">
        <v>4.9800000000000004</v>
      </c>
      <c r="G98">
        <v>4.5999999999999996</v>
      </c>
      <c r="I98" t="str">
        <f>"143/323"</f>
        <v>143/323</v>
      </c>
      <c r="J98" t="str">
        <f>"152/349"</f>
        <v>152/349</v>
      </c>
      <c r="K98" t="str">
        <f>"266/745"</f>
        <v>266/745</v>
      </c>
    </row>
    <row r="99" spans="2:11" x14ac:dyDescent="0.25">
      <c r="C99" t="s">
        <v>393</v>
      </c>
    </row>
    <row r="101" spans="2:11" x14ac:dyDescent="0.25">
      <c r="C101" t="s">
        <v>36</v>
      </c>
      <c r="F101" t="s">
        <v>356</v>
      </c>
      <c r="J101" t="s">
        <v>13</v>
      </c>
    </row>
    <row r="102" spans="2:11" x14ac:dyDescent="0.25">
      <c r="D102" t="s">
        <v>14</v>
      </c>
      <c r="E102" t="s">
        <v>1</v>
      </c>
      <c r="F102" t="s">
        <v>3</v>
      </c>
      <c r="G102" t="s">
        <v>2</v>
      </c>
      <c r="I102" t="s">
        <v>1</v>
      </c>
      <c r="J102" t="s">
        <v>3</v>
      </c>
      <c r="K102" t="s">
        <v>2</v>
      </c>
    </row>
    <row r="103" spans="2:11" x14ac:dyDescent="0.25">
      <c r="C103" t="s">
        <v>289</v>
      </c>
      <c r="D103" t="s">
        <v>132</v>
      </c>
      <c r="E103">
        <v>3.75</v>
      </c>
      <c r="F103">
        <v>5.31</v>
      </c>
      <c r="G103">
        <v>5.41</v>
      </c>
      <c r="I103" t="str">
        <f>"91/146"</f>
        <v>91/146</v>
      </c>
      <c r="J103" t="str">
        <f>"70/79"</f>
        <v>70/79</v>
      </c>
      <c r="K103" t="str">
        <f>"143/303"</f>
        <v>143/303</v>
      </c>
    </row>
    <row r="104" spans="2:11" x14ac:dyDescent="0.25">
      <c r="C104" t="s">
        <v>291</v>
      </c>
      <c r="D104" t="s">
        <v>394</v>
      </c>
      <c r="E104">
        <v>2.6</v>
      </c>
      <c r="F104">
        <v>5.26</v>
      </c>
      <c r="G104">
        <v>5.31</v>
      </c>
      <c r="I104" t="str">
        <f>"54/107"</f>
        <v>54/107</v>
      </c>
      <c r="J104" t="str">
        <f>"56/109"</f>
        <v>56/109</v>
      </c>
      <c r="K104" t="str">
        <f>"80/145"</f>
        <v>80/145</v>
      </c>
    </row>
    <row r="105" spans="2:11" x14ac:dyDescent="0.25">
      <c r="C105" t="s">
        <v>746</v>
      </c>
    </row>
    <row r="107" spans="2:11" x14ac:dyDescent="0.25">
      <c r="B107" t="s">
        <v>38</v>
      </c>
      <c r="C107" t="s">
        <v>310</v>
      </c>
    </row>
    <row r="109" spans="2:11" x14ac:dyDescent="0.25">
      <c r="C109" t="s">
        <v>11</v>
      </c>
      <c r="F109" t="s">
        <v>356</v>
      </c>
      <c r="J109" t="s">
        <v>13</v>
      </c>
    </row>
    <row r="110" spans="2:11" x14ac:dyDescent="0.25">
      <c r="D110" t="s">
        <v>14</v>
      </c>
      <c r="E110" t="s">
        <v>1</v>
      </c>
      <c r="F110" t="s">
        <v>3</v>
      </c>
      <c r="G110" t="s">
        <v>2</v>
      </c>
      <c r="I110" t="s">
        <v>1</v>
      </c>
      <c r="J110" t="s">
        <v>3</v>
      </c>
      <c r="K110" t="s">
        <v>2</v>
      </c>
    </row>
    <row r="111" spans="2:11" x14ac:dyDescent="0.25">
      <c r="C111" t="s">
        <v>311</v>
      </c>
      <c r="D111" t="s">
        <v>133</v>
      </c>
      <c r="E111">
        <v>5.43</v>
      </c>
      <c r="F111">
        <v>4.87</v>
      </c>
      <c r="G111">
        <v>4.32</v>
      </c>
      <c r="I111" t="str">
        <f>"116/202"</f>
        <v>116/202</v>
      </c>
      <c r="J111" t="str">
        <f>"110/208"</f>
        <v>110/208</v>
      </c>
      <c r="K111" t="str">
        <f>"189/485"</f>
        <v>189/485</v>
      </c>
    </row>
    <row r="112" spans="2:11" x14ac:dyDescent="0.25">
      <c r="C112" t="s">
        <v>312</v>
      </c>
      <c r="D112" t="s">
        <v>141</v>
      </c>
      <c r="E112">
        <v>3.87</v>
      </c>
      <c r="F112">
        <v>4.95</v>
      </c>
      <c r="G112">
        <v>5.78</v>
      </c>
      <c r="I112" t="str">
        <f>"55/99"</f>
        <v>55/99</v>
      </c>
      <c r="J112" t="str">
        <f>"78/112"</f>
        <v>78/112</v>
      </c>
      <c r="K112" t="str">
        <f>"126/175"</f>
        <v>126/175</v>
      </c>
    </row>
    <row r="113" spans="3:11" x14ac:dyDescent="0.25">
      <c r="C113" t="s">
        <v>313</v>
      </c>
      <c r="D113" t="s">
        <v>140</v>
      </c>
      <c r="E113">
        <v>4.8099999999999996</v>
      </c>
      <c r="F113">
        <v>4.3499999999999996</v>
      </c>
      <c r="G113">
        <v>4.5199999999999996</v>
      </c>
      <c r="I113" t="str">
        <f>"86/164"</f>
        <v>86/164</v>
      </c>
      <c r="J113" t="str">
        <f>"74/141"</f>
        <v>74/141</v>
      </c>
      <c r="K113" t="str">
        <f>"128/296"</f>
        <v>128/296</v>
      </c>
    </row>
    <row r="114" spans="3:11" x14ac:dyDescent="0.25">
      <c r="C114" t="s">
        <v>314</v>
      </c>
      <c r="D114" t="s">
        <v>395</v>
      </c>
      <c r="E114">
        <v>4.59</v>
      </c>
      <c r="F114">
        <v>4.21</v>
      </c>
      <c r="G114">
        <v>4.75</v>
      </c>
      <c r="I114" t="str">
        <f>"67/144"</f>
        <v>67/144</v>
      </c>
      <c r="J114" t="str">
        <f>"60/115"</f>
        <v>60/115</v>
      </c>
      <c r="K114" t="str">
        <f>"89/184"</f>
        <v>89/184</v>
      </c>
    </row>
    <row r="115" spans="3:11" x14ac:dyDescent="0.25">
      <c r="C115" t="s">
        <v>315</v>
      </c>
      <c r="D115" t="s">
        <v>396</v>
      </c>
      <c r="E115">
        <v>3.79</v>
      </c>
      <c r="F115">
        <v>4.18</v>
      </c>
      <c r="G115">
        <v>4.92</v>
      </c>
      <c r="I115" t="str">
        <f>"101/298"</f>
        <v>101/298</v>
      </c>
      <c r="J115" t="str">
        <f>"138/424"</f>
        <v>138/424</v>
      </c>
      <c r="K115" t="str">
        <f>"201/542"</f>
        <v>201/542</v>
      </c>
    </row>
    <row r="116" spans="3:11" x14ac:dyDescent="0.25">
      <c r="C116" t="s">
        <v>397</v>
      </c>
      <c r="D116" t="s">
        <v>398</v>
      </c>
      <c r="E116">
        <v>3.79</v>
      </c>
      <c r="F116">
        <v>4.18</v>
      </c>
      <c r="G116">
        <v>4.92</v>
      </c>
      <c r="I116" t="str">
        <f>"101/298"</f>
        <v>101/298</v>
      </c>
      <c r="J116" t="str">
        <f>"138/424"</f>
        <v>138/424</v>
      </c>
      <c r="K116" t="str">
        <f>"201/542"</f>
        <v>201/542</v>
      </c>
    </row>
    <row r="117" spans="3:11" x14ac:dyDescent="0.25">
      <c r="C117" t="s">
        <v>301</v>
      </c>
    </row>
    <row r="119" spans="3:11" x14ac:dyDescent="0.25">
      <c r="C119" t="s">
        <v>17</v>
      </c>
      <c r="F119" t="s">
        <v>356</v>
      </c>
      <c r="J119" t="s">
        <v>13</v>
      </c>
    </row>
    <row r="120" spans="3:11" x14ac:dyDescent="0.25">
      <c r="D120" t="s">
        <v>14</v>
      </c>
      <c r="E120" t="s">
        <v>1</v>
      </c>
      <c r="F120" t="s">
        <v>3</v>
      </c>
      <c r="G120" t="s">
        <v>2</v>
      </c>
      <c r="I120" t="s">
        <v>1</v>
      </c>
      <c r="J120" t="s">
        <v>3</v>
      </c>
      <c r="K120" t="s">
        <v>2</v>
      </c>
    </row>
    <row r="121" spans="3:11" x14ac:dyDescent="0.25">
      <c r="C121" t="s">
        <v>311</v>
      </c>
      <c r="D121" t="s">
        <v>399</v>
      </c>
      <c r="E121">
        <v>4.24</v>
      </c>
      <c r="F121">
        <v>3.7</v>
      </c>
      <c r="G121">
        <v>5.04</v>
      </c>
      <c r="I121" t="str">
        <f>"76/132"</f>
        <v>76/132</v>
      </c>
      <c r="J121" t="str">
        <f>"89/192"</f>
        <v>89/192</v>
      </c>
      <c r="K121" t="str">
        <f>"122/279"</f>
        <v>122/279</v>
      </c>
    </row>
    <row r="122" spans="3:11" x14ac:dyDescent="0.25">
      <c r="C122" t="s">
        <v>312</v>
      </c>
      <c r="D122" t="s">
        <v>139</v>
      </c>
      <c r="E122">
        <v>3.97</v>
      </c>
      <c r="F122">
        <v>3.66</v>
      </c>
      <c r="G122">
        <v>4.54</v>
      </c>
      <c r="I122" t="str">
        <f>"88/158"</f>
        <v>88/158</v>
      </c>
      <c r="J122" t="str">
        <f>"97/211"</f>
        <v>97/211</v>
      </c>
      <c r="K122" t="str">
        <f>"135/344"</f>
        <v>135/344</v>
      </c>
    </row>
    <row r="123" spans="3:11" x14ac:dyDescent="0.25">
      <c r="C123" t="s">
        <v>747</v>
      </c>
    </row>
    <row r="125" spans="3:11" x14ac:dyDescent="0.25">
      <c r="C125" t="s">
        <v>18</v>
      </c>
      <c r="F125" t="s">
        <v>356</v>
      </c>
      <c r="J125" t="s">
        <v>13</v>
      </c>
    </row>
    <row r="126" spans="3:11" x14ac:dyDescent="0.25">
      <c r="D126" t="s">
        <v>14</v>
      </c>
      <c r="E126" t="s">
        <v>1</v>
      </c>
      <c r="F126" t="s">
        <v>3</v>
      </c>
      <c r="G126" t="s">
        <v>2</v>
      </c>
      <c r="I126" t="s">
        <v>1</v>
      </c>
      <c r="J126" t="s">
        <v>3</v>
      </c>
      <c r="K126" t="s">
        <v>2</v>
      </c>
    </row>
    <row r="127" spans="3:11" x14ac:dyDescent="0.25">
      <c r="C127" t="s">
        <v>311</v>
      </c>
      <c r="D127" t="s">
        <v>400</v>
      </c>
      <c r="E127">
        <v>4.32</v>
      </c>
      <c r="F127">
        <v>4.05</v>
      </c>
      <c r="G127">
        <v>3.81</v>
      </c>
      <c r="I127" t="str">
        <f>"204/1188"</f>
        <v>204/1188</v>
      </c>
      <c r="J127" t="str">
        <f>"164/1363"</f>
        <v>164/1363</v>
      </c>
      <c r="K127" t="str">
        <f>"253/1450"</f>
        <v>253/1450</v>
      </c>
    </row>
    <row r="128" spans="3:11" x14ac:dyDescent="0.25">
      <c r="C128" t="s">
        <v>312</v>
      </c>
      <c r="D128" t="s">
        <v>135</v>
      </c>
      <c r="E128">
        <v>3.77</v>
      </c>
      <c r="F128">
        <v>4.0199999999999996</v>
      </c>
      <c r="G128">
        <v>3.81</v>
      </c>
      <c r="I128" t="str">
        <f>"421/2147"</f>
        <v>421/2147</v>
      </c>
      <c r="J128" t="str">
        <f>"439/2551"</f>
        <v>439/2551</v>
      </c>
      <c r="K128" t="str">
        <f>"635/3757"</f>
        <v>635/3757</v>
      </c>
    </row>
    <row r="129" spans="1:11" x14ac:dyDescent="0.25">
      <c r="C129" t="s">
        <v>748</v>
      </c>
    </row>
    <row r="131" spans="1:11" x14ac:dyDescent="0.25">
      <c r="C131" t="s">
        <v>36</v>
      </c>
      <c r="F131" t="s">
        <v>356</v>
      </c>
      <c r="J131" t="s">
        <v>13</v>
      </c>
    </row>
    <row r="132" spans="1:11" x14ac:dyDescent="0.25">
      <c r="D132" t="s">
        <v>14</v>
      </c>
      <c r="E132" t="s">
        <v>1</v>
      </c>
      <c r="F132" t="s">
        <v>3</v>
      </c>
      <c r="G132" t="s">
        <v>2</v>
      </c>
      <c r="I132" t="s">
        <v>1</v>
      </c>
      <c r="J132" t="s">
        <v>3</v>
      </c>
      <c r="K132" t="s">
        <v>2</v>
      </c>
    </row>
    <row r="133" spans="1:11" x14ac:dyDescent="0.25">
      <c r="C133" t="s">
        <v>311</v>
      </c>
      <c r="D133" t="s">
        <v>401</v>
      </c>
      <c r="E133">
        <v>3.42</v>
      </c>
      <c r="F133">
        <v>4.2</v>
      </c>
      <c r="G133">
        <v>6.87</v>
      </c>
      <c r="I133" t="str">
        <f>"49/78"</f>
        <v>49/78</v>
      </c>
      <c r="J133" t="str">
        <f>"58/74"</f>
        <v>58/74</v>
      </c>
      <c r="K133" t="str">
        <f>"103/133"</f>
        <v>103/133</v>
      </c>
    </row>
    <row r="134" spans="1:11" x14ac:dyDescent="0.25">
      <c r="C134" t="s">
        <v>749</v>
      </c>
    </row>
    <row r="138" spans="1:11" x14ac:dyDescent="0.25">
      <c r="A138" t="s">
        <v>4</v>
      </c>
      <c r="B138" t="s">
        <v>355</v>
      </c>
    </row>
    <row r="140" spans="1:11" x14ac:dyDescent="0.25">
      <c r="B140" t="s">
        <v>10</v>
      </c>
      <c r="C140" t="s">
        <v>686</v>
      </c>
    </row>
    <row r="142" spans="1:11" x14ac:dyDescent="0.25">
      <c r="C142" t="s">
        <v>11</v>
      </c>
      <c r="F142" t="s">
        <v>356</v>
      </c>
      <c r="J142" t="s">
        <v>13</v>
      </c>
    </row>
    <row r="143" spans="1:11" x14ac:dyDescent="0.25">
      <c r="D143" t="s">
        <v>14</v>
      </c>
      <c r="E143" t="s">
        <v>1</v>
      </c>
      <c r="F143" t="s">
        <v>3</v>
      </c>
      <c r="G143" t="s">
        <v>2</v>
      </c>
      <c r="I143" t="s">
        <v>1</v>
      </c>
      <c r="J143" t="s">
        <v>3</v>
      </c>
      <c r="K143" t="s">
        <v>2</v>
      </c>
    </row>
    <row r="144" spans="1:11" x14ac:dyDescent="0.25">
      <c r="C144" t="s">
        <v>687</v>
      </c>
      <c r="D144" t="s">
        <v>411</v>
      </c>
      <c r="E144">
        <v>3.59</v>
      </c>
      <c r="F144">
        <v>4.25</v>
      </c>
      <c r="G144">
        <v>5.23</v>
      </c>
      <c r="I144" t="str">
        <f>"213/1714"</f>
        <v>213/1714</v>
      </c>
      <c r="J144" t="str">
        <f>"155/441"</f>
        <v>155/441</v>
      </c>
      <c r="K144" t="str">
        <f>"349/1611"</f>
        <v>349/1611</v>
      </c>
    </row>
    <row r="145" spans="3:11" x14ac:dyDescent="0.25">
      <c r="C145" t="s">
        <v>689</v>
      </c>
      <c r="D145" t="s">
        <v>410</v>
      </c>
      <c r="E145">
        <v>3.47</v>
      </c>
      <c r="F145">
        <v>3.22</v>
      </c>
      <c r="G145">
        <v>3.79</v>
      </c>
      <c r="I145" t="str">
        <f>"196/1530"</f>
        <v>196/1530</v>
      </c>
      <c r="J145" t="str">
        <f>"135/357"</f>
        <v>135/357</v>
      </c>
      <c r="K145" t="str">
        <f>"310/1259"</f>
        <v>310/1259</v>
      </c>
    </row>
    <row r="146" spans="3:11" x14ac:dyDescent="0.25">
      <c r="C146" t="s">
        <v>750</v>
      </c>
    </row>
    <row r="148" spans="3:11" x14ac:dyDescent="0.25">
      <c r="C148" t="s">
        <v>17</v>
      </c>
      <c r="F148" t="s">
        <v>356</v>
      </c>
      <c r="J148" t="s">
        <v>13</v>
      </c>
    </row>
    <row r="149" spans="3:11" x14ac:dyDescent="0.25">
      <c r="D149" t="s">
        <v>14</v>
      </c>
      <c r="E149" t="s">
        <v>1</v>
      </c>
      <c r="F149" t="s">
        <v>3</v>
      </c>
      <c r="G149" t="s">
        <v>2</v>
      </c>
      <c r="I149" t="s">
        <v>1</v>
      </c>
      <c r="J149" t="s">
        <v>3</v>
      </c>
      <c r="K149" t="s">
        <v>2</v>
      </c>
    </row>
    <row r="150" spans="3:11" x14ac:dyDescent="0.25">
      <c r="C150" t="s">
        <v>687</v>
      </c>
      <c r="D150" t="s">
        <v>87</v>
      </c>
      <c r="E150">
        <v>3.52</v>
      </c>
      <c r="F150">
        <v>3.01</v>
      </c>
      <c r="G150">
        <v>5.97</v>
      </c>
      <c r="I150" t="str">
        <f>"228/1084"</f>
        <v>228/1084</v>
      </c>
      <c r="J150" t="str">
        <f>"207/1086"</f>
        <v>207/1086</v>
      </c>
      <c r="K150" t="str">
        <f>"309/935"</f>
        <v>309/935</v>
      </c>
    </row>
    <row r="151" spans="3:11" x14ac:dyDescent="0.25">
      <c r="C151" t="s">
        <v>689</v>
      </c>
      <c r="D151" t="s">
        <v>167</v>
      </c>
      <c r="E151">
        <v>4.3899999999999997</v>
      </c>
      <c r="F151">
        <v>2.82</v>
      </c>
      <c r="G151">
        <v>4.1100000000000003</v>
      </c>
      <c r="I151" t="str">
        <f>"223/604"</f>
        <v>223/604</v>
      </c>
      <c r="J151" t="str">
        <f>"192/709"</f>
        <v>192/709</v>
      </c>
      <c r="K151" t="str">
        <f>"347/948"</f>
        <v>347/948</v>
      </c>
    </row>
    <row r="152" spans="3:11" x14ac:dyDescent="0.25">
      <c r="C152" t="s">
        <v>691</v>
      </c>
      <c r="D152" t="s">
        <v>663</v>
      </c>
      <c r="E152">
        <v>3.97</v>
      </c>
      <c r="F152">
        <v>1.98</v>
      </c>
      <c r="G152">
        <v>4.79</v>
      </c>
      <c r="I152" t="str">
        <f>"299/1876"</f>
        <v>299/1876</v>
      </c>
      <c r="J152" t="str">
        <f>"185/375"</f>
        <v>185/375</v>
      </c>
      <c r="K152" t="str">
        <f>"400/1980"</f>
        <v>400/1980</v>
      </c>
    </row>
    <row r="153" spans="3:11" x14ac:dyDescent="0.25">
      <c r="C153" t="s">
        <v>693</v>
      </c>
      <c r="D153" t="s">
        <v>665</v>
      </c>
      <c r="E153">
        <v>3.97</v>
      </c>
      <c r="F153">
        <v>1.97</v>
      </c>
      <c r="G153">
        <v>4.79</v>
      </c>
      <c r="I153" t="str">
        <f>"301/1880"</f>
        <v>301/1880</v>
      </c>
      <c r="J153" t="str">
        <f>"182/369"</f>
        <v>182/369</v>
      </c>
      <c r="K153" t="str">
        <f>"402/1980"</f>
        <v>402/1980</v>
      </c>
    </row>
    <row r="154" spans="3:11" x14ac:dyDescent="0.25">
      <c r="C154" t="s">
        <v>694</v>
      </c>
      <c r="D154" t="s">
        <v>669</v>
      </c>
      <c r="E154">
        <v>3.97</v>
      </c>
      <c r="F154">
        <v>1.98</v>
      </c>
      <c r="G154">
        <v>4.79</v>
      </c>
      <c r="I154" t="str">
        <f>"296/1866"</f>
        <v>296/1866</v>
      </c>
      <c r="J154" t="str">
        <f>"180/367"</f>
        <v>180/367</v>
      </c>
      <c r="K154" t="str">
        <f>"392/1951"</f>
        <v>392/1951</v>
      </c>
    </row>
    <row r="155" spans="3:11" x14ac:dyDescent="0.25">
      <c r="C155" t="s">
        <v>696</v>
      </c>
      <c r="D155" t="s">
        <v>668</v>
      </c>
      <c r="E155">
        <v>3.97</v>
      </c>
      <c r="F155">
        <v>1.98</v>
      </c>
      <c r="G155">
        <v>4.78</v>
      </c>
      <c r="I155" t="str">
        <f>"294/1861"</f>
        <v>294/1861</v>
      </c>
      <c r="J155" t="str">
        <f>"180/367"</f>
        <v>180/367</v>
      </c>
      <c r="K155" t="str">
        <f>"388/1938"</f>
        <v>388/1938</v>
      </c>
    </row>
    <row r="156" spans="3:11" x14ac:dyDescent="0.25">
      <c r="C156" t="s">
        <v>697</v>
      </c>
      <c r="D156" t="s">
        <v>667</v>
      </c>
      <c r="E156">
        <v>3.97</v>
      </c>
      <c r="F156">
        <v>1.98</v>
      </c>
      <c r="G156">
        <v>4.78</v>
      </c>
      <c r="I156" t="str">
        <f>"294/1861"</f>
        <v>294/1861</v>
      </c>
      <c r="J156" t="str">
        <f>"180/367"</f>
        <v>180/367</v>
      </c>
      <c r="K156" t="str">
        <f>"389/1949"</f>
        <v>389/1949</v>
      </c>
    </row>
    <row r="157" spans="3:11" x14ac:dyDescent="0.25">
      <c r="C157" t="s">
        <v>698</v>
      </c>
      <c r="D157" t="s">
        <v>666</v>
      </c>
      <c r="E157">
        <v>3.97</v>
      </c>
      <c r="F157">
        <v>1.98</v>
      </c>
      <c r="G157">
        <v>4.7699999999999996</v>
      </c>
      <c r="I157" t="str">
        <f>"297/1870"</f>
        <v>297/1870</v>
      </c>
      <c r="J157" t="str">
        <f>"181/369"</f>
        <v>181/369</v>
      </c>
      <c r="K157" t="str">
        <f>"392/1961"</f>
        <v>392/1961</v>
      </c>
    </row>
    <row r="158" spans="3:11" x14ac:dyDescent="0.25">
      <c r="C158" t="s">
        <v>699</v>
      </c>
      <c r="D158" t="s">
        <v>664</v>
      </c>
      <c r="E158">
        <v>3.97</v>
      </c>
      <c r="F158">
        <v>1.98</v>
      </c>
      <c r="G158">
        <v>4.7699999999999996</v>
      </c>
      <c r="I158" t="str">
        <f>"308/1908"</f>
        <v>308/1908</v>
      </c>
      <c r="J158" t="str">
        <f>"185/377"</f>
        <v>185/377</v>
      </c>
      <c r="K158" t="str">
        <f>"419/2060"</f>
        <v>419/2060</v>
      </c>
    </row>
    <row r="159" spans="3:11" x14ac:dyDescent="0.25">
      <c r="C159" t="s">
        <v>700</v>
      </c>
      <c r="D159" t="s">
        <v>175</v>
      </c>
      <c r="E159">
        <v>4.0199999999999996</v>
      </c>
      <c r="F159">
        <v>2.0699999999999998</v>
      </c>
      <c r="G159">
        <v>4.43</v>
      </c>
      <c r="I159" t="str">
        <f>"405/2328"</f>
        <v>405/2328</v>
      </c>
      <c r="J159" t="str">
        <f>"275/633"</f>
        <v>275/633</v>
      </c>
      <c r="K159" t="str">
        <f>"564/2712"</f>
        <v>564/2712</v>
      </c>
    </row>
    <row r="160" spans="3:11" x14ac:dyDescent="0.25">
      <c r="C160" t="s">
        <v>701</v>
      </c>
      <c r="D160" t="s">
        <v>172</v>
      </c>
      <c r="E160">
        <v>4.0199999999999996</v>
      </c>
      <c r="F160">
        <v>2.0699999999999998</v>
      </c>
      <c r="G160">
        <v>4.43</v>
      </c>
      <c r="I160" t="str">
        <f>"405/2328"</f>
        <v>405/2328</v>
      </c>
      <c r="J160" t="str">
        <f>"275/633"</f>
        <v>275/633</v>
      </c>
      <c r="K160" t="str">
        <f>"564/2712"</f>
        <v>564/2712</v>
      </c>
    </row>
    <row r="161" spans="3:11" x14ac:dyDescent="0.25">
      <c r="C161" t="s">
        <v>702</v>
      </c>
      <c r="D161" t="s">
        <v>173</v>
      </c>
      <c r="E161">
        <v>4</v>
      </c>
      <c r="F161">
        <v>2.14</v>
      </c>
      <c r="G161">
        <v>4.34</v>
      </c>
      <c r="I161" t="str">
        <f>"417/2430"</f>
        <v>417/2430</v>
      </c>
      <c r="J161" t="str">
        <f>"282/708"</f>
        <v>282/708</v>
      </c>
      <c r="K161" t="str">
        <f>"596/3006"</f>
        <v>596/3006</v>
      </c>
    </row>
    <row r="162" spans="3:11" x14ac:dyDescent="0.25">
      <c r="C162" t="s">
        <v>710</v>
      </c>
      <c r="D162" t="s">
        <v>174</v>
      </c>
      <c r="E162">
        <v>3.99</v>
      </c>
      <c r="F162">
        <v>2.14</v>
      </c>
      <c r="G162">
        <v>4.3499999999999996</v>
      </c>
      <c r="I162" t="str">
        <f>"414/2420"</f>
        <v>414/2420</v>
      </c>
      <c r="J162" t="str">
        <f>"282/708"</f>
        <v>282/708</v>
      </c>
      <c r="K162" t="str">
        <f>"591/2975"</f>
        <v>591/2975</v>
      </c>
    </row>
    <row r="163" spans="3:11" x14ac:dyDescent="0.25">
      <c r="C163" t="s">
        <v>711</v>
      </c>
      <c r="D163" t="s">
        <v>407</v>
      </c>
      <c r="E163">
        <v>3.89</v>
      </c>
      <c r="F163">
        <v>2.67</v>
      </c>
      <c r="G163">
        <v>3.88</v>
      </c>
      <c r="I163" t="str">
        <f>"303/2188"</f>
        <v>303/2188</v>
      </c>
      <c r="J163" t="str">
        <f>"228/1264"</f>
        <v>228/1264</v>
      </c>
      <c r="K163" t="str">
        <f>"433/2342"</f>
        <v>433/2342</v>
      </c>
    </row>
    <row r="164" spans="3:11" x14ac:dyDescent="0.25">
      <c r="C164" t="s">
        <v>716</v>
      </c>
      <c r="D164" t="s">
        <v>402</v>
      </c>
      <c r="E164">
        <v>3.24</v>
      </c>
      <c r="F164">
        <v>2.73</v>
      </c>
      <c r="G164">
        <v>4.37</v>
      </c>
      <c r="I164" t="str">
        <f>"275/1291"</f>
        <v>275/1291</v>
      </c>
      <c r="J164" t="str">
        <f>"181/1025"</f>
        <v>181/1025</v>
      </c>
      <c r="K164" t="str">
        <f>"375/1274"</f>
        <v>375/1274</v>
      </c>
    </row>
    <row r="165" spans="3:11" x14ac:dyDescent="0.25">
      <c r="C165" t="s">
        <v>717</v>
      </c>
      <c r="D165" t="s">
        <v>662</v>
      </c>
      <c r="E165">
        <v>3.82</v>
      </c>
      <c r="F165">
        <v>2.66</v>
      </c>
      <c r="G165">
        <v>3.67</v>
      </c>
      <c r="I165" t="str">
        <f>"184/469"</f>
        <v>184/469</v>
      </c>
      <c r="J165" t="str">
        <f>"170/625"</f>
        <v>170/625</v>
      </c>
      <c r="K165" t="str">
        <f>"303/688"</f>
        <v>303/688</v>
      </c>
    </row>
    <row r="166" spans="3:11" x14ac:dyDescent="0.25">
      <c r="C166" t="s">
        <v>718</v>
      </c>
      <c r="D166" t="s">
        <v>599</v>
      </c>
      <c r="E166">
        <v>3.8</v>
      </c>
      <c r="F166">
        <v>1.66</v>
      </c>
      <c r="G166">
        <v>3.34</v>
      </c>
      <c r="I166" t="str">
        <f>"39/70"</f>
        <v>39/70</v>
      </c>
      <c r="J166" t="str">
        <f>"19/25"</f>
        <v>19/25</v>
      </c>
      <c r="K166" t="str">
        <f>"52/131"</f>
        <v>52/131</v>
      </c>
    </row>
    <row r="167" spans="3:11" x14ac:dyDescent="0.25">
      <c r="C167" t="s">
        <v>719</v>
      </c>
      <c r="D167" t="s">
        <v>102</v>
      </c>
      <c r="E167">
        <v>3.34</v>
      </c>
      <c r="F167">
        <v>1.76</v>
      </c>
      <c r="G167">
        <v>3.57</v>
      </c>
      <c r="I167" t="str">
        <f>"223/817"</f>
        <v>223/817</v>
      </c>
      <c r="J167" t="str">
        <f>"124/197"</f>
        <v>124/197</v>
      </c>
      <c r="K167" t="str">
        <f>"313/764"</f>
        <v>313/764</v>
      </c>
    </row>
    <row r="168" spans="3:11" x14ac:dyDescent="0.25">
      <c r="C168" t="s">
        <v>720</v>
      </c>
      <c r="D168" t="s">
        <v>751</v>
      </c>
      <c r="E168">
        <v>3.15</v>
      </c>
      <c r="F168">
        <v>1.84</v>
      </c>
      <c r="G168">
        <v>3.51</v>
      </c>
      <c r="I168" t="str">
        <f>"145/618"</f>
        <v>145/618</v>
      </c>
      <c r="J168" t="str">
        <f>"72/116"</f>
        <v>72/116</v>
      </c>
      <c r="K168" t="str">
        <f>"189/489"</f>
        <v>189/489</v>
      </c>
    </row>
    <row r="169" spans="3:11" x14ac:dyDescent="0.25">
      <c r="C169" t="s">
        <v>721</v>
      </c>
      <c r="D169" t="s">
        <v>752</v>
      </c>
      <c r="E169">
        <v>3.15</v>
      </c>
      <c r="F169">
        <v>1.84</v>
      </c>
      <c r="G169">
        <v>3.51</v>
      </c>
      <c r="I169" t="str">
        <f>"145/618"</f>
        <v>145/618</v>
      </c>
      <c r="J169" t="str">
        <f>"72/116"</f>
        <v>72/116</v>
      </c>
      <c r="K169" t="str">
        <f>"189/489"</f>
        <v>189/489</v>
      </c>
    </row>
    <row r="170" spans="3:11" x14ac:dyDescent="0.25">
      <c r="C170" t="s">
        <v>722</v>
      </c>
      <c r="D170" t="s">
        <v>753</v>
      </c>
      <c r="E170">
        <v>3.15</v>
      </c>
      <c r="F170">
        <v>1.84</v>
      </c>
      <c r="G170">
        <v>3.51</v>
      </c>
      <c r="I170" t="str">
        <f>"145/618"</f>
        <v>145/618</v>
      </c>
      <c r="J170" t="str">
        <f>"72/116"</f>
        <v>72/116</v>
      </c>
      <c r="K170" t="str">
        <f>"189/489"</f>
        <v>189/489</v>
      </c>
    </row>
    <row r="171" spans="3:11" x14ac:dyDescent="0.25">
      <c r="C171" t="s">
        <v>723</v>
      </c>
      <c r="D171" t="s">
        <v>754</v>
      </c>
      <c r="E171">
        <v>3.17</v>
      </c>
      <c r="F171">
        <v>1.84</v>
      </c>
      <c r="G171">
        <v>3.49</v>
      </c>
      <c r="I171" t="str">
        <f>"143/608"</f>
        <v>143/608</v>
      </c>
      <c r="J171" t="str">
        <f>"72/116"</f>
        <v>72/116</v>
      </c>
      <c r="K171" t="str">
        <f>"188/484"</f>
        <v>188/484</v>
      </c>
    </row>
    <row r="172" spans="3:11" x14ac:dyDescent="0.25">
      <c r="C172" t="s">
        <v>724</v>
      </c>
      <c r="D172" t="s">
        <v>755</v>
      </c>
      <c r="E172">
        <v>3.16</v>
      </c>
      <c r="F172">
        <v>1.85</v>
      </c>
      <c r="G172">
        <v>3.49</v>
      </c>
      <c r="I172" t="str">
        <f>"163/659"</f>
        <v>163/659</v>
      </c>
      <c r="J172" t="str">
        <f>"100/150"</f>
        <v>100/150</v>
      </c>
      <c r="K172" t="str">
        <f>"287/700"</f>
        <v>287/700</v>
      </c>
    </row>
    <row r="173" spans="3:11" x14ac:dyDescent="0.25">
      <c r="C173" t="s">
        <v>725</v>
      </c>
      <c r="D173" t="s">
        <v>756</v>
      </c>
      <c r="E173">
        <v>3.17</v>
      </c>
      <c r="F173">
        <v>1.83</v>
      </c>
      <c r="G173">
        <v>3.47</v>
      </c>
      <c r="I173" t="str">
        <f>"147/625"</f>
        <v>147/625</v>
      </c>
      <c r="J173" t="str">
        <f>"75/121"</f>
        <v>75/121</v>
      </c>
      <c r="K173" t="str">
        <f>"198/517"</f>
        <v>198/517</v>
      </c>
    </row>
    <row r="174" spans="3:11" x14ac:dyDescent="0.25">
      <c r="C174" t="s">
        <v>757</v>
      </c>
    </row>
    <row r="176" spans="3:11" x14ac:dyDescent="0.25">
      <c r="C176" t="s">
        <v>18</v>
      </c>
      <c r="F176" t="s">
        <v>356</v>
      </c>
      <c r="J176" t="s">
        <v>13</v>
      </c>
    </row>
    <row r="177" spans="2:11" x14ac:dyDescent="0.25">
      <c r="D177" t="s">
        <v>14</v>
      </c>
      <c r="E177" t="s">
        <v>1</v>
      </c>
      <c r="F177" t="s">
        <v>3</v>
      </c>
      <c r="G177" t="s">
        <v>2</v>
      </c>
      <c r="I177" t="s">
        <v>1</v>
      </c>
      <c r="J177" t="s">
        <v>3</v>
      </c>
      <c r="K177" t="s">
        <v>2</v>
      </c>
    </row>
    <row r="178" spans="2:11" x14ac:dyDescent="0.25">
      <c r="C178" t="s">
        <v>404</v>
      </c>
    </row>
    <row r="180" spans="2:11" x14ac:dyDescent="0.25">
      <c r="C180" t="s">
        <v>36</v>
      </c>
      <c r="F180" t="s">
        <v>356</v>
      </c>
      <c r="J180" t="s">
        <v>13</v>
      </c>
    </row>
    <row r="181" spans="2:11" x14ac:dyDescent="0.25">
      <c r="D181" t="s">
        <v>14</v>
      </c>
      <c r="E181" t="s">
        <v>1</v>
      </c>
      <c r="F181" t="s">
        <v>3</v>
      </c>
      <c r="G181" t="s">
        <v>2</v>
      </c>
      <c r="I181" t="s">
        <v>1</v>
      </c>
      <c r="J181" t="s">
        <v>3</v>
      </c>
      <c r="K181" t="s">
        <v>2</v>
      </c>
    </row>
    <row r="182" spans="2:11" x14ac:dyDescent="0.25">
      <c r="C182" t="s">
        <v>687</v>
      </c>
      <c r="D182" t="s">
        <v>403</v>
      </c>
      <c r="E182">
        <v>2.5499999999999998</v>
      </c>
      <c r="F182">
        <v>3.13</v>
      </c>
      <c r="G182">
        <v>3.8</v>
      </c>
      <c r="I182" t="str">
        <f>"243/1653"</f>
        <v>243/1653</v>
      </c>
      <c r="J182" t="str">
        <f>"150/373"</f>
        <v>150/373</v>
      </c>
      <c r="K182" t="str">
        <f>"392/1784"</f>
        <v>392/1784</v>
      </c>
    </row>
    <row r="183" spans="2:11" x14ac:dyDescent="0.25">
      <c r="C183" t="s">
        <v>689</v>
      </c>
      <c r="D183" t="s">
        <v>405</v>
      </c>
      <c r="E183">
        <v>2.5499999999999998</v>
      </c>
      <c r="F183">
        <v>3.16</v>
      </c>
      <c r="G183">
        <v>3.58</v>
      </c>
      <c r="I183" t="str">
        <f>"303/2053"</f>
        <v>303/2053</v>
      </c>
      <c r="J183" t="str">
        <f>"203/631"</f>
        <v>203/631</v>
      </c>
      <c r="K183" t="str">
        <f>"366/1703"</f>
        <v>366/1703</v>
      </c>
    </row>
    <row r="184" spans="2:11" x14ac:dyDescent="0.25">
      <c r="C184" t="s">
        <v>691</v>
      </c>
      <c r="D184" t="s">
        <v>406</v>
      </c>
      <c r="E184">
        <v>2.5499999999999998</v>
      </c>
      <c r="F184">
        <v>3.16</v>
      </c>
      <c r="G184">
        <v>3.58</v>
      </c>
      <c r="I184" t="str">
        <f>"304/2054"</f>
        <v>304/2054</v>
      </c>
      <c r="J184" t="str">
        <f>"203/631"</f>
        <v>203/631</v>
      </c>
      <c r="K184" t="str">
        <f>"367/1704"</f>
        <v>367/1704</v>
      </c>
    </row>
    <row r="185" spans="2:11" x14ac:dyDescent="0.25">
      <c r="C185" t="s">
        <v>693</v>
      </c>
      <c r="D185" t="s">
        <v>55</v>
      </c>
      <c r="E185">
        <v>1.76</v>
      </c>
      <c r="F185">
        <v>3.25</v>
      </c>
      <c r="G185">
        <v>3.73</v>
      </c>
      <c r="I185" t="str">
        <f>"170/584"</f>
        <v>170/584</v>
      </c>
      <c r="J185" t="str">
        <f>"179/345"</f>
        <v>179/345</v>
      </c>
      <c r="K185" t="str">
        <f>"390/994"</f>
        <v>390/994</v>
      </c>
    </row>
    <row r="186" spans="2:11" x14ac:dyDescent="0.25">
      <c r="C186" t="s">
        <v>694</v>
      </c>
      <c r="D186" t="s">
        <v>56</v>
      </c>
      <c r="E186">
        <v>1.77</v>
      </c>
      <c r="F186">
        <v>3.25</v>
      </c>
      <c r="G186">
        <v>3.7</v>
      </c>
      <c r="I186" t="str">
        <f>"157/546"</f>
        <v>157/546</v>
      </c>
      <c r="J186" t="str">
        <f>"164/320"</f>
        <v>164/320</v>
      </c>
      <c r="K186" t="str">
        <f>"350/878"</f>
        <v>350/878</v>
      </c>
    </row>
    <row r="187" spans="2:11" x14ac:dyDescent="0.25">
      <c r="C187" t="s">
        <v>758</v>
      </c>
    </row>
    <row r="189" spans="2:11" x14ac:dyDescent="0.25">
      <c r="B189" t="s">
        <v>37</v>
      </c>
      <c r="C189" t="s">
        <v>338</v>
      </c>
    </row>
    <row r="191" spans="2:11" x14ac:dyDescent="0.25">
      <c r="C191" t="s">
        <v>11</v>
      </c>
      <c r="F191" t="s">
        <v>356</v>
      </c>
      <c r="J191" t="s">
        <v>13</v>
      </c>
    </row>
    <row r="192" spans="2:11" x14ac:dyDescent="0.25">
      <c r="D192" t="s">
        <v>14</v>
      </c>
      <c r="E192" t="s">
        <v>1</v>
      </c>
      <c r="F192" t="s">
        <v>3</v>
      </c>
      <c r="G192" t="s">
        <v>2</v>
      </c>
      <c r="I192" t="s">
        <v>1</v>
      </c>
      <c r="J192" t="s">
        <v>3</v>
      </c>
      <c r="K192" t="s">
        <v>2</v>
      </c>
    </row>
    <row r="193" spans="2:11" x14ac:dyDescent="0.25">
      <c r="C193" t="s">
        <v>320</v>
      </c>
    </row>
    <row r="195" spans="2:11" x14ac:dyDescent="0.25">
      <c r="C195" t="s">
        <v>17</v>
      </c>
      <c r="F195" t="s">
        <v>356</v>
      </c>
      <c r="J195" t="s">
        <v>13</v>
      </c>
    </row>
    <row r="196" spans="2:11" x14ac:dyDescent="0.25">
      <c r="D196" t="s">
        <v>14</v>
      </c>
      <c r="E196" t="s">
        <v>1</v>
      </c>
      <c r="F196" t="s">
        <v>3</v>
      </c>
      <c r="G196" t="s">
        <v>2</v>
      </c>
      <c r="I196" t="s">
        <v>1</v>
      </c>
      <c r="J196" t="s">
        <v>3</v>
      </c>
      <c r="K196" t="s">
        <v>2</v>
      </c>
    </row>
    <row r="197" spans="2:11" x14ac:dyDescent="0.25">
      <c r="C197" t="s">
        <v>320</v>
      </c>
    </row>
    <row r="199" spans="2:11" x14ac:dyDescent="0.25">
      <c r="C199" t="s">
        <v>18</v>
      </c>
      <c r="F199" t="s">
        <v>356</v>
      </c>
      <c r="J199" t="s">
        <v>13</v>
      </c>
    </row>
    <row r="200" spans="2:11" x14ac:dyDescent="0.25">
      <c r="D200" t="s">
        <v>14</v>
      </c>
      <c r="E200" t="s">
        <v>1</v>
      </c>
      <c r="F200" t="s">
        <v>3</v>
      </c>
      <c r="G200" t="s">
        <v>2</v>
      </c>
      <c r="I200" t="s">
        <v>1</v>
      </c>
      <c r="J200" t="s">
        <v>3</v>
      </c>
      <c r="K200" t="s">
        <v>2</v>
      </c>
    </row>
    <row r="201" spans="2:11" x14ac:dyDescent="0.25">
      <c r="C201" t="s">
        <v>320</v>
      </c>
    </row>
    <row r="203" spans="2:11" x14ac:dyDescent="0.25">
      <c r="C203" t="s">
        <v>36</v>
      </c>
      <c r="F203" t="s">
        <v>356</v>
      </c>
      <c r="J203" t="s">
        <v>13</v>
      </c>
    </row>
    <row r="204" spans="2:11" x14ac:dyDescent="0.25">
      <c r="D204" t="s">
        <v>14</v>
      </c>
      <c r="E204" t="s">
        <v>1</v>
      </c>
      <c r="F204" t="s">
        <v>3</v>
      </c>
      <c r="G204" t="s">
        <v>2</v>
      </c>
      <c r="I204" t="s">
        <v>1</v>
      </c>
      <c r="J204" t="s">
        <v>3</v>
      </c>
      <c r="K204" t="s">
        <v>2</v>
      </c>
    </row>
    <row r="205" spans="2:11" x14ac:dyDescent="0.25">
      <c r="C205" t="s">
        <v>320</v>
      </c>
    </row>
    <row r="207" spans="2:11" x14ac:dyDescent="0.25">
      <c r="B207" t="s">
        <v>38</v>
      </c>
      <c r="C207" t="s">
        <v>339</v>
      </c>
    </row>
    <row r="209" spans="3:11" x14ac:dyDescent="0.25">
      <c r="C209" t="s">
        <v>11</v>
      </c>
      <c r="F209" t="s">
        <v>356</v>
      </c>
      <c r="J209" t="s">
        <v>13</v>
      </c>
    </row>
    <row r="210" spans="3:11" x14ac:dyDescent="0.25">
      <c r="D210" t="s">
        <v>14</v>
      </c>
      <c r="E210" t="s">
        <v>1</v>
      </c>
      <c r="F210" t="s">
        <v>3</v>
      </c>
      <c r="G210" t="s">
        <v>2</v>
      </c>
      <c r="I210" t="s">
        <v>1</v>
      </c>
      <c r="J210" t="s">
        <v>3</v>
      </c>
      <c r="K210" t="s">
        <v>2</v>
      </c>
    </row>
    <row r="211" spans="3:11" x14ac:dyDescent="0.25">
      <c r="C211" t="s">
        <v>320</v>
      </c>
    </row>
    <row r="213" spans="3:11" x14ac:dyDescent="0.25">
      <c r="C213" t="s">
        <v>17</v>
      </c>
      <c r="F213" t="s">
        <v>356</v>
      </c>
      <c r="J213" t="s">
        <v>13</v>
      </c>
    </row>
    <row r="214" spans="3:11" x14ac:dyDescent="0.25">
      <c r="D214" t="s">
        <v>14</v>
      </c>
      <c r="E214" t="s">
        <v>1</v>
      </c>
      <c r="F214" t="s">
        <v>3</v>
      </c>
      <c r="G214" t="s">
        <v>2</v>
      </c>
      <c r="I214" t="s">
        <v>1</v>
      </c>
      <c r="J214" t="s">
        <v>3</v>
      </c>
      <c r="K214" t="s">
        <v>2</v>
      </c>
    </row>
    <row r="215" spans="3:11" x14ac:dyDescent="0.25">
      <c r="C215" t="s">
        <v>320</v>
      </c>
    </row>
    <row r="217" spans="3:11" x14ac:dyDescent="0.25">
      <c r="C217" t="s">
        <v>18</v>
      </c>
      <c r="F217" t="s">
        <v>356</v>
      </c>
      <c r="J217" t="s">
        <v>13</v>
      </c>
    </row>
    <row r="218" spans="3:11" x14ac:dyDescent="0.25">
      <c r="D218" t="s">
        <v>14</v>
      </c>
      <c r="E218" t="s">
        <v>1</v>
      </c>
      <c r="F218" t="s">
        <v>3</v>
      </c>
      <c r="G218" t="s">
        <v>2</v>
      </c>
      <c r="I218" t="s">
        <v>1</v>
      </c>
      <c r="J218" t="s">
        <v>3</v>
      </c>
      <c r="K218" t="s">
        <v>2</v>
      </c>
    </row>
    <row r="219" spans="3:11" x14ac:dyDescent="0.25">
      <c r="C219" t="s">
        <v>320</v>
      </c>
    </row>
    <row r="221" spans="3:11" x14ac:dyDescent="0.25">
      <c r="C221" t="s">
        <v>36</v>
      </c>
      <c r="F221" t="s">
        <v>356</v>
      </c>
      <c r="J221" t="s">
        <v>13</v>
      </c>
    </row>
    <row r="222" spans="3:11" x14ac:dyDescent="0.25">
      <c r="D222" t="s">
        <v>14</v>
      </c>
      <c r="E222" t="s">
        <v>1</v>
      </c>
      <c r="F222" t="s">
        <v>3</v>
      </c>
      <c r="G222" t="s">
        <v>2</v>
      </c>
      <c r="I222" t="s">
        <v>1</v>
      </c>
      <c r="J222" t="s">
        <v>3</v>
      </c>
      <c r="K222" t="s">
        <v>2</v>
      </c>
    </row>
    <row r="223" spans="3:11" x14ac:dyDescent="0.25">
      <c r="C223" t="s">
        <v>320</v>
      </c>
    </row>
    <row r="227" spans="1:11" x14ac:dyDescent="0.25">
      <c r="A227" t="s">
        <v>0</v>
      </c>
      <c r="B227" t="s">
        <v>414</v>
      </c>
    </row>
    <row r="229" spans="1:11" x14ac:dyDescent="0.25">
      <c r="B229" t="s">
        <v>10</v>
      </c>
      <c r="C229" t="s">
        <v>177</v>
      </c>
    </row>
    <row r="231" spans="1:11" x14ac:dyDescent="0.25">
      <c r="C231" t="s">
        <v>11</v>
      </c>
      <c r="F231" t="s">
        <v>356</v>
      </c>
      <c r="J231" t="s">
        <v>13</v>
      </c>
    </row>
    <row r="232" spans="1:11" x14ac:dyDescent="0.25">
      <c r="D232" t="s">
        <v>14</v>
      </c>
      <c r="E232" t="s">
        <v>1</v>
      </c>
      <c r="F232" t="s">
        <v>3</v>
      </c>
      <c r="G232" t="s">
        <v>2</v>
      </c>
      <c r="I232" t="s">
        <v>1</v>
      </c>
      <c r="J232" t="s">
        <v>3</v>
      </c>
      <c r="K232" t="s">
        <v>2</v>
      </c>
    </row>
    <row r="233" spans="1:11" x14ac:dyDescent="0.25">
      <c r="C233" t="s">
        <v>178</v>
      </c>
      <c r="D233" t="s">
        <v>19</v>
      </c>
      <c r="E233">
        <v>1.31</v>
      </c>
      <c r="F233">
        <v>1.5</v>
      </c>
      <c r="G233">
        <v>1.69</v>
      </c>
      <c r="I233" t="str">
        <f>"60/1234"</f>
        <v>60/1234</v>
      </c>
      <c r="J233" t="str">
        <f>"43/639"</f>
        <v>43/639</v>
      </c>
      <c r="K233" t="str">
        <f>"65/948"</f>
        <v>65/948</v>
      </c>
    </row>
    <row r="234" spans="1:11" x14ac:dyDescent="0.25">
      <c r="C234" t="s">
        <v>179</v>
      </c>
      <c r="D234" t="s">
        <v>23</v>
      </c>
      <c r="E234">
        <v>1.32</v>
      </c>
      <c r="F234">
        <v>1.51</v>
      </c>
      <c r="G234">
        <v>1.61</v>
      </c>
      <c r="I234" t="str">
        <f>"165/9732"</f>
        <v>165/9732</v>
      </c>
      <c r="J234" t="str">
        <f>"107/3292"</f>
        <v>107/3292</v>
      </c>
      <c r="K234" t="str">
        <f>"175/8132"</f>
        <v>175/8132</v>
      </c>
    </row>
    <row r="235" spans="1:11" x14ac:dyDescent="0.25">
      <c r="C235" t="s">
        <v>180</v>
      </c>
      <c r="D235" t="s">
        <v>415</v>
      </c>
      <c r="E235">
        <v>1.41</v>
      </c>
      <c r="F235">
        <v>1.45</v>
      </c>
      <c r="G235">
        <v>1.52</v>
      </c>
      <c r="I235" t="str">
        <f>"13/11"</f>
        <v>13/11</v>
      </c>
      <c r="J235" t="str">
        <f>"18/55"</f>
        <v>18/55</v>
      </c>
      <c r="K235" t="str">
        <f>"26/50"</f>
        <v>26/50</v>
      </c>
    </row>
    <row r="236" spans="1:11" x14ac:dyDescent="0.25">
      <c r="C236" t="s">
        <v>181</v>
      </c>
      <c r="D236" t="s">
        <v>416</v>
      </c>
      <c r="E236">
        <v>1.32</v>
      </c>
      <c r="F236">
        <v>1.42</v>
      </c>
      <c r="G236">
        <v>1.4</v>
      </c>
      <c r="I236" t="str">
        <f>"24/84"</f>
        <v>24/84</v>
      </c>
      <c r="J236" t="str">
        <f>"15/15"</f>
        <v>15/15</v>
      </c>
      <c r="K236" t="str">
        <f>"13/12"</f>
        <v>13/12</v>
      </c>
    </row>
    <row r="237" spans="1:11" x14ac:dyDescent="0.25">
      <c r="C237" t="s">
        <v>182</v>
      </c>
      <c r="D237" t="s">
        <v>417</v>
      </c>
      <c r="E237">
        <v>1.32</v>
      </c>
      <c r="F237">
        <v>1.42</v>
      </c>
      <c r="G237">
        <v>1.4</v>
      </c>
      <c r="I237" t="str">
        <f>"24/84"</f>
        <v>24/84</v>
      </c>
      <c r="J237" t="str">
        <f>"15/15"</f>
        <v>15/15</v>
      </c>
      <c r="K237" t="str">
        <f>"13/12"</f>
        <v>13/12</v>
      </c>
    </row>
    <row r="238" spans="1:11" x14ac:dyDescent="0.25">
      <c r="C238" t="s">
        <v>183</v>
      </c>
      <c r="D238" t="s">
        <v>35</v>
      </c>
      <c r="E238">
        <v>1.24</v>
      </c>
      <c r="F238">
        <v>1.26</v>
      </c>
      <c r="G238">
        <v>1.61</v>
      </c>
      <c r="I238" t="str">
        <f>"59/1298"</f>
        <v>59/1298</v>
      </c>
      <c r="J238" t="str">
        <f>"40/620"</f>
        <v>40/620</v>
      </c>
      <c r="K238" t="str">
        <f>"73/1129"</f>
        <v>73/1129</v>
      </c>
    </row>
    <row r="239" spans="1:11" x14ac:dyDescent="0.25">
      <c r="C239" t="s">
        <v>184</v>
      </c>
      <c r="D239" t="s">
        <v>22</v>
      </c>
      <c r="E239">
        <v>1.23</v>
      </c>
      <c r="F239">
        <v>1.29</v>
      </c>
      <c r="G239">
        <v>1.56</v>
      </c>
      <c r="I239" t="str">
        <f>"20/146"</f>
        <v>20/146</v>
      </c>
      <c r="J239" t="str">
        <f>"15/76"</f>
        <v>15/76</v>
      </c>
      <c r="K239" t="str">
        <f>"26/134"</f>
        <v>26/134</v>
      </c>
    </row>
    <row r="240" spans="1:11" x14ac:dyDescent="0.25">
      <c r="C240" t="s">
        <v>185</v>
      </c>
      <c r="D240" t="s">
        <v>25</v>
      </c>
      <c r="E240">
        <v>1.08</v>
      </c>
      <c r="F240">
        <v>1.45</v>
      </c>
      <c r="G240">
        <v>1.43</v>
      </c>
      <c r="I240" t="str">
        <f>"13/72"</f>
        <v>13/72</v>
      </c>
      <c r="J240" t="str">
        <f>"12/39"</f>
        <v>12/39</v>
      </c>
      <c r="K240" t="str">
        <f>"17/63"</f>
        <v>17/63</v>
      </c>
    </row>
    <row r="241" spans="3:11" x14ac:dyDescent="0.25">
      <c r="C241" t="s">
        <v>186</v>
      </c>
      <c r="D241" t="s">
        <v>24</v>
      </c>
      <c r="E241">
        <v>1.22</v>
      </c>
      <c r="F241">
        <v>1.1200000000000001</v>
      </c>
      <c r="G241">
        <v>1.61</v>
      </c>
      <c r="I241" t="str">
        <f>"58/1284"</f>
        <v>58/1284</v>
      </c>
      <c r="J241" t="str">
        <f>"38/618"</f>
        <v>38/618</v>
      </c>
      <c r="K241" t="str">
        <f>"71/1074"</f>
        <v>71/1074</v>
      </c>
    </row>
    <row r="242" spans="3:11" x14ac:dyDescent="0.25">
      <c r="C242" t="s">
        <v>187</v>
      </c>
      <c r="D242" t="s">
        <v>28</v>
      </c>
      <c r="E242">
        <v>1.17</v>
      </c>
      <c r="F242">
        <v>1.22</v>
      </c>
      <c r="G242">
        <v>1.3</v>
      </c>
      <c r="I242" t="str">
        <f>"13/65"</f>
        <v>13/65</v>
      </c>
      <c r="J242" t="str">
        <f>"10/35"</f>
        <v>10/35</v>
      </c>
      <c r="K242" t="str">
        <f>"16/65"</f>
        <v>16/65</v>
      </c>
    </row>
    <row r="243" spans="3:11" x14ac:dyDescent="0.25">
      <c r="C243" t="s">
        <v>188</v>
      </c>
      <c r="D243" t="s">
        <v>26</v>
      </c>
      <c r="E243">
        <v>1.17</v>
      </c>
      <c r="F243">
        <v>1.22</v>
      </c>
      <c r="G243">
        <v>1.3</v>
      </c>
      <c r="I243" t="str">
        <f>"13/65"</f>
        <v>13/65</v>
      </c>
      <c r="J243" t="str">
        <f>"10/35"</f>
        <v>10/35</v>
      </c>
      <c r="K243" t="str">
        <f>"16/65"</f>
        <v>16/65</v>
      </c>
    </row>
    <row r="244" spans="3:11" x14ac:dyDescent="0.25">
      <c r="C244" t="s">
        <v>189</v>
      </c>
      <c r="D244" t="s">
        <v>418</v>
      </c>
      <c r="E244">
        <v>1.05</v>
      </c>
      <c r="F244">
        <v>1.1200000000000001</v>
      </c>
      <c r="G244">
        <v>1.51</v>
      </c>
      <c r="I244" t="str">
        <f>"25/74"</f>
        <v>25/74</v>
      </c>
      <c r="J244" t="str">
        <f>"13/21"</f>
        <v>13/21</v>
      </c>
      <c r="K244" t="str">
        <f>"21/55"</f>
        <v>21/55</v>
      </c>
    </row>
    <row r="245" spans="3:11" x14ac:dyDescent="0.25">
      <c r="C245" t="s">
        <v>190</v>
      </c>
      <c r="D245" t="s">
        <v>20</v>
      </c>
      <c r="E245">
        <v>1.19</v>
      </c>
      <c r="F245">
        <v>1.08</v>
      </c>
      <c r="G245">
        <v>1.28</v>
      </c>
      <c r="I245" t="str">
        <f>"35/483"</f>
        <v>35/483</v>
      </c>
      <c r="J245" t="str">
        <f>"25/277"</f>
        <v>25/277</v>
      </c>
      <c r="K245" t="str">
        <f>"39/486"</f>
        <v>39/486</v>
      </c>
    </row>
    <row r="246" spans="3:11" x14ac:dyDescent="0.25">
      <c r="C246" t="s">
        <v>191</v>
      </c>
      <c r="D246" t="s">
        <v>15</v>
      </c>
      <c r="E246">
        <v>1.1599999999999999</v>
      </c>
      <c r="F246">
        <v>1.04</v>
      </c>
      <c r="G246">
        <v>1.26</v>
      </c>
      <c r="I246" t="str">
        <f>"70/2032"</f>
        <v>70/2032</v>
      </c>
      <c r="J246" t="str">
        <f>"41/785"</f>
        <v>41/785</v>
      </c>
      <c r="K246" t="str">
        <f>"69/1827"</f>
        <v>69/1827</v>
      </c>
    </row>
    <row r="247" spans="3:11" x14ac:dyDescent="0.25">
      <c r="C247" t="s">
        <v>192</v>
      </c>
      <c r="D247" t="s">
        <v>16</v>
      </c>
      <c r="E247">
        <v>1.04</v>
      </c>
      <c r="F247">
        <v>1.05</v>
      </c>
      <c r="G247">
        <v>1.1299999999999999</v>
      </c>
      <c r="I247" t="str">
        <f>"51/1221"</f>
        <v>51/1221</v>
      </c>
      <c r="J247" t="str">
        <f>"35/567"</f>
        <v>35/567</v>
      </c>
      <c r="K247" t="str">
        <f>"59/1491"</f>
        <v>59/1491</v>
      </c>
    </row>
    <row r="248" spans="3:11" x14ac:dyDescent="0.25">
      <c r="C248" t="s">
        <v>419</v>
      </c>
    </row>
    <row r="250" spans="3:11" x14ac:dyDescent="0.25">
      <c r="C250" t="s">
        <v>17</v>
      </c>
      <c r="F250" t="s">
        <v>356</v>
      </c>
      <c r="J250" t="s">
        <v>13</v>
      </c>
    </row>
    <row r="251" spans="3:11" x14ac:dyDescent="0.25">
      <c r="D251" t="s">
        <v>14</v>
      </c>
      <c r="E251" t="s">
        <v>1</v>
      </c>
      <c r="F251" t="s">
        <v>3</v>
      </c>
      <c r="G251" t="s">
        <v>2</v>
      </c>
      <c r="I251" t="s">
        <v>1</v>
      </c>
      <c r="J251" t="s">
        <v>3</v>
      </c>
      <c r="K251" t="s">
        <v>2</v>
      </c>
    </row>
    <row r="252" spans="3:11" x14ac:dyDescent="0.25">
      <c r="C252" t="s">
        <v>178</v>
      </c>
      <c r="D252" t="s">
        <v>420</v>
      </c>
      <c r="E252">
        <v>1.4</v>
      </c>
      <c r="F252">
        <v>2.79</v>
      </c>
      <c r="G252">
        <v>1.54</v>
      </c>
      <c r="I252" t="str">
        <f>"18/19"</f>
        <v>18/19</v>
      </c>
      <c r="J252" t="str">
        <f>"22/33"</f>
        <v>22/33</v>
      </c>
      <c r="K252" t="str">
        <f>"13/13"</f>
        <v>13/13</v>
      </c>
    </row>
    <row r="253" spans="3:11" x14ac:dyDescent="0.25">
      <c r="C253" t="s">
        <v>759</v>
      </c>
    </row>
    <row r="255" spans="3:11" x14ac:dyDescent="0.25">
      <c r="C255" t="s">
        <v>18</v>
      </c>
      <c r="F255" t="s">
        <v>356</v>
      </c>
      <c r="J255" t="s">
        <v>13</v>
      </c>
    </row>
    <row r="256" spans="3:11" x14ac:dyDescent="0.25">
      <c r="D256" t="s">
        <v>14</v>
      </c>
      <c r="E256" t="s">
        <v>1</v>
      </c>
      <c r="F256" t="s">
        <v>3</v>
      </c>
      <c r="G256" t="s">
        <v>2</v>
      </c>
      <c r="I256" t="s">
        <v>1</v>
      </c>
      <c r="J256" t="s">
        <v>3</v>
      </c>
      <c r="K256" t="s">
        <v>2</v>
      </c>
    </row>
    <row r="257" spans="3:11" x14ac:dyDescent="0.25">
      <c r="C257" t="s">
        <v>178</v>
      </c>
      <c r="D257" t="s">
        <v>421</v>
      </c>
      <c r="E257">
        <v>1.32</v>
      </c>
      <c r="F257">
        <v>1.25</v>
      </c>
      <c r="G257">
        <v>2.98</v>
      </c>
      <c r="I257" t="str">
        <f>"44/127"</f>
        <v>44/127</v>
      </c>
      <c r="J257" t="str">
        <f>"24/40"</f>
        <v>24/40</v>
      </c>
      <c r="K257" t="str">
        <f>"53/133"</f>
        <v>53/133</v>
      </c>
    </row>
    <row r="258" spans="3:11" x14ac:dyDescent="0.25">
      <c r="C258" t="s">
        <v>179</v>
      </c>
      <c r="D258" t="s">
        <v>275</v>
      </c>
      <c r="E258">
        <v>1.39</v>
      </c>
      <c r="F258">
        <v>1.52</v>
      </c>
      <c r="G258">
        <v>2.42</v>
      </c>
      <c r="I258" t="str">
        <f>"43/563"</f>
        <v>43/563</v>
      </c>
      <c r="J258" t="str">
        <f>"35/304"</f>
        <v>35/304</v>
      </c>
      <c r="K258" t="str">
        <f>"62/409"</f>
        <v>62/409</v>
      </c>
    </row>
    <row r="259" spans="3:11" x14ac:dyDescent="0.25">
      <c r="C259" t="s">
        <v>180</v>
      </c>
      <c r="D259" t="s">
        <v>29</v>
      </c>
      <c r="E259">
        <v>1.26</v>
      </c>
      <c r="F259">
        <v>1.51</v>
      </c>
      <c r="G259">
        <v>2.29</v>
      </c>
      <c r="I259" t="str">
        <f>"51/944"</f>
        <v>51/944</v>
      </c>
      <c r="J259" t="str">
        <f>"40/330"</f>
        <v>40/330</v>
      </c>
      <c r="K259" t="str">
        <f>"73/694"</f>
        <v>73/694</v>
      </c>
    </row>
    <row r="260" spans="3:11" x14ac:dyDescent="0.25">
      <c r="C260" t="s">
        <v>181</v>
      </c>
      <c r="D260" t="s">
        <v>33</v>
      </c>
      <c r="E260">
        <v>1.26</v>
      </c>
      <c r="F260">
        <v>1.51</v>
      </c>
      <c r="G260">
        <v>2.29</v>
      </c>
      <c r="I260" t="str">
        <f>"51/944"</f>
        <v>51/944</v>
      </c>
      <c r="J260" t="str">
        <f>"40/330"</f>
        <v>40/330</v>
      </c>
      <c r="K260" t="str">
        <f>"73/694"</f>
        <v>73/694</v>
      </c>
    </row>
    <row r="261" spans="3:11" x14ac:dyDescent="0.25">
      <c r="C261" t="s">
        <v>182</v>
      </c>
      <c r="D261" t="s">
        <v>34</v>
      </c>
      <c r="E261">
        <v>1.26</v>
      </c>
      <c r="F261">
        <v>1.51</v>
      </c>
      <c r="G261">
        <v>2.29</v>
      </c>
      <c r="I261" t="str">
        <f>"51/944"</f>
        <v>51/944</v>
      </c>
      <c r="J261" t="str">
        <f>"40/330"</f>
        <v>40/330</v>
      </c>
      <c r="K261" t="str">
        <f>"73/694"</f>
        <v>73/694</v>
      </c>
    </row>
    <row r="262" spans="3:11" x14ac:dyDescent="0.25">
      <c r="C262" t="s">
        <v>183</v>
      </c>
      <c r="D262" t="s">
        <v>422</v>
      </c>
      <c r="E262">
        <v>1.25</v>
      </c>
      <c r="F262">
        <v>1.38</v>
      </c>
      <c r="G262">
        <v>2.2000000000000002</v>
      </c>
      <c r="I262" t="str">
        <f>"17/15"</f>
        <v>17/15</v>
      </c>
      <c r="J262" t="str">
        <f>"18/11"</f>
        <v>18/11</v>
      </c>
      <c r="K262" t="str">
        <f>"24/34"</f>
        <v>24/34</v>
      </c>
    </row>
    <row r="263" spans="3:11" x14ac:dyDescent="0.25">
      <c r="C263" t="s">
        <v>184</v>
      </c>
      <c r="D263" t="s">
        <v>32</v>
      </c>
      <c r="E263">
        <v>1.24</v>
      </c>
      <c r="F263">
        <v>1.47</v>
      </c>
      <c r="G263">
        <v>1.87</v>
      </c>
      <c r="I263" t="str">
        <f>"100/3813"</f>
        <v>100/3813</v>
      </c>
      <c r="J263" t="str">
        <f>"77/1611"</f>
        <v>77/1611</v>
      </c>
      <c r="K263" t="str">
        <f>"123/3239"</f>
        <v>123/3239</v>
      </c>
    </row>
    <row r="264" spans="3:11" x14ac:dyDescent="0.25">
      <c r="C264" t="s">
        <v>185</v>
      </c>
      <c r="D264" t="s">
        <v>21</v>
      </c>
      <c r="E264">
        <v>1.24</v>
      </c>
      <c r="F264">
        <v>1.47</v>
      </c>
      <c r="G264">
        <v>1.87</v>
      </c>
      <c r="I264" t="str">
        <f>"100/3813"</f>
        <v>100/3813</v>
      </c>
      <c r="J264" t="str">
        <f>"77/1611"</f>
        <v>77/1611</v>
      </c>
      <c r="K264" t="str">
        <f>"123/3239"</f>
        <v>123/3239</v>
      </c>
    </row>
    <row r="265" spans="3:11" x14ac:dyDescent="0.25">
      <c r="C265" t="s">
        <v>186</v>
      </c>
      <c r="D265" t="s">
        <v>30</v>
      </c>
      <c r="E265">
        <v>1.24</v>
      </c>
      <c r="F265">
        <v>1.47</v>
      </c>
      <c r="G265">
        <v>1.87</v>
      </c>
      <c r="I265" t="str">
        <f>"100/3813"</f>
        <v>100/3813</v>
      </c>
      <c r="J265" t="str">
        <f>"79/1612"</f>
        <v>79/1612</v>
      </c>
      <c r="K265" t="str">
        <f>"123/3239"</f>
        <v>123/3239</v>
      </c>
    </row>
    <row r="266" spans="3:11" x14ac:dyDescent="0.25">
      <c r="C266" t="s">
        <v>187</v>
      </c>
      <c r="D266" t="s">
        <v>31</v>
      </c>
      <c r="E266">
        <v>1.24</v>
      </c>
      <c r="F266">
        <v>1.47</v>
      </c>
      <c r="G266">
        <v>1.87</v>
      </c>
      <c r="I266" t="str">
        <f>"100/3813"</f>
        <v>100/3813</v>
      </c>
      <c r="J266" t="str">
        <f>"77/1611"</f>
        <v>77/1611</v>
      </c>
      <c r="K266" t="str">
        <f>"127/3241"</f>
        <v>127/3241</v>
      </c>
    </row>
    <row r="267" spans="3:11" x14ac:dyDescent="0.25">
      <c r="C267" t="s">
        <v>188</v>
      </c>
      <c r="D267" t="s">
        <v>423</v>
      </c>
      <c r="E267">
        <v>1.36</v>
      </c>
      <c r="F267">
        <v>1.45</v>
      </c>
      <c r="G267">
        <v>1.77</v>
      </c>
      <c r="I267" t="str">
        <f>"18/28"</f>
        <v>18/28</v>
      </c>
      <c r="J267" t="str">
        <f>"21/57"</f>
        <v>21/57</v>
      </c>
      <c r="K267" t="str">
        <f>"40/67"</f>
        <v>40/67</v>
      </c>
    </row>
    <row r="268" spans="3:11" x14ac:dyDescent="0.25">
      <c r="C268" t="s">
        <v>189</v>
      </c>
      <c r="D268" t="s">
        <v>424</v>
      </c>
      <c r="E268">
        <v>1.41</v>
      </c>
      <c r="F268">
        <v>1.1000000000000001</v>
      </c>
      <c r="G268">
        <v>2</v>
      </c>
      <c r="I268" t="str">
        <f>"40/92"</f>
        <v>40/92</v>
      </c>
      <c r="J268" t="str">
        <f>"24/28"</f>
        <v>24/28</v>
      </c>
      <c r="K268" t="str">
        <f>"37/45"</f>
        <v>37/45</v>
      </c>
    </row>
    <row r="269" spans="3:11" x14ac:dyDescent="0.25">
      <c r="C269" t="s">
        <v>190</v>
      </c>
      <c r="D269" t="s">
        <v>212</v>
      </c>
      <c r="E269">
        <v>1.46</v>
      </c>
      <c r="F269">
        <v>1.24</v>
      </c>
      <c r="G269">
        <v>1.77</v>
      </c>
      <c r="I269" t="str">
        <f>"16/71"</f>
        <v>16/71</v>
      </c>
      <c r="J269" t="str">
        <f>"11/28"</f>
        <v>11/28</v>
      </c>
      <c r="K269" t="str">
        <f>"16/33"</f>
        <v>16/33</v>
      </c>
    </row>
    <row r="270" spans="3:11" x14ac:dyDescent="0.25">
      <c r="C270" t="s">
        <v>191</v>
      </c>
      <c r="D270" t="s">
        <v>214</v>
      </c>
      <c r="E270">
        <v>1.46</v>
      </c>
      <c r="F270">
        <v>1.24</v>
      </c>
      <c r="G270">
        <v>1.77</v>
      </c>
      <c r="I270" t="str">
        <f>"16/71"</f>
        <v>16/71</v>
      </c>
      <c r="J270" t="str">
        <f>"11/28"</f>
        <v>11/28</v>
      </c>
      <c r="K270" t="str">
        <f>"16/33"</f>
        <v>16/33</v>
      </c>
    </row>
    <row r="271" spans="3:11" x14ac:dyDescent="0.25">
      <c r="C271" t="s">
        <v>192</v>
      </c>
      <c r="D271" t="s">
        <v>208</v>
      </c>
      <c r="E271">
        <v>1.46</v>
      </c>
      <c r="F271">
        <v>1.24</v>
      </c>
      <c r="G271">
        <v>1.77</v>
      </c>
      <c r="I271" t="str">
        <f>"16/71"</f>
        <v>16/71</v>
      </c>
      <c r="J271" t="str">
        <f>"11/28"</f>
        <v>11/28</v>
      </c>
      <c r="K271" t="str">
        <f>"16/33"</f>
        <v>16/33</v>
      </c>
    </row>
    <row r="272" spans="3:11" x14ac:dyDescent="0.25">
      <c r="C272" t="s">
        <v>193</v>
      </c>
      <c r="D272" t="s">
        <v>210</v>
      </c>
      <c r="E272">
        <v>1.46</v>
      </c>
      <c r="F272">
        <v>1.24</v>
      </c>
      <c r="G272">
        <v>1.77</v>
      </c>
      <c r="I272" t="str">
        <f>"16/71"</f>
        <v>16/71</v>
      </c>
      <c r="J272" t="str">
        <f>"11/28"</f>
        <v>11/28</v>
      </c>
      <c r="K272" t="str">
        <f>"16/33"</f>
        <v>16/33</v>
      </c>
    </row>
    <row r="273" spans="3:11" x14ac:dyDescent="0.25">
      <c r="C273" t="s">
        <v>194</v>
      </c>
      <c r="D273" t="s">
        <v>425</v>
      </c>
      <c r="E273">
        <v>1.41</v>
      </c>
      <c r="F273">
        <v>1.1000000000000001</v>
      </c>
      <c r="G273">
        <v>1.93</v>
      </c>
      <c r="I273" t="str">
        <f>"40/92"</f>
        <v>40/92</v>
      </c>
      <c r="J273" t="str">
        <f>"24/28"</f>
        <v>24/28</v>
      </c>
      <c r="K273" t="str">
        <f>"35/42"</f>
        <v>35/42</v>
      </c>
    </row>
    <row r="274" spans="3:11" x14ac:dyDescent="0.25">
      <c r="C274" t="s">
        <v>195</v>
      </c>
      <c r="D274" t="s">
        <v>426</v>
      </c>
      <c r="E274">
        <v>1.41</v>
      </c>
      <c r="F274">
        <v>1.1000000000000001</v>
      </c>
      <c r="G274">
        <v>1.93</v>
      </c>
      <c r="I274" t="str">
        <f>"40/92"</f>
        <v>40/92</v>
      </c>
      <c r="J274" t="str">
        <f>"24/28"</f>
        <v>24/28</v>
      </c>
      <c r="K274" t="str">
        <f>"35/42"</f>
        <v>35/42</v>
      </c>
    </row>
    <row r="275" spans="3:11" x14ac:dyDescent="0.25">
      <c r="C275" t="s">
        <v>197</v>
      </c>
      <c r="D275" t="s">
        <v>427</v>
      </c>
      <c r="E275">
        <v>1.41</v>
      </c>
      <c r="F275">
        <v>1.1000000000000001</v>
      </c>
      <c r="G275">
        <v>1.93</v>
      </c>
      <c r="I275" t="str">
        <f>"40/92"</f>
        <v>40/92</v>
      </c>
      <c r="J275" t="str">
        <f>"24/28"</f>
        <v>24/28</v>
      </c>
      <c r="K275" t="str">
        <f>"35/42"</f>
        <v>35/42</v>
      </c>
    </row>
    <row r="276" spans="3:11" x14ac:dyDescent="0.25">
      <c r="C276" t="s">
        <v>199</v>
      </c>
      <c r="D276" t="s">
        <v>428</v>
      </c>
      <c r="E276">
        <v>1.44</v>
      </c>
      <c r="F276">
        <v>1.1000000000000001</v>
      </c>
      <c r="G276">
        <v>1.77</v>
      </c>
      <c r="I276" t="str">
        <f>"37/75"</f>
        <v>37/75</v>
      </c>
      <c r="J276" t="str">
        <f>"22/27"</f>
        <v>22/27</v>
      </c>
      <c r="K276" t="str">
        <f>"27/32"</f>
        <v>27/32</v>
      </c>
    </row>
    <row r="277" spans="3:11" x14ac:dyDescent="0.25">
      <c r="C277" t="s">
        <v>200</v>
      </c>
      <c r="D277" t="s">
        <v>429</v>
      </c>
      <c r="E277">
        <v>1.4</v>
      </c>
      <c r="F277">
        <v>1</v>
      </c>
      <c r="G277">
        <v>1.84</v>
      </c>
      <c r="I277" t="str">
        <f>"24/60"</f>
        <v>24/60</v>
      </c>
      <c r="J277" t="str">
        <f>"10/17"</f>
        <v>10/17</v>
      </c>
      <c r="K277" t="str">
        <f>"17/26"</f>
        <v>17/26</v>
      </c>
    </row>
    <row r="278" spans="3:11" x14ac:dyDescent="0.25">
      <c r="C278" t="s">
        <v>202</v>
      </c>
      <c r="D278" t="s">
        <v>430</v>
      </c>
      <c r="E278">
        <v>1.4</v>
      </c>
      <c r="F278">
        <v>1</v>
      </c>
      <c r="G278">
        <v>1.84</v>
      </c>
      <c r="I278" t="str">
        <f>"24/60"</f>
        <v>24/60</v>
      </c>
      <c r="J278" t="str">
        <f>"10/17"</f>
        <v>10/17</v>
      </c>
      <c r="K278" t="str">
        <f>"17/26"</f>
        <v>17/26</v>
      </c>
    </row>
    <row r="279" spans="3:11" x14ac:dyDescent="0.25">
      <c r="C279" t="s">
        <v>760</v>
      </c>
    </row>
    <row r="281" spans="3:11" x14ac:dyDescent="0.25">
      <c r="C281" t="s">
        <v>36</v>
      </c>
      <c r="F281" t="s">
        <v>356</v>
      </c>
      <c r="J281" t="s">
        <v>13</v>
      </c>
    </row>
    <row r="282" spans="3:11" x14ac:dyDescent="0.25">
      <c r="D282" t="s">
        <v>14</v>
      </c>
      <c r="E282" t="s">
        <v>1</v>
      </c>
      <c r="F282" t="s">
        <v>3</v>
      </c>
      <c r="G282" t="s">
        <v>2</v>
      </c>
      <c r="I282" t="s">
        <v>1</v>
      </c>
      <c r="J282" t="s">
        <v>3</v>
      </c>
      <c r="K282" t="s">
        <v>2</v>
      </c>
    </row>
    <row r="283" spans="3:11" x14ac:dyDescent="0.25">
      <c r="C283" t="s">
        <v>178</v>
      </c>
      <c r="D283" t="s">
        <v>431</v>
      </c>
      <c r="E283">
        <v>2.65</v>
      </c>
      <c r="F283">
        <v>1.23</v>
      </c>
      <c r="G283">
        <v>1.52</v>
      </c>
      <c r="I283" t="str">
        <f>"19/15"</f>
        <v>19/15</v>
      </c>
      <c r="J283" t="str">
        <f>"15/10"</f>
        <v>15/10</v>
      </c>
      <c r="K283" t="str">
        <f>"15/12"</f>
        <v>15/12</v>
      </c>
    </row>
    <row r="284" spans="3:11" x14ac:dyDescent="0.25">
      <c r="C284" t="s">
        <v>179</v>
      </c>
      <c r="D284" t="s">
        <v>432</v>
      </c>
      <c r="E284">
        <v>2.65</v>
      </c>
      <c r="F284">
        <v>1.23</v>
      </c>
      <c r="G284">
        <v>1.52</v>
      </c>
      <c r="I284" t="str">
        <f>"19/15"</f>
        <v>19/15</v>
      </c>
      <c r="J284" t="str">
        <f>"15/10"</f>
        <v>15/10</v>
      </c>
      <c r="K284" t="str">
        <f>"15/12"</f>
        <v>15/12</v>
      </c>
    </row>
    <row r="285" spans="3:11" x14ac:dyDescent="0.25">
      <c r="C285" t="s">
        <v>180</v>
      </c>
      <c r="D285" t="s">
        <v>287</v>
      </c>
      <c r="E285">
        <v>1.74</v>
      </c>
      <c r="F285">
        <v>1.37</v>
      </c>
      <c r="G285">
        <v>1.4</v>
      </c>
      <c r="I285" t="str">
        <f>"27/70"</f>
        <v>27/70</v>
      </c>
      <c r="J285" t="str">
        <f>"17/46"</f>
        <v>17/46</v>
      </c>
      <c r="K285" t="str">
        <f>"29/89"</f>
        <v>29/89</v>
      </c>
    </row>
    <row r="286" spans="3:11" x14ac:dyDescent="0.25">
      <c r="C286" t="s">
        <v>181</v>
      </c>
      <c r="D286" t="s">
        <v>433</v>
      </c>
      <c r="E286">
        <v>1.62</v>
      </c>
      <c r="F286">
        <v>1.29</v>
      </c>
      <c r="G286">
        <v>1.55</v>
      </c>
      <c r="I286" t="str">
        <f>"18/31"</f>
        <v>18/31</v>
      </c>
      <c r="J286" t="str">
        <f>"14/10"</f>
        <v>14/10</v>
      </c>
      <c r="K286" t="str">
        <f>"17/11"</f>
        <v>17/11</v>
      </c>
    </row>
    <row r="287" spans="3:11" x14ac:dyDescent="0.25">
      <c r="C287" t="s">
        <v>182</v>
      </c>
      <c r="D287" t="s">
        <v>196</v>
      </c>
      <c r="E287">
        <v>1.63</v>
      </c>
      <c r="F287">
        <v>1.08</v>
      </c>
      <c r="G287">
        <v>1.66</v>
      </c>
      <c r="I287" t="str">
        <f>"98/2417"</f>
        <v>98/2417</v>
      </c>
      <c r="J287" t="str">
        <f>"61/971"</f>
        <v>61/971</v>
      </c>
      <c r="K287" t="str">
        <f>"95/2126"</f>
        <v>95/2126</v>
      </c>
    </row>
    <row r="288" spans="3:11" x14ac:dyDescent="0.25">
      <c r="C288" t="s">
        <v>183</v>
      </c>
      <c r="D288" t="s">
        <v>284</v>
      </c>
      <c r="E288">
        <v>1.56</v>
      </c>
      <c r="F288">
        <v>1.33</v>
      </c>
      <c r="G288">
        <v>1.21</v>
      </c>
      <c r="I288" t="str">
        <f>"28/121"</f>
        <v>28/121</v>
      </c>
      <c r="J288" t="str">
        <f>"18/57"</f>
        <v>18/57</v>
      </c>
      <c r="K288" t="str">
        <f>"21/99"</f>
        <v>21/99</v>
      </c>
    </row>
    <row r="289" spans="2:11" x14ac:dyDescent="0.25">
      <c r="C289" t="s">
        <v>761</v>
      </c>
    </row>
    <row r="291" spans="2:11" x14ac:dyDescent="0.25">
      <c r="B291" t="s">
        <v>37</v>
      </c>
      <c r="C291" t="s">
        <v>288</v>
      </c>
    </row>
    <row r="293" spans="2:11" x14ac:dyDescent="0.25">
      <c r="C293" t="s">
        <v>11</v>
      </c>
      <c r="F293" t="s">
        <v>356</v>
      </c>
      <c r="J293" t="s">
        <v>13</v>
      </c>
    </row>
    <row r="294" spans="2:11" x14ac:dyDescent="0.25">
      <c r="D294" t="s">
        <v>14</v>
      </c>
      <c r="E294" t="s">
        <v>1</v>
      </c>
      <c r="F294" t="s">
        <v>3</v>
      </c>
      <c r="G294" t="s">
        <v>2</v>
      </c>
      <c r="I294" t="s">
        <v>1</v>
      </c>
      <c r="J294" t="s">
        <v>3</v>
      </c>
      <c r="K294" t="s">
        <v>2</v>
      </c>
    </row>
    <row r="295" spans="2:11" x14ac:dyDescent="0.25">
      <c r="C295" t="s">
        <v>289</v>
      </c>
      <c r="D295" t="s">
        <v>298</v>
      </c>
      <c r="E295">
        <v>1.1000000000000001</v>
      </c>
      <c r="F295">
        <v>1.26</v>
      </c>
      <c r="G295">
        <v>1.39</v>
      </c>
      <c r="I295" t="str">
        <f>"13/70"</f>
        <v>13/70</v>
      </c>
      <c r="J295" t="str">
        <f>"16/51"</f>
        <v>16/51</v>
      </c>
      <c r="K295" t="str">
        <f>"20/107"</f>
        <v>20/107</v>
      </c>
    </row>
    <row r="296" spans="2:11" x14ac:dyDescent="0.25">
      <c r="C296" t="s">
        <v>291</v>
      </c>
      <c r="D296" t="s">
        <v>300</v>
      </c>
      <c r="E296">
        <v>1.1000000000000001</v>
      </c>
      <c r="F296">
        <v>1.26</v>
      </c>
      <c r="G296">
        <v>1.39</v>
      </c>
      <c r="I296" t="str">
        <f>"13/70"</f>
        <v>13/70</v>
      </c>
      <c r="J296" t="str">
        <f>"16/51"</f>
        <v>16/51</v>
      </c>
      <c r="K296" t="str">
        <f>"20/107"</f>
        <v>20/107</v>
      </c>
    </row>
    <row r="297" spans="2:11" x14ac:dyDescent="0.25">
      <c r="C297" t="s">
        <v>293</v>
      </c>
      <c r="D297" t="s">
        <v>290</v>
      </c>
      <c r="E297">
        <v>1.04</v>
      </c>
      <c r="F297">
        <v>1.18</v>
      </c>
      <c r="G297">
        <v>1.28</v>
      </c>
      <c r="I297" t="str">
        <f>"25/245"</f>
        <v>25/245</v>
      </c>
      <c r="J297" t="str">
        <f>"15/86"</f>
        <v>15/86</v>
      </c>
      <c r="K297" t="str">
        <f>"21/152"</f>
        <v>21/152</v>
      </c>
    </row>
    <row r="298" spans="2:11" x14ac:dyDescent="0.25">
      <c r="C298" t="s">
        <v>762</v>
      </c>
    </row>
    <row r="300" spans="2:11" x14ac:dyDescent="0.25">
      <c r="C300" t="s">
        <v>17</v>
      </c>
      <c r="F300" t="s">
        <v>356</v>
      </c>
      <c r="J300" t="s">
        <v>13</v>
      </c>
    </row>
    <row r="301" spans="2:11" x14ac:dyDescent="0.25">
      <c r="D301" t="s">
        <v>14</v>
      </c>
      <c r="E301" t="s">
        <v>1</v>
      </c>
      <c r="F301" t="s">
        <v>3</v>
      </c>
      <c r="G301" t="s">
        <v>2</v>
      </c>
      <c r="I301" t="s">
        <v>1</v>
      </c>
      <c r="J301" t="s">
        <v>3</v>
      </c>
      <c r="K301" t="s">
        <v>2</v>
      </c>
    </row>
    <row r="302" spans="2:11" x14ac:dyDescent="0.25">
      <c r="C302" t="s">
        <v>351</v>
      </c>
    </row>
    <row r="304" spans="2:11" x14ac:dyDescent="0.25">
      <c r="C304" t="s">
        <v>18</v>
      </c>
      <c r="F304" t="s">
        <v>356</v>
      </c>
      <c r="J304" t="s">
        <v>13</v>
      </c>
    </row>
    <row r="305" spans="2:11" x14ac:dyDescent="0.25">
      <c r="D305" t="s">
        <v>14</v>
      </c>
      <c r="E305" t="s">
        <v>1</v>
      </c>
      <c r="F305" t="s">
        <v>3</v>
      </c>
      <c r="G305" t="s">
        <v>2</v>
      </c>
      <c r="I305" t="s">
        <v>1</v>
      </c>
      <c r="J305" t="s">
        <v>3</v>
      </c>
      <c r="K305" t="s">
        <v>2</v>
      </c>
    </row>
    <row r="306" spans="2:11" x14ac:dyDescent="0.25">
      <c r="C306" t="s">
        <v>289</v>
      </c>
      <c r="D306" t="s">
        <v>434</v>
      </c>
      <c r="E306">
        <v>1.3</v>
      </c>
      <c r="F306">
        <v>1.24</v>
      </c>
      <c r="G306">
        <v>3.42</v>
      </c>
      <c r="I306" t="str">
        <f>"40/115"</f>
        <v>40/115</v>
      </c>
      <c r="J306" t="str">
        <f>"24/90"</f>
        <v>24/90</v>
      </c>
      <c r="K306" t="str">
        <f>"28/41"</f>
        <v>28/41</v>
      </c>
    </row>
    <row r="307" spans="2:11" x14ac:dyDescent="0.25">
      <c r="C307" t="s">
        <v>291</v>
      </c>
      <c r="D307" t="s">
        <v>435</v>
      </c>
      <c r="E307">
        <v>1.29</v>
      </c>
      <c r="F307">
        <v>1.23</v>
      </c>
      <c r="G307">
        <v>2.2000000000000002</v>
      </c>
      <c r="I307" t="str">
        <f>"16/12"</f>
        <v>16/12</v>
      </c>
      <c r="J307" t="str">
        <f>"15/10"</f>
        <v>15/10</v>
      </c>
      <c r="K307" t="str">
        <f>"27/19"</f>
        <v>27/19</v>
      </c>
    </row>
    <row r="308" spans="2:11" x14ac:dyDescent="0.25">
      <c r="C308" t="s">
        <v>293</v>
      </c>
      <c r="D308" t="s">
        <v>436</v>
      </c>
      <c r="E308">
        <v>1.1000000000000001</v>
      </c>
      <c r="F308">
        <v>1.26</v>
      </c>
      <c r="G308">
        <v>1.57</v>
      </c>
      <c r="I308" t="str">
        <f>"15/71"</f>
        <v>15/71</v>
      </c>
      <c r="J308" t="str">
        <f>"28/58"</f>
        <v>28/58</v>
      </c>
      <c r="K308" t="str">
        <f>"41/123"</f>
        <v>41/123</v>
      </c>
    </row>
    <row r="309" spans="2:11" x14ac:dyDescent="0.25">
      <c r="C309" t="s">
        <v>763</v>
      </c>
    </row>
    <row r="311" spans="2:11" x14ac:dyDescent="0.25">
      <c r="C311" t="s">
        <v>36</v>
      </c>
      <c r="F311" t="s">
        <v>356</v>
      </c>
      <c r="J311" t="s">
        <v>13</v>
      </c>
    </row>
    <row r="312" spans="2:11" x14ac:dyDescent="0.25">
      <c r="D312" t="s">
        <v>14</v>
      </c>
      <c r="E312" t="s">
        <v>1</v>
      </c>
      <c r="F312" t="s">
        <v>3</v>
      </c>
      <c r="G312" t="s">
        <v>2</v>
      </c>
      <c r="I312" t="s">
        <v>1</v>
      </c>
      <c r="J312" t="s">
        <v>3</v>
      </c>
      <c r="K312" t="s">
        <v>2</v>
      </c>
    </row>
    <row r="313" spans="2:11" x14ac:dyDescent="0.25">
      <c r="C313" t="s">
        <v>351</v>
      </c>
    </row>
    <row r="315" spans="2:11" x14ac:dyDescent="0.25">
      <c r="B315" t="s">
        <v>38</v>
      </c>
      <c r="C315" t="s">
        <v>310</v>
      </c>
    </row>
    <row r="317" spans="2:11" x14ac:dyDescent="0.25">
      <c r="C317" t="s">
        <v>11</v>
      </c>
      <c r="F317" t="s">
        <v>356</v>
      </c>
      <c r="J317" t="s">
        <v>13</v>
      </c>
    </row>
    <row r="318" spans="2:11" x14ac:dyDescent="0.25">
      <c r="D318" t="s">
        <v>14</v>
      </c>
      <c r="E318" t="s">
        <v>1</v>
      </c>
      <c r="F318" t="s">
        <v>3</v>
      </c>
      <c r="G318" t="s">
        <v>2</v>
      </c>
      <c r="I318" t="s">
        <v>1</v>
      </c>
      <c r="J318" t="s">
        <v>3</v>
      </c>
      <c r="K318" t="s">
        <v>2</v>
      </c>
    </row>
    <row r="319" spans="2:11" x14ac:dyDescent="0.25">
      <c r="C319" t="s">
        <v>311</v>
      </c>
      <c r="D319" t="s">
        <v>41</v>
      </c>
      <c r="E319">
        <v>1.1499999999999999</v>
      </c>
      <c r="F319">
        <v>1.1499999999999999</v>
      </c>
      <c r="G319">
        <v>1.34</v>
      </c>
      <c r="I319" t="str">
        <f>"42/733"</f>
        <v>42/733</v>
      </c>
      <c r="J319" t="str">
        <f>"13/66"</f>
        <v>13/66</v>
      </c>
      <c r="K319" t="str">
        <f>"34/408"</f>
        <v>34/408</v>
      </c>
    </row>
    <row r="320" spans="2:11" x14ac:dyDescent="0.25">
      <c r="C320" t="s">
        <v>312</v>
      </c>
      <c r="D320" t="s">
        <v>39</v>
      </c>
      <c r="E320">
        <v>1.1100000000000001</v>
      </c>
      <c r="F320">
        <v>1.0900000000000001</v>
      </c>
      <c r="G320">
        <v>1.29</v>
      </c>
      <c r="I320" t="str">
        <f>"63/1732"</f>
        <v>63/1732</v>
      </c>
      <c r="J320" t="str">
        <f>"24/252"</f>
        <v>24/252</v>
      </c>
      <c r="K320" t="str">
        <f>"53/1041"</f>
        <v>53/1041</v>
      </c>
    </row>
    <row r="321" spans="3:11" x14ac:dyDescent="0.25">
      <c r="C321" t="s">
        <v>313</v>
      </c>
      <c r="D321" t="s">
        <v>42</v>
      </c>
      <c r="E321">
        <v>1.1200000000000001</v>
      </c>
      <c r="F321">
        <v>1.04</v>
      </c>
      <c r="G321">
        <v>1.01</v>
      </c>
      <c r="I321" t="str">
        <f>"19/150"</f>
        <v>19/150</v>
      </c>
      <c r="J321" t="str">
        <f>"13/75"</f>
        <v>13/75</v>
      </c>
      <c r="K321" t="str">
        <f>"20/152"</f>
        <v>20/152</v>
      </c>
    </row>
    <row r="322" spans="3:11" x14ac:dyDescent="0.25">
      <c r="C322" t="s">
        <v>314</v>
      </c>
      <c r="D322" t="s">
        <v>40</v>
      </c>
      <c r="E322">
        <v>1.06</v>
      </c>
      <c r="F322">
        <v>1</v>
      </c>
      <c r="G322">
        <v>1.0900000000000001</v>
      </c>
      <c r="I322" t="str">
        <f>"21/198"</f>
        <v>21/198</v>
      </c>
      <c r="J322" t="str">
        <f>"11/55"</f>
        <v>11/55</v>
      </c>
      <c r="K322" t="str">
        <f>"18/139"</f>
        <v>18/139</v>
      </c>
    </row>
    <row r="323" spans="3:11" x14ac:dyDescent="0.25">
      <c r="C323" t="s">
        <v>352</v>
      </c>
    </row>
    <row r="325" spans="3:11" x14ac:dyDescent="0.25">
      <c r="C325" t="s">
        <v>17</v>
      </c>
      <c r="F325" t="s">
        <v>356</v>
      </c>
      <c r="J325" t="s">
        <v>13</v>
      </c>
    </row>
    <row r="326" spans="3:11" x14ac:dyDescent="0.25">
      <c r="D326" t="s">
        <v>14</v>
      </c>
      <c r="E326" t="s">
        <v>1</v>
      </c>
      <c r="F326" t="s">
        <v>3</v>
      </c>
      <c r="G326" t="s">
        <v>2</v>
      </c>
      <c r="I326" t="s">
        <v>1</v>
      </c>
      <c r="J326" t="s">
        <v>3</v>
      </c>
      <c r="K326" t="s">
        <v>2</v>
      </c>
    </row>
    <row r="327" spans="3:11" x14ac:dyDescent="0.25">
      <c r="C327" t="s">
        <v>320</v>
      </c>
    </row>
    <row r="329" spans="3:11" x14ac:dyDescent="0.25">
      <c r="C329" t="s">
        <v>18</v>
      </c>
      <c r="F329" t="s">
        <v>356</v>
      </c>
      <c r="J329" t="s">
        <v>13</v>
      </c>
    </row>
    <row r="330" spans="3:11" x14ac:dyDescent="0.25">
      <c r="D330" t="s">
        <v>14</v>
      </c>
      <c r="E330" t="s">
        <v>1</v>
      </c>
      <c r="F330" t="s">
        <v>3</v>
      </c>
      <c r="G330" t="s">
        <v>2</v>
      </c>
      <c r="I330" t="s">
        <v>1</v>
      </c>
      <c r="J330" t="s">
        <v>3</v>
      </c>
      <c r="K330" t="s">
        <v>2</v>
      </c>
    </row>
    <row r="331" spans="3:11" x14ac:dyDescent="0.25">
      <c r="C331" t="s">
        <v>320</v>
      </c>
    </row>
    <row r="333" spans="3:11" x14ac:dyDescent="0.25">
      <c r="C333" t="s">
        <v>36</v>
      </c>
      <c r="F333" t="s">
        <v>356</v>
      </c>
      <c r="J333" t="s">
        <v>13</v>
      </c>
    </row>
    <row r="334" spans="3:11" x14ac:dyDescent="0.25">
      <c r="D334" t="s">
        <v>14</v>
      </c>
      <c r="E334" t="s">
        <v>1</v>
      </c>
      <c r="F334" t="s">
        <v>3</v>
      </c>
      <c r="G334" t="s">
        <v>2</v>
      </c>
      <c r="I334" t="s">
        <v>1</v>
      </c>
      <c r="J334" t="s">
        <v>3</v>
      </c>
      <c r="K334" t="s">
        <v>2</v>
      </c>
    </row>
    <row r="335" spans="3:11" x14ac:dyDescent="0.25">
      <c r="C335" t="s">
        <v>320</v>
      </c>
    </row>
    <row r="339" spans="1:11" x14ac:dyDescent="0.25">
      <c r="A339" t="s">
        <v>4</v>
      </c>
      <c r="B339" t="s">
        <v>414</v>
      </c>
    </row>
    <row r="341" spans="1:11" x14ac:dyDescent="0.25">
      <c r="B341" t="s">
        <v>10</v>
      </c>
      <c r="C341" t="s">
        <v>686</v>
      </c>
    </row>
    <row r="343" spans="1:11" x14ac:dyDescent="0.25">
      <c r="C343" t="s">
        <v>11</v>
      </c>
      <c r="F343" t="s">
        <v>356</v>
      </c>
      <c r="J343" t="s">
        <v>13</v>
      </c>
    </row>
    <row r="344" spans="1:11" x14ac:dyDescent="0.25">
      <c r="D344" t="s">
        <v>14</v>
      </c>
      <c r="E344" t="s">
        <v>1</v>
      </c>
      <c r="F344" t="s">
        <v>3</v>
      </c>
      <c r="G344" t="s">
        <v>2</v>
      </c>
      <c r="I344" t="s">
        <v>1</v>
      </c>
      <c r="J344" t="s">
        <v>3</v>
      </c>
      <c r="K344" t="s">
        <v>2</v>
      </c>
    </row>
    <row r="345" spans="1:11" x14ac:dyDescent="0.25">
      <c r="C345" t="s">
        <v>687</v>
      </c>
      <c r="D345" t="s">
        <v>437</v>
      </c>
      <c r="E345">
        <v>1</v>
      </c>
      <c r="F345">
        <v>1</v>
      </c>
      <c r="G345">
        <v>1</v>
      </c>
      <c r="I345" t="str">
        <f>"85/84"</f>
        <v>85/84</v>
      </c>
      <c r="J345" t="str">
        <f>"50/49"</f>
        <v>50/49</v>
      </c>
      <c r="K345" t="str">
        <f>"24/25"</f>
        <v>24/25</v>
      </c>
    </row>
    <row r="346" spans="1:11" x14ac:dyDescent="0.25">
      <c r="C346" t="s">
        <v>689</v>
      </c>
      <c r="D346" t="s">
        <v>438</v>
      </c>
      <c r="E346">
        <v>1</v>
      </c>
      <c r="F346">
        <v>1</v>
      </c>
      <c r="G346">
        <v>1</v>
      </c>
      <c r="I346" t="str">
        <f>"92/90"</f>
        <v>92/90</v>
      </c>
      <c r="J346" t="str">
        <f>"50/49"</f>
        <v>50/49</v>
      </c>
      <c r="K346" t="str">
        <f>"28/29"</f>
        <v>28/29</v>
      </c>
    </row>
    <row r="347" spans="1:11" x14ac:dyDescent="0.25">
      <c r="C347" t="s">
        <v>764</v>
      </c>
    </row>
    <row r="349" spans="1:11" x14ac:dyDescent="0.25">
      <c r="C349" t="s">
        <v>17</v>
      </c>
      <c r="F349" t="s">
        <v>356</v>
      </c>
      <c r="J349" t="s">
        <v>13</v>
      </c>
    </row>
    <row r="350" spans="1:11" x14ac:dyDescent="0.25">
      <c r="D350" t="s">
        <v>14</v>
      </c>
      <c r="E350" t="s">
        <v>1</v>
      </c>
      <c r="F350" t="s">
        <v>3</v>
      </c>
      <c r="G350" t="s">
        <v>2</v>
      </c>
      <c r="I350" t="s">
        <v>1</v>
      </c>
      <c r="J350" t="s">
        <v>3</v>
      </c>
      <c r="K350" t="s">
        <v>2</v>
      </c>
    </row>
    <row r="351" spans="1:11" x14ac:dyDescent="0.25">
      <c r="C351" t="s">
        <v>687</v>
      </c>
      <c r="D351" t="s">
        <v>335</v>
      </c>
      <c r="E351">
        <v>1</v>
      </c>
      <c r="F351">
        <v>1.38</v>
      </c>
      <c r="G351">
        <v>1</v>
      </c>
      <c r="I351" t="str">
        <f>"13/12"</f>
        <v>13/12</v>
      </c>
      <c r="J351" t="str">
        <f>"13/15"</f>
        <v>13/15</v>
      </c>
      <c r="K351" t="str">
        <f>"24/20"</f>
        <v>24/20</v>
      </c>
    </row>
    <row r="352" spans="1:11" x14ac:dyDescent="0.25">
      <c r="C352" t="s">
        <v>689</v>
      </c>
      <c r="D352" t="s">
        <v>332</v>
      </c>
      <c r="E352">
        <v>1</v>
      </c>
      <c r="F352">
        <v>1.38</v>
      </c>
      <c r="G352">
        <v>1</v>
      </c>
      <c r="I352" t="str">
        <f>"12/11"</f>
        <v>12/11</v>
      </c>
      <c r="J352" t="str">
        <f>"13/15"</f>
        <v>13/15</v>
      </c>
      <c r="K352" t="str">
        <f>"23/19"</f>
        <v>23/19</v>
      </c>
    </row>
    <row r="353" spans="3:11" x14ac:dyDescent="0.25">
      <c r="C353" t="s">
        <v>691</v>
      </c>
      <c r="D353" t="s">
        <v>333</v>
      </c>
      <c r="E353">
        <v>1</v>
      </c>
      <c r="F353">
        <v>1.38</v>
      </c>
      <c r="G353">
        <v>1</v>
      </c>
      <c r="I353" t="str">
        <f>"12/11"</f>
        <v>12/11</v>
      </c>
      <c r="J353" t="str">
        <f>"13/15"</f>
        <v>13/15</v>
      </c>
      <c r="K353" t="str">
        <f>"25/20"</f>
        <v>25/20</v>
      </c>
    </row>
    <row r="354" spans="3:11" x14ac:dyDescent="0.25">
      <c r="C354" t="s">
        <v>693</v>
      </c>
      <c r="D354" t="s">
        <v>336</v>
      </c>
      <c r="E354">
        <v>1</v>
      </c>
      <c r="F354">
        <v>1.38</v>
      </c>
      <c r="G354">
        <v>1</v>
      </c>
      <c r="I354" t="str">
        <f>"13/12"</f>
        <v>13/12</v>
      </c>
      <c r="J354" t="str">
        <f>"13/15"</f>
        <v>13/15</v>
      </c>
      <c r="K354" t="str">
        <f>"24/20"</f>
        <v>24/20</v>
      </c>
    </row>
    <row r="355" spans="3:11" x14ac:dyDescent="0.25">
      <c r="C355" t="s">
        <v>694</v>
      </c>
      <c r="D355" t="s">
        <v>655</v>
      </c>
      <c r="E355">
        <v>1</v>
      </c>
      <c r="F355">
        <v>1</v>
      </c>
      <c r="G355">
        <v>1</v>
      </c>
      <c r="I355" t="str">
        <f>"85/84"</f>
        <v>85/84</v>
      </c>
      <c r="J355" t="str">
        <f>"50/49"</f>
        <v>50/49</v>
      </c>
      <c r="K355" t="str">
        <f>"24/25"</f>
        <v>24/25</v>
      </c>
    </row>
    <row r="356" spans="3:11" x14ac:dyDescent="0.25">
      <c r="C356" t="s">
        <v>765</v>
      </c>
    </row>
    <row r="358" spans="3:11" x14ac:dyDescent="0.25">
      <c r="C358" t="s">
        <v>18</v>
      </c>
      <c r="F358" t="s">
        <v>356</v>
      </c>
      <c r="J358" t="s">
        <v>13</v>
      </c>
    </row>
    <row r="359" spans="3:11" x14ac:dyDescent="0.25">
      <c r="D359" t="s">
        <v>14</v>
      </c>
      <c r="E359" t="s">
        <v>1</v>
      </c>
      <c r="F359" t="s">
        <v>3</v>
      </c>
      <c r="G359" t="s">
        <v>2</v>
      </c>
      <c r="I359" t="s">
        <v>1</v>
      </c>
      <c r="J359" t="s">
        <v>3</v>
      </c>
      <c r="K359" t="s">
        <v>2</v>
      </c>
    </row>
    <row r="360" spans="3:11" x14ac:dyDescent="0.25">
      <c r="C360" t="s">
        <v>687</v>
      </c>
      <c r="D360" t="s">
        <v>439</v>
      </c>
      <c r="E360">
        <v>1</v>
      </c>
      <c r="F360">
        <v>1</v>
      </c>
      <c r="G360">
        <v>1.53</v>
      </c>
      <c r="I360" t="str">
        <f>"54/53"</f>
        <v>54/53</v>
      </c>
      <c r="J360" t="str">
        <f>"17/16"</f>
        <v>17/16</v>
      </c>
      <c r="K360" t="str">
        <f>"16/17"</f>
        <v>16/17</v>
      </c>
    </row>
    <row r="361" spans="3:11" x14ac:dyDescent="0.25">
      <c r="C361" t="s">
        <v>689</v>
      </c>
      <c r="D361" t="s">
        <v>143</v>
      </c>
      <c r="E361">
        <v>1</v>
      </c>
      <c r="F361">
        <v>1</v>
      </c>
      <c r="G361">
        <v>1.26</v>
      </c>
      <c r="I361" t="str">
        <f>"295/393"</f>
        <v>295/393</v>
      </c>
      <c r="J361" t="str">
        <f>"165/206"</f>
        <v>165/206</v>
      </c>
      <c r="K361" t="str">
        <f>"265/413"</f>
        <v>265/413</v>
      </c>
    </row>
    <row r="362" spans="3:11" x14ac:dyDescent="0.25">
      <c r="C362" t="s">
        <v>691</v>
      </c>
      <c r="D362" t="s">
        <v>442</v>
      </c>
      <c r="E362">
        <v>1</v>
      </c>
      <c r="F362">
        <v>1</v>
      </c>
      <c r="G362">
        <v>1.23</v>
      </c>
      <c r="I362" t="str">
        <f>"34/43"</f>
        <v>34/43</v>
      </c>
      <c r="J362" t="str">
        <f>"21/27"</f>
        <v>21/27</v>
      </c>
      <c r="K362" t="str">
        <f>"42/62"</f>
        <v>42/62</v>
      </c>
    </row>
    <row r="363" spans="3:11" x14ac:dyDescent="0.25">
      <c r="C363" t="s">
        <v>693</v>
      </c>
      <c r="D363" t="s">
        <v>766</v>
      </c>
      <c r="E363">
        <v>1</v>
      </c>
      <c r="F363">
        <v>1</v>
      </c>
      <c r="G363">
        <v>1.23</v>
      </c>
      <c r="I363" t="str">
        <f>"34/43"</f>
        <v>34/43</v>
      </c>
      <c r="J363" t="str">
        <f>"21/27"</f>
        <v>21/27</v>
      </c>
      <c r="K363" t="str">
        <f>"42/62"</f>
        <v>42/62</v>
      </c>
    </row>
    <row r="364" spans="3:11" x14ac:dyDescent="0.25">
      <c r="C364" t="s">
        <v>694</v>
      </c>
      <c r="D364" t="s">
        <v>440</v>
      </c>
      <c r="E364">
        <v>1</v>
      </c>
      <c r="F364">
        <v>1</v>
      </c>
      <c r="G364">
        <v>1.23</v>
      </c>
      <c r="I364" t="str">
        <f>"38/51"</f>
        <v>38/51</v>
      </c>
      <c r="J364" t="str">
        <f>"25/31"</f>
        <v>25/31</v>
      </c>
      <c r="K364" t="str">
        <f>"36/53"</f>
        <v>36/53</v>
      </c>
    </row>
    <row r="365" spans="3:11" x14ac:dyDescent="0.25">
      <c r="C365" t="s">
        <v>696</v>
      </c>
      <c r="D365" t="s">
        <v>441</v>
      </c>
      <c r="E365">
        <v>1</v>
      </c>
      <c r="F365">
        <v>1</v>
      </c>
      <c r="G365">
        <v>1.23</v>
      </c>
      <c r="I365" t="str">
        <f>"32/44"</f>
        <v>32/44</v>
      </c>
      <c r="J365" t="str">
        <f>"23/28"</f>
        <v>23/28</v>
      </c>
      <c r="K365" t="str">
        <f>"32/47"</f>
        <v>32/47</v>
      </c>
    </row>
    <row r="366" spans="3:11" x14ac:dyDescent="0.25">
      <c r="C366" t="s">
        <v>697</v>
      </c>
      <c r="D366" t="s">
        <v>444</v>
      </c>
      <c r="E366">
        <v>1</v>
      </c>
      <c r="F366">
        <v>1</v>
      </c>
      <c r="G366">
        <v>1.1499999999999999</v>
      </c>
      <c r="I366" t="str">
        <f>"180/277"</f>
        <v>180/277</v>
      </c>
      <c r="J366" t="str">
        <f>"82/102"</f>
        <v>82/102</v>
      </c>
      <c r="K366" t="str">
        <f>"169/283"</f>
        <v>169/283</v>
      </c>
    </row>
    <row r="367" spans="3:11" x14ac:dyDescent="0.25">
      <c r="C367" t="s">
        <v>698</v>
      </c>
      <c r="D367" t="s">
        <v>443</v>
      </c>
      <c r="E367">
        <v>1</v>
      </c>
      <c r="F367">
        <v>1</v>
      </c>
      <c r="G367">
        <v>1.1399999999999999</v>
      </c>
      <c r="I367" t="str">
        <f>"25/32"</f>
        <v>25/32</v>
      </c>
      <c r="J367" t="str">
        <f>"18/22"</f>
        <v>18/22</v>
      </c>
      <c r="K367" t="str">
        <f>"19/30"</f>
        <v>19/30</v>
      </c>
    </row>
    <row r="368" spans="3:11" x14ac:dyDescent="0.25">
      <c r="C368" t="s">
        <v>699</v>
      </c>
      <c r="D368" t="s">
        <v>216</v>
      </c>
      <c r="E368">
        <v>1</v>
      </c>
      <c r="F368">
        <v>1</v>
      </c>
      <c r="G368">
        <v>1.1399999999999999</v>
      </c>
      <c r="I368" t="str">
        <f>"166/264"</f>
        <v>166/264</v>
      </c>
      <c r="J368" t="str">
        <f>"68/89"</f>
        <v>68/89</v>
      </c>
      <c r="K368" t="str">
        <f>"152/260"</f>
        <v>152/260</v>
      </c>
    </row>
    <row r="369" spans="2:11" x14ac:dyDescent="0.25">
      <c r="C369" t="s">
        <v>700</v>
      </c>
      <c r="D369" t="s">
        <v>230</v>
      </c>
      <c r="E369">
        <v>1</v>
      </c>
      <c r="F369">
        <v>1</v>
      </c>
      <c r="G369">
        <v>1.1399999999999999</v>
      </c>
      <c r="I369" t="str">
        <f>"166/264"</f>
        <v>166/264</v>
      </c>
      <c r="J369" t="str">
        <f>"69/90"</f>
        <v>69/90</v>
      </c>
      <c r="K369" t="str">
        <f>"152/260"</f>
        <v>152/260</v>
      </c>
    </row>
    <row r="370" spans="2:11" x14ac:dyDescent="0.25">
      <c r="C370" t="s">
        <v>701</v>
      </c>
      <c r="D370" t="s">
        <v>445</v>
      </c>
      <c r="E370">
        <v>1</v>
      </c>
      <c r="F370">
        <v>1</v>
      </c>
      <c r="G370">
        <v>1.07</v>
      </c>
      <c r="I370" t="str">
        <f>"110/140"</f>
        <v>110/140</v>
      </c>
      <c r="J370" t="str">
        <f>"98/143"</f>
        <v>98/143</v>
      </c>
      <c r="K370" t="str">
        <f>"112/120"</f>
        <v>112/120</v>
      </c>
    </row>
    <row r="371" spans="2:11" x14ac:dyDescent="0.25">
      <c r="C371" t="s">
        <v>767</v>
      </c>
    </row>
    <row r="373" spans="2:11" x14ac:dyDescent="0.25">
      <c r="C373" t="s">
        <v>36</v>
      </c>
      <c r="F373" t="s">
        <v>356</v>
      </c>
      <c r="J373" t="s">
        <v>13</v>
      </c>
    </row>
    <row r="374" spans="2:11" x14ac:dyDescent="0.25">
      <c r="D374" t="s">
        <v>14</v>
      </c>
      <c r="E374" t="s">
        <v>1</v>
      </c>
      <c r="F374" t="s">
        <v>3</v>
      </c>
      <c r="G374" t="s">
        <v>2</v>
      </c>
      <c r="I374" t="s">
        <v>1</v>
      </c>
      <c r="J374" t="s">
        <v>3</v>
      </c>
      <c r="K374" t="s">
        <v>2</v>
      </c>
    </row>
    <row r="375" spans="2:11" x14ac:dyDescent="0.25">
      <c r="C375" t="s">
        <v>687</v>
      </c>
      <c r="D375" t="s">
        <v>447</v>
      </c>
      <c r="E375">
        <v>1.06</v>
      </c>
      <c r="F375">
        <v>1</v>
      </c>
      <c r="G375">
        <v>1</v>
      </c>
      <c r="I375" t="str">
        <f>"137/257"</f>
        <v>137/257</v>
      </c>
      <c r="J375" t="str">
        <f>"77/76"</f>
        <v>77/76</v>
      </c>
      <c r="K375" t="str">
        <f>"126/125"</f>
        <v>126/125</v>
      </c>
    </row>
    <row r="376" spans="2:11" x14ac:dyDescent="0.25">
      <c r="C376" t="s">
        <v>689</v>
      </c>
      <c r="D376" t="s">
        <v>32</v>
      </c>
      <c r="E376">
        <v>1.04</v>
      </c>
      <c r="F376">
        <v>1</v>
      </c>
      <c r="G376">
        <v>1</v>
      </c>
      <c r="I376" t="str">
        <f>"72/137"</f>
        <v>72/137</v>
      </c>
      <c r="J376" t="str">
        <f>"46/45"</f>
        <v>46/45</v>
      </c>
      <c r="K376" t="str">
        <f>"71/70"</f>
        <v>71/70</v>
      </c>
    </row>
    <row r="377" spans="2:11" x14ac:dyDescent="0.25">
      <c r="C377" t="s">
        <v>691</v>
      </c>
      <c r="D377" t="s">
        <v>285</v>
      </c>
      <c r="E377">
        <v>1.02</v>
      </c>
      <c r="F377">
        <v>1</v>
      </c>
      <c r="G377">
        <v>1</v>
      </c>
      <c r="I377" t="str">
        <f>"169/284"</f>
        <v>169/284</v>
      </c>
      <c r="J377" t="str">
        <f>"104/102"</f>
        <v>104/102</v>
      </c>
      <c r="K377" t="str">
        <f>"130/127"</f>
        <v>130/127</v>
      </c>
    </row>
    <row r="378" spans="2:11" x14ac:dyDescent="0.25">
      <c r="C378" t="s">
        <v>693</v>
      </c>
      <c r="D378" t="s">
        <v>286</v>
      </c>
      <c r="E378">
        <v>1.02</v>
      </c>
      <c r="F378">
        <v>1</v>
      </c>
      <c r="G378">
        <v>1</v>
      </c>
      <c r="I378" t="str">
        <f>"169/284"</f>
        <v>169/284</v>
      </c>
      <c r="J378" t="str">
        <f>"104/102"</f>
        <v>104/102</v>
      </c>
      <c r="K378" t="str">
        <f>"130/127"</f>
        <v>130/127</v>
      </c>
    </row>
    <row r="379" spans="2:11" x14ac:dyDescent="0.25">
      <c r="C379" t="s">
        <v>768</v>
      </c>
    </row>
    <row r="381" spans="2:11" x14ac:dyDescent="0.25">
      <c r="B381" t="s">
        <v>37</v>
      </c>
      <c r="C381" t="s">
        <v>338</v>
      </c>
    </row>
    <row r="383" spans="2:11" x14ac:dyDescent="0.25">
      <c r="C383" t="s">
        <v>11</v>
      </c>
      <c r="F383" t="s">
        <v>356</v>
      </c>
      <c r="J383" t="s">
        <v>13</v>
      </c>
    </row>
    <row r="384" spans="2:11" x14ac:dyDescent="0.25">
      <c r="D384" t="s">
        <v>14</v>
      </c>
      <c r="E384" t="s">
        <v>1</v>
      </c>
      <c r="F384" t="s">
        <v>3</v>
      </c>
      <c r="G384" t="s">
        <v>2</v>
      </c>
      <c r="I384" t="s">
        <v>1</v>
      </c>
      <c r="J384" t="s">
        <v>3</v>
      </c>
      <c r="K384" t="s">
        <v>2</v>
      </c>
    </row>
    <row r="385" spans="2:11" x14ac:dyDescent="0.25">
      <c r="C385" t="s">
        <v>320</v>
      </c>
    </row>
    <row r="387" spans="2:11" x14ac:dyDescent="0.25">
      <c r="C387" t="s">
        <v>17</v>
      </c>
      <c r="F387" t="s">
        <v>356</v>
      </c>
      <c r="J387" t="s">
        <v>13</v>
      </c>
    </row>
    <row r="388" spans="2:11" x14ac:dyDescent="0.25">
      <c r="D388" t="s">
        <v>14</v>
      </c>
      <c r="E388" t="s">
        <v>1</v>
      </c>
      <c r="F388" t="s">
        <v>3</v>
      </c>
      <c r="G388" t="s">
        <v>2</v>
      </c>
      <c r="I388" t="s">
        <v>1</v>
      </c>
      <c r="J388" t="s">
        <v>3</v>
      </c>
      <c r="K388" t="s">
        <v>2</v>
      </c>
    </row>
    <row r="389" spans="2:11" x14ac:dyDescent="0.25">
      <c r="C389" t="s">
        <v>320</v>
      </c>
    </row>
    <row r="391" spans="2:11" x14ac:dyDescent="0.25">
      <c r="C391" t="s">
        <v>18</v>
      </c>
      <c r="F391" t="s">
        <v>356</v>
      </c>
      <c r="J391" t="s">
        <v>13</v>
      </c>
    </row>
    <row r="392" spans="2:11" x14ac:dyDescent="0.25">
      <c r="D392" t="s">
        <v>14</v>
      </c>
      <c r="E392" t="s">
        <v>1</v>
      </c>
      <c r="F392" t="s">
        <v>3</v>
      </c>
      <c r="G392" t="s">
        <v>2</v>
      </c>
      <c r="I392" t="s">
        <v>1</v>
      </c>
      <c r="J392" t="s">
        <v>3</v>
      </c>
      <c r="K392" t="s">
        <v>2</v>
      </c>
    </row>
    <row r="393" spans="2:11" x14ac:dyDescent="0.25">
      <c r="C393" t="s">
        <v>320</v>
      </c>
    </row>
    <row r="395" spans="2:11" x14ac:dyDescent="0.25">
      <c r="C395" t="s">
        <v>36</v>
      </c>
      <c r="F395" t="s">
        <v>356</v>
      </c>
      <c r="J395" t="s">
        <v>13</v>
      </c>
    </row>
    <row r="396" spans="2:11" x14ac:dyDescent="0.25">
      <c r="D396" t="s">
        <v>14</v>
      </c>
      <c r="E396" t="s">
        <v>1</v>
      </c>
      <c r="F396" t="s">
        <v>3</v>
      </c>
      <c r="G396" t="s">
        <v>2</v>
      </c>
      <c r="I396" t="s">
        <v>1</v>
      </c>
      <c r="J396" t="s">
        <v>3</v>
      </c>
      <c r="K396" t="s">
        <v>2</v>
      </c>
    </row>
    <row r="397" spans="2:11" x14ac:dyDescent="0.25">
      <c r="C397" t="s">
        <v>320</v>
      </c>
    </row>
    <row r="399" spans="2:11" x14ac:dyDescent="0.25">
      <c r="B399" t="s">
        <v>38</v>
      </c>
      <c r="C399" t="s">
        <v>339</v>
      </c>
    </row>
    <row r="401" spans="3:11" x14ac:dyDescent="0.25">
      <c r="C401" t="s">
        <v>11</v>
      </c>
      <c r="F401" t="s">
        <v>356</v>
      </c>
      <c r="J401" t="s">
        <v>13</v>
      </c>
    </row>
    <row r="402" spans="3:11" x14ac:dyDescent="0.25">
      <c r="D402" t="s">
        <v>14</v>
      </c>
      <c r="E402" t="s">
        <v>1</v>
      </c>
      <c r="F402" t="s">
        <v>3</v>
      </c>
      <c r="G402" t="s">
        <v>2</v>
      </c>
      <c r="I402" t="s">
        <v>1</v>
      </c>
      <c r="J402" t="s">
        <v>3</v>
      </c>
      <c r="K402" t="s">
        <v>2</v>
      </c>
    </row>
    <row r="403" spans="3:11" x14ac:dyDescent="0.25">
      <c r="C403" t="s">
        <v>320</v>
      </c>
    </row>
    <row r="405" spans="3:11" x14ac:dyDescent="0.25">
      <c r="C405" t="s">
        <v>17</v>
      </c>
      <c r="F405" t="s">
        <v>356</v>
      </c>
      <c r="J405" t="s">
        <v>13</v>
      </c>
    </row>
    <row r="406" spans="3:11" x14ac:dyDescent="0.25">
      <c r="D406" t="s">
        <v>14</v>
      </c>
      <c r="E406" t="s">
        <v>1</v>
      </c>
      <c r="F406" t="s">
        <v>3</v>
      </c>
      <c r="G406" t="s">
        <v>2</v>
      </c>
      <c r="I406" t="s">
        <v>1</v>
      </c>
      <c r="J406" t="s">
        <v>3</v>
      </c>
      <c r="K406" t="s">
        <v>2</v>
      </c>
    </row>
    <row r="407" spans="3:11" x14ac:dyDescent="0.25">
      <c r="C407" t="s">
        <v>320</v>
      </c>
    </row>
    <row r="409" spans="3:11" x14ac:dyDescent="0.25">
      <c r="C409" t="s">
        <v>18</v>
      </c>
      <c r="F409" t="s">
        <v>356</v>
      </c>
      <c r="J409" t="s">
        <v>13</v>
      </c>
    </row>
    <row r="410" spans="3:11" x14ac:dyDescent="0.25">
      <c r="D410" t="s">
        <v>14</v>
      </c>
      <c r="E410" t="s">
        <v>1</v>
      </c>
      <c r="F410" t="s">
        <v>3</v>
      </c>
      <c r="G410" t="s">
        <v>2</v>
      </c>
      <c r="I410" t="s">
        <v>1</v>
      </c>
      <c r="J410" t="s">
        <v>3</v>
      </c>
      <c r="K410" t="s">
        <v>2</v>
      </c>
    </row>
    <row r="411" spans="3:11" x14ac:dyDescent="0.25">
      <c r="C411" t="s">
        <v>320</v>
      </c>
    </row>
    <row r="413" spans="3:11" x14ac:dyDescent="0.25">
      <c r="C413" t="s">
        <v>36</v>
      </c>
      <c r="F413" t="s">
        <v>356</v>
      </c>
      <c r="J413" t="s">
        <v>13</v>
      </c>
    </row>
    <row r="414" spans="3:11" x14ac:dyDescent="0.25">
      <c r="D414" t="s">
        <v>14</v>
      </c>
      <c r="E414" t="s">
        <v>1</v>
      </c>
      <c r="F414" t="s">
        <v>3</v>
      </c>
      <c r="G414" t="s">
        <v>2</v>
      </c>
      <c r="I414" t="s">
        <v>1</v>
      </c>
      <c r="J414" t="s">
        <v>3</v>
      </c>
      <c r="K414" t="s">
        <v>2</v>
      </c>
    </row>
    <row r="415" spans="3:11" x14ac:dyDescent="0.25">
      <c r="C415" t="s">
        <v>320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6"/>
  <sheetViews>
    <sheetView workbookViewId="0">
      <selection activeCell="B13" sqref="B13"/>
    </sheetView>
  </sheetViews>
  <sheetFormatPr defaultRowHeight="15" x14ac:dyDescent="0.25"/>
  <cols>
    <col min="1" max="1" width="6.5703125" bestFit="1" customWidth="1"/>
    <col min="2" max="2" width="20.5703125" bestFit="1" customWidth="1"/>
    <col min="3" max="3" width="20.28515625" customWidth="1"/>
    <col min="4" max="4" width="72.7109375" customWidth="1"/>
    <col min="5" max="5" width="7" bestFit="1" customWidth="1"/>
    <col min="6" max="6" width="12.140625" bestFit="1" customWidth="1"/>
    <col min="7" max="7" width="7" bestFit="1" customWidth="1"/>
    <col min="9" max="9" width="9.85546875" bestFit="1" customWidth="1"/>
    <col min="10" max="10" width="14.7109375" bestFit="1" customWidth="1"/>
    <col min="11" max="11" width="9.85546875" bestFit="1" customWidth="1"/>
  </cols>
  <sheetData>
    <row r="1" spans="1:11" x14ac:dyDescent="0.25">
      <c r="A1" t="s">
        <v>0</v>
      </c>
      <c r="B1" t="s">
        <v>604</v>
      </c>
    </row>
    <row r="3" spans="1:11" x14ac:dyDescent="0.25">
      <c r="B3" t="s">
        <v>10</v>
      </c>
      <c r="C3" t="s">
        <v>177</v>
      </c>
    </row>
    <row r="5" spans="1:11" x14ac:dyDescent="0.25">
      <c r="C5" t="s">
        <v>11</v>
      </c>
      <c r="F5" t="s">
        <v>605</v>
      </c>
      <c r="J5" t="s">
        <v>13</v>
      </c>
    </row>
    <row r="6" spans="1:11" x14ac:dyDescent="0.25">
      <c r="D6" t="s">
        <v>14</v>
      </c>
      <c r="E6" t="s">
        <v>1</v>
      </c>
      <c r="F6" t="s">
        <v>3</v>
      </c>
      <c r="G6" t="s">
        <v>2</v>
      </c>
      <c r="I6" t="s">
        <v>1</v>
      </c>
      <c r="J6" t="s">
        <v>3</v>
      </c>
      <c r="K6" t="s">
        <v>2</v>
      </c>
    </row>
    <row r="7" spans="1:11" x14ac:dyDescent="0.25">
      <c r="C7" t="s">
        <v>178</v>
      </c>
      <c r="D7" t="s">
        <v>547</v>
      </c>
      <c r="E7">
        <v>322.08</v>
      </c>
      <c r="F7">
        <v>393.23</v>
      </c>
      <c r="G7">
        <v>436.86</v>
      </c>
      <c r="I7" t="str">
        <f>"12/13"</f>
        <v>12/13</v>
      </c>
      <c r="J7" t="str">
        <f>"13/16"</f>
        <v>13/16</v>
      </c>
      <c r="K7" t="str">
        <f>"21/13"</f>
        <v>21/13</v>
      </c>
    </row>
    <row r="8" spans="1:11" x14ac:dyDescent="0.25">
      <c r="C8" t="s">
        <v>179</v>
      </c>
      <c r="D8" t="s">
        <v>432</v>
      </c>
      <c r="E8">
        <v>263</v>
      </c>
      <c r="F8">
        <v>389.07</v>
      </c>
      <c r="G8">
        <v>434.27</v>
      </c>
      <c r="I8" t="str">
        <f>"19/15"</f>
        <v>19/15</v>
      </c>
      <c r="J8" t="str">
        <f>"15/10"</f>
        <v>15/10</v>
      </c>
      <c r="K8" t="str">
        <f>"15/12"</f>
        <v>15/12</v>
      </c>
    </row>
    <row r="9" spans="1:11" x14ac:dyDescent="0.25">
      <c r="C9" t="s">
        <v>180</v>
      </c>
      <c r="D9" t="s">
        <v>431</v>
      </c>
      <c r="E9">
        <v>259.79000000000002</v>
      </c>
      <c r="F9">
        <v>389.07</v>
      </c>
      <c r="G9">
        <v>432.87</v>
      </c>
      <c r="I9" t="str">
        <f>"19/15"</f>
        <v>19/15</v>
      </c>
      <c r="J9" t="str">
        <f>"15/10"</f>
        <v>15/10</v>
      </c>
      <c r="K9" t="str">
        <f>"15/12"</f>
        <v>15/12</v>
      </c>
    </row>
    <row r="10" spans="1:11" x14ac:dyDescent="0.25">
      <c r="C10" t="s">
        <v>181</v>
      </c>
      <c r="D10" t="s">
        <v>420</v>
      </c>
      <c r="E10">
        <v>254.56</v>
      </c>
      <c r="F10">
        <v>321.86</v>
      </c>
      <c r="G10">
        <v>497.85</v>
      </c>
      <c r="I10" t="str">
        <f>"18/19"</f>
        <v>18/19</v>
      </c>
      <c r="J10" t="str">
        <f>"22/33"</f>
        <v>22/33</v>
      </c>
      <c r="K10" t="str">
        <f>"13/13"</f>
        <v>13/13</v>
      </c>
    </row>
    <row r="11" spans="1:11" x14ac:dyDescent="0.25">
      <c r="C11" t="s">
        <v>182</v>
      </c>
      <c r="D11" t="s">
        <v>606</v>
      </c>
      <c r="E11">
        <v>264.73</v>
      </c>
      <c r="F11">
        <v>352.6</v>
      </c>
      <c r="G11">
        <v>364.38</v>
      </c>
      <c r="I11" t="str">
        <f>"15/27"</f>
        <v>15/27</v>
      </c>
      <c r="J11" t="str">
        <f>"10/13"</f>
        <v>10/13</v>
      </c>
      <c r="K11" t="str">
        <f>"13/12"</f>
        <v>13/12</v>
      </c>
    </row>
    <row r="12" spans="1:11" x14ac:dyDescent="0.25">
      <c r="C12" t="s">
        <v>183</v>
      </c>
      <c r="D12" t="s">
        <v>546</v>
      </c>
      <c r="E12">
        <v>216.75</v>
      </c>
      <c r="F12">
        <v>309.41000000000003</v>
      </c>
      <c r="G12">
        <v>394</v>
      </c>
      <c r="I12" t="str">
        <f>"20/22"</f>
        <v>20/22</v>
      </c>
      <c r="J12" t="str">
        <f>"22/26"</f>
        <v>22/26</v>
      </c>
      <c r="K12" t="str">
        <f>"21/14"</f>
        <v>21/14</v>
      </c>
    </row>
    <row r="13" spans="1:11" x14ac:dyDescent="0.25">
      <c r="C13" t="s">
        <v>184</v>
      </c>
      <c r="D13" t="s">
        <v>537</v>
      </c>
      <c r="E13">
        <v>214.82</v>
      </c>
      <c r="F13">
        <v>383</v>
      </c>
      <c r="G13">
        <v>310.95999999999998</v>
      </c>
      <c r="I13" t="str">
        <f>"17/20"</f>
        <v>17/20</v>
      </c>
      <c r="J13" t="str">
        <f>"13/14"</f>
        <v>13/14</v>
      </c>
      <c r="K13" t="str">
        <f>"25/22"</f>
        <v>25/22</v>
      </c>
    </row>
    <row r="14" spans="1:11" x14ac:dyDescent="0.25">
      <c r="C14" t="s">
        <v>769</v>
      </c>
    </row>
    <row r="16" spans="1:11" x14ac:dyDescent="0.25">
      <c r="C16" t="s">
        <v>17</v>
      </c>
      <c r="F16" t="s">
        <v>605</v>
      </c>
      <c r="J16" t="s">
        <v>13</v>
      </c>
    </row>
    <row r="17" spans="3:11" x14ac:dyDescent="0.25">
      <c r="D17" t="s">
        <v>14</v>
      </c>
      <c r="E17" t="s">
        <v>1</v>
      </c>
      <c r="F17" t="s">
        <v>3</v>
      </c>
      <c r="G17" t="s">
        <v>2</v>
      </c>
      <c r="I17" t="s">
        <v>1</v>
      </c>
      <c r="J17" t="s">
        <v>3</v>
      </c>
      <c r="K17" t="s">
        <v>2</v>
      </c>
    </row>
    <row r="18" spans="3:11" x14ac:dyDescent="0.25">
      <c r="C18" t="s">
        <v>178</v>
      </c>
      <c r="D18" t="s">
        <v>266</v>
      </c>
      <c r="E18">
        <v>200.58</v>
      </c>
      <c r="F18">
        <v>277.91000000000003</v>
      </c>
      <c r="G18">
        <v>475.8</v>
      </c>
      <c r="I18" t="str">
        <f>"12/31"</f>
        <v>12/31</v>
      </c>
      <c r="J18" t="str">
        <f>"11/20"</f>
        <v>11/20</v>
      </c>
      <c r="K18" t="str">
        <f>"10/11"</f>
        <v>10/11</v>
      </c>
    </row>
    <row r="19" spans="3:11" x14ac:dyDescent="0.25">
      <c r="C19" t="s">
        <v>179</v>
      </c>
      <c r="D19" t="s">
        <v>264</v>
      </c>
      <c r="E19">
        <v>196.83</v>
      </c>
      <c r="F19">
        <v>277.91000000000003</v>
      </c>
      <c r="G19">
        <v>475.8</v>
      </c>
      <c r="I19" t="str">
        <f>"12/31"</f>
        <v>12/31</v>
      </c>
      <c r="J19" t="str">
        <f>"11/20"</f>
        <v>11/20</v>
      </c>
      <c r="K19" t="str">
        <f>"10/11"</f>
        <v>10/11</v>
      </c>
    </row>
    <row r="20" spans="3:11" x14ac:dyDescent="0.25">
      <c r="C20" t="s">
        <v>180</v>
      </c>
      <c r="D20" t="s">
        <v>607</v>
      </c>
      <c r="E20">
        <v>196.83</v>
      </c>
      <c r="F20">
        <v>277.91000000000003</v>
      </c>
      <c r="G20">
        <v>475.8</v>
      </c>
      <c r="I20" t="str">
        <f>"12/31"</f>
        <v>12/31</v>
      </c>
      <c r="J20" t="str">
        <f>"11/20"</f>
        <v>11/20</v>
      </c>
      <c r="K20" t="str">
        <f>"10/11"</f>
        <v>10/11</v>
      </c>
    </row>
    <row r="21" spans="3:11" x14ac:dyDescent="0.25">
      <c r="C21" t="s">
        <v>181</v>
      </c>
      <c r="D21" t="s">
        <v>608</v>
      </c>
      <c r="E21">
        <v>270.70999999999998</v>
      </c>
      <c r="F21">
        <v>245.35</v>
      </c>
      <c r="G21">
        <v>364.74</v>
      </c>
      <c r="I21" t="str">
        <f>"14/10"</f>
        <v>14/10</v>
      </c>
      <c r="J21" t="str">
        <f>"23/32"</f>
        <v>23/32</v>
      </c>
      <c r="K21" t="str">
        <f>"23/34"</f>
        <v>23/34</v>
      </c>
    </row>
    <row r="22" spans="3:11" x14ac:dyDescent="0.25">
      <c r="C22" t="s">
        <v>182</v>
      </c>
      <c r="D22" t="s">
        <v>609</v>
      </c>
      <c r="E22">
        <v>184.9</v>
      </c>
      <c r="F22">
        <v>237.5</v>
      </c>
      <c r="G22">
        <v>358.22</v>
      </c>
      <c r="I22" t="str">
        <f>"20/37"</f>
        <v>20/37</v>
      </c>
      <c r="J22" t="str">
        <f>"18/24"</f>
        <v>18/24</v>
      </c>
      <c r="K22" t="str">
        <f>"18/22"</f>
        <v>18/22</v>
      </c>
    </row>
    <row r="23" spans="3:11" x14ac:dyDescent="0.25">
      <c r="C23" t="s">
        <v>183</v>
      </c>
      <c r="D23" t="s">
        <v>610</v>
      </c>
      <c r="E23">
        <v>184.9</v>
      </c>
      <c r="F23">
        <v>237.5</v>
      </c>
      <c r="G23">
        <v>358.22</v>
      </c>
      <c r="I23" t="str">
        <f>"20/37"</f>
        <v>20/37</v>
      </c>
      <c r="J23" t="str">
        <f>"18/24"</f>
        <v>18/24</v>
      </c>
      <c r="K23" t="str">
        <f>"18/22"</f>
        <v>18/22</v>
      </c>
    </row>
    <row r="24" spans="3:11" x14ac:dyDescent="0.25">
      <c r="C24" t="s">
        <v>184</v>
      </c>
      <c r="D24" t="s">
        <v>611</v>
      </c>
      <c r="E24">
        <v>184.9</v>
      </c>
      <c r="F24">
        <v>237.5</v>
      </c>
      <c r="G24">
        <v>358.22</v>
      </c>
      <c r="I24" t="str">
        <f>"20/37"</f>
        <v>20/37</v>
      </c>
      <c r="J24" t="str">
        <f>"18/24"</f>
        <v>18/24</v>
      </c>
      <c r="K24" t="str">
        <f>"18/22"</f>
        <v>18/22</v>
      </c>
    </row>
    <row r="25" spans="3:11" x14ac:dyDescent="0.25">
      <c r="C25" t="s">
        <v>185</v>
      </c>
      <c r="D25" t="s">
        <v>612</v>
      </c>
      <c r="E25">
        <v>184.9</v>
      </c>
      <c r="F25">
        <v>237.5</v>
      </c>
      <c r="G25">
        <v>358.22</v>
      </c>
      <c r="I25" t="str">
        <f>"20/37"</f>
        <v>20/37</v>
      </c>
      <c r="J25" t="str">
        <f>"18/24"</f>
        <v>18/24</v>
      </c>
      <c r="K25" t="str">
        <f>"18/22"</f>
        <v>18/22</v>
      </c>
    </row>
    <row r="26" spans="3:11" x14ac:dyDescent="0.25">
      <c r="C26" t="s">
        <v>770</v>
      </c>
    </row>
    <row r="28" spans="3:11" x14ac:dyDescent="0.25">
      <c r="C28" t="s">
        <v>18</v>
      </c>
      <c r="F28" t="s">
        <v>605</v>
      </c>
      <c r="J28" t="s">
        <v>13</v>
      </c>
    </row>
    <row r="29" spans="3:11" x14ac:dyDescent="0.25">
      <c r="D29" t="s">
        <v>14</v>
      </c>
      <c r="E29" t="s">
        <v>1</v>
      </c>
      <c r="F29" t="s">
        <v>3</v>
      </c>
      <c r="G29" t="s">
        <v>2</v>
      </c>
      <c r="I29" t="s">
        <v>1</v>
      </c>
      <c r="J29" t="s">
        <v>3</v>
      </c>
      <c r="K29" t="s">
        <v>2</v>
      </c>
    </row>
    <row r="30" spans="3:11" x14ac:dyDescent="0.25">
      <c r="C30" t="s">
        <v>178</v>
      </c>
      <c r="D30" t="s">
        <v>540</v>
      </c>
      <c r="E30">
        <v>261</v>
      </c>
      <c r="F30">
        <v>423.88</v>
      </c>
      <c r="G30">
        <v>261.58</v>
      </c>
      <c r="I30" t="str">
        <f>"21/20"</f>
        <v>21/20</v>
      </c>
      <c r="J30" t="str">
        <f>"17/11"</f>
        <v>17/11</v>
      </c>
      <c r="K30" t="str">
        <f>"31/22"</f>
        <v>31/22</v>
      </c>
    </row>
    <row r="31" spans="3:11" x14ac:dyDescent="0.25">
      <c r="C31" t="s">
        <v>179</v>
      </c>
      <c r="D31" t="s">
        <v>554</v>
      </c>
      <c r="E31">
        <v>246.4</v>
      </c>
      <c r="F31">
        <v>417.77</v>
      </c>
      <c r="G31">
        <v>238.14</v>
      </c>
      <c r="I31" t="str">
        <f>"15/15"</f>
        <v>15/15</v>
      </c>
      <c r="J31" t="str">
        <f>"13/13"</f>
        <v>13/13</v>
      </c>
      <c r="K31" t="str">
        <f>"35/45"</f>
        <v>35/45</v>
      </c>
    </row>
    <row r="32" spans="3:11" x14ac:dyDescent="0.25">
      <c r="C32" t="s">
        <v>180</v>
      </c>
      <c r="D32" t="s">
        <v>555</v>
      </c>
      <c r="E32">
        <v>246.4</v>
      </c>
      <c r="F32">
        <v>417.77</v>
      </c>
      <c r="G32">
        <v>238.14</v>
      </c>
      <c r="I32" t="str">
        <f>"15/15"</f>
        <v>15/15</v>
      </c>
      <c r="J32" t="str">
        <f>"13/13"</f>
        <v>13/13</v>
      </c>
      <c r="K32" t="str">
        <f>"35/45"</f>
        <v>35/45</v>
      </c>
    </row>
    <row r="33" spans="3:11" x14ac:dyDescent="0.25">
      <c r="C33" t="s">
        <v>181</v>
      </c>
      <c r="D33" t="s">
        <v>613</v>
      </c>
      <c r="E33">
        <v>322.73</v>
      </c>
      <c r="F33">
        <v>301.35000000000002</v>
      </c>
      <c r="G33">
        <v>273.14</v>
      </c>
      <c r="I33" t="str">
        <f>"11/11"</f>
        <v>11/11</v>
      </c>
      <c r="J33" t="str">
        <f>"17/23"</f>
        <v>17/23</v>
      </c>
      <c r="K33" t="str">
        <f>"29/32"</f>
        <v>29/32</v>
      </c>
    </row>
    <row r="34" spans="3:11" x14ac:dyDescent="0.25">
      <c r="C34" t="s">
        <v>182</v>
      </c>
      <c r="D34" t="s">
        <v>614</v>
      </c>
      <c r="E34">
        <v>322.73</v>
      </c>
      <c r="F34">
        <v>301.35000000000002</v>
      </c>
      <c r="G34">
        <v>273.14</v>
      </c>
      <c r="I34" t="str">
        <f>"11/11"</f>
        <v>11/11</v>
      </c>
      <c r="J34" t="str">
        <f>"17/23"</f>
        <v>17/23</v>
      </c>
      <c r="K34" t="str">
        <f>"29/32"</f>
        <v>29/32</v>
      </c>
    </row>
    <row r="35" spans="3:11" x14ac:dyDescent="0.25">
      <c r="C35" t="s">
        <v>183</v>
      </c>
      <c r="D35" t="s">
        <v>567</v>
      </c>
      <c r="E35">
        <v>266.8</v>
      </c>
      <c r="F35">
        <v>356.48</v>
      </c>
      <c r="G35">
        <v>266.92</v>
      </c>
      <c r="I35" t="str">
        <f>"15/10"</f>
        <v>15/10</v>
      </c>
      <c r="J35" t="str">
        <f>"21/21"</f>
        <v>21/21</v>
      </c>
      <c r="K35" t="str">
        <f>"38/46"</f>
        <v>38/46</v>
      </c>
    </row>
    <row r="36" spans="3:11" x14ac:dyDescent="0.25">
      <c r="C36" t="s">
        <v>184</v>
      </c>
      <c r="D36" t="s">
        <v>568</v>
      </c>
      <c r="E36">
        <v>266.57</v>
      </c>
      <c r="F36">
        <v>337.9</v>
      </c>
      <c r="G36">
        <v>284.79000000000002</v>
      </c>
      <c r="I36" t="str">
        <f>"14/16"</f>
        <v>14/16</v>
      </c>
      <c r="J36" t="str">
        <f>"21/15"</f>
        <v>21/15</v>
      </c>
      <c r="K36" t="str">
        <f>"28/35"</f>
        <v>28/35</v>
      </c>
    </row>
    <row r="37" spans="3:11" x14ac:dyDescent="0.25">
      <c r="C37" t="s">
        <v>185</v>
      </c>
      <c r="D37" t="s">
        <v>566</v>
      </c>
      <c r="E37">
        <v>241.12</v>
      </c>
      <c r="F37">
        <v>354.64</v>
      </c>
      <c r="G37">
        <v>291.79000000000002</v>
      </c>
      <c r="I37" t="str">
        <f>"17/20"</f>
        <v>17/20</v>
      </c>
      <c r="J37" t="str">
        <f>"22/16"</f>
        <v>22/16</v>
      </c>
      <c r="K37" t="str">
        <f>"29/37"</f>
        <v>29/37</v>
      </c>
    </row>
    <row r="38" spans="3:11" x14ac:dyDescent="0.25">
      <c r="C38" t="s">
        <v>186</v>
      </c>
      <c r="D38" t="s">
        <v>615</v>
      </c>
      <c r="E38">
        <v>253.94</v>
      </c>
      <c r="F38">
        <v>375.4</v>
      </c>
      <c r="G38">
        <v>227.89</v>
      </c>
      <c r="I38" t="str">
        <f>"16/16"</f>
        <v>16/16</v>
      </c>
      <c r="J38" t="str">
        <f>"15/15"</f>
        <v>15/15</v>
      </c>
      <c r="K38" t="str">
        <f>"38/47"</f>
        <v>38/47</v>
      </c>
    </row>
    <row r="39" spans="3:11" x14ac:dyDescent="0.25">
      <c r="C39" t="s">
        <v>187</v>
      </c>
      <c r="D39" t="s">
        <v>43</v>
      </c>
      <c r="E39">
        <v>293.72000000000003</v>
      </c>
      <c r="F39">
        <v>336.71</v>
      </c>
      <c r="G39">
        <v>182.47</v>
      </c>
      <c r="I39" t="str">
        <f>"18/16"</f>
        <v>18/16</v>
      </c>
      <c r="J39" t="str">
        <f>"24/36"</f>
        <v>24/36</v>
      </c>
      <c r="K39" t="str">
        <f>"64/96"</f>
        <v>64/96</v>
      </c>
    </row>
    <row r="40" spans="3:11" x14ac:dyDescent="0.25">
      <c r="C40" t="s">
        <v>188</v>
      </c>
      <c r="D40" t="s">
        <v>616</v>
      </c>
      <c r="E40">
        <v>225.93</v>
      </c>
      <c r="F40">
        <v>304.79000000000002</v>
      </c>
      <c r="G40">
        <v>267.37</v>
      </c>
      <c r="I40" t="str">
        <f>"15/14"</f>
        <v>15/14</v>
      </c>
      <c r="J40" t="str">
        <f>"19/35"</f>
        <v>19/35</v>
      </c>
      <c r="K40" t="str">
        <f>"30/40"</f>
        <v>30/40</v>
      </c>
    </row>
    <row r="41" spans="3:11" x14ac:dyDescent="0.25">
      <c r="C41" t="s">
        <v>189</v>
      </c>
      <c r="D41" t="s">
        <v>541</v>
      </c>
      <c r="E41">
        <v>220.94</v>
      </c>
      <c r="F41">
        <v>359.64</v>
      </c>
      <c r="G41">
        <v>200.98</v>
      </c>
      <c r="I41" t="str">
        <f>"17/13"</f>
        <v>17/13</v>
      </c>
      <c r="J41" t="str">
        <f>"22/33"</f>
        <v>22/33</v>
      </c>
      <c r="K41" t="str">
        <f>"46/41"</f>
        <v>46/41</v>
      </c>
    </row>
    <row r="42" spans="3:11" x14ac:dyDescent="0.25">
      <c r="C42" t="s">
        <v>190</v>
      </c>
      <c r="D42" t="s">
        <v>542</v>
      </c>
      <c r="E42">
        <v>220.94</v>
      </c>
      <c r="F42">
        <v>359.64</v>
      </c>
      <c r="G42">
        <v>200.98</v>
      </c>
      <c r="I42" t="str">
        <f>"17/13"</f>
        <v>17/13</v>
      </c>
      <c r="J42" t="str">
        <f>"22/33"</f>
        <v>22/33</v>
      </c>
      <c r="K42" t="str">
        <f>"46/41"</f>
        <v>46/41</v>
      </c>
    </row>
    <row r="43" spans="3:11" x14ac:dyDescent="0.25">
      <c r="C43" t="s">
        <v>191</v>
      </c>
      <c r="D43" t="s">
        <v>543</v>
      </c>
      <c r="E43">
        <v>220.94</v>
      </c>
      <c r="F43">
        <v>359.64</v>
      </c>
      <c r="G43">
        <v>200.98</v>
      </c>
      <c r="I43" t="str">
        <f>"17/13"</f>
        <v>17/13</v>
      </c>
      <c r="J43" t="str">
        <f>"22/33"</f>
        <v>22/33</v>
      </c>
      <c r="K43" t="str">
        <f>"46/41"</f>
        <v>46/41</v>
      </c>
    </row>
    <row r="44" spans="3:11" x14ac:dyDescent="0.25">
      <c r="C44" t="s">
        <v>192</v>
      </c>
      <c r="D44" t="s">
        <v>544</v>
      </c>
      <c r="E44">
        <v>220.94</v>
      </c>
      <c r="F44">
        <v>359.64</v>
      </c>
      <c r="G44">
        <v>200.98</v>
      </c>
      <c r="I44" t="str">
        <f>"17/13"</f>
        <v>17/13</v>
      </c>
      <c r="J44" t="str">
        <f>"22/33"</f>
        <v>22/33</v>
      </c>
      <c r="K44" t="str">
        <f>"46/41"</f>
        <v>46/41</v>
      </c>
    </row>
    <row r="45" spans="3:11" x14ac:dyDescent="0.25">
      <c r="C45" t="s">
        <v>193</v>
      </c>
      <c r="D45" t="s">
        <v>545</v>
      </c>
      <c r="E45">
        <v>220.94</v>
      </c>
      <c r="F45">
        <v>359.64</v>
      </c>
      <c r="G45">
        <v>200.98</v>
      </c>
      <c r="I45" t="str">
        <f>"17/13"</f>
        <v>17/13</v>
      </c>
      <c r="J45" t="str">
        <f>"22/33"</f>
        <v>22/33</v>
      </c>
      <c r="K45" t="str">
        <f>"46/41"</f>
        <v>46/41</v>
      </c>
    </row>
    <row r="46" spans="3:11" x14ac:dyDescent="0.25">
      <c r="C46" t="s">
        <v>194</v>
      </c>
      <c r="D46" t="s">
        <v>617</v>
      </c>
      <c r="E46">
        <v>192.95</v>
      </c>
      <c r="F46">
        <v>403.45</v>
      </c>
      <c r="G46">
        <v>180.05</v>
      </c>
      <c r="I46" t="str">
        <f>"19/23"</f>
        <v>19/23</v>
      </c>
      <c r="J46" t="str">
        <f>"11/12"</f>
        <v>11/12</v>
      </c>
      <c r="K46" t="str">
        <f>"37/42"</f>
        <v>37/42</v>
      </c>
    </row>
    <row r="47" spans="3:11" x14ac:dyDescent="0.25">
      <c r="C47" t="s">
        <v>195</v>
      </c>
      <c r="D47" t="s">
        <v>618</v>
      </c>
      <c r="E47">
        <v>267.44</v>
      </c>
      <c r="F47">
        <v>287.39999999999998</v>
      </c>
      <c r="G47">
        <v>214.65</v>
      </c>
      <c r="I47" t="str">
        <f>"16/20"</f>
        <v>16/20</v>
      </c>
      <c r="J47" t="str">
        <f>"25/32"</f>
        <v>25/32</v>
      </c>
      <c r="K47" t="str">
        <f>"49/54"</f>
        <v>49/54</v>
      </c>
    </row>
    <row r="48" spans="3:11" x14ac:dyDescent="0.25">
      <c r="C48" t="s">
        <v>197</v>
      </c>
      <c r="D48" t="s">
        <v>619</v>
      </c>
      <c r="E48">
        <v>267.44</v>
      </c>
      <c r="F48">
        <v>287.39999999999998</v>
      </c>
      <c r="G48">
        <v>214.65</v>
      </c>
      <c r="I48" t="str">
        <f>"16/20"</f>
        <v>16/20</v>
      </c>
      <c r="J48" t="str">
        <f>"25/32"</f>
        <v>25/32</v>
      </c>
      <c r="K48" t="str">
        <f>"49/54"</f>
        <v>49/54</v>
      </c>
    </row>
    <row r="49" spans="3:11" x14ac:dyDescent="0.25">
      <c r="C49" t="s">
        <v>199</v>
      </c>
      <c r="D49" t="s">
        <v>579</v>
      </c>
      <c r="E49">
        <v>187.27</v>
      </c>
      <c r="F49">
        <v>319.10000000000002</v>
      </c>
      <c r="G49">
        <v>248.12</v>
      </c>
      <c r="I49" t="str">
        <f>"11/25"</f>
        <v>11/25</v>
      </c>
      <c r="J49" t="str">
        <f>"10/10"</f>
        <v>10/10</v>
      </c>
      <c r="K49" t="str">
        <f>"16/12"</f>
        <v>16/12</v>
      </c>
    </row>
    <row r="50" spans="3:11" x14ac:dyDescent="0.25">
      <c r="C50" t="s">
        <v>200</v>
      </c>
      <c r="D50" t="s">
        <v>620</v>
      </c>
      <c r="E50">
        <v>213.16</v>
      </c>
      <c r="F50">
        <v>320.62</v>
      </c>
      <c r="G50">
        <v>212.92</v>
      </c>
      <c r="I50" t="str">
        <f>"19/49"</f>
        <v>19/49</v>
      </c>
      <c r="J50" t="str">
        <f>"16/41"</f>
        <v>16/41</v>
      </c>
      <c r="K50" t="str">
        <f>"36/72"</f>
        <v>36/72</v>
      </c>
    </row>
    <row r="51" spans="3:11" x14ac:dyDescent="0.25">
      <c r="C51" t="s">
        <v>202</v>
      </c>
      <c r="D51" t="s">
        <v>621</v>
      </c>
      <c r="E51">
        <v>213.16</v>
      </c>
      <c r="F51">
        <v>320.62</v>
      </c>
      <c r="G51">
        <v>212.92</v>
      </c>
      <c r="I51" t="str">
        <f>"19/49"</f>
        <v>19/49</v>
      </c>
      <c r="J51" t="str">
        <f>"16/41"</f>
        <v>16/41</v>
      </c>
      <c r="K51" t="str">
        <f>"36/72"</f>
        <v>36/72</v>
      </c>
    </row>
    <row r="52" spans="3:11" x14ac:dyDescent="0.25">
      <c r="C52" t="s">
        <v>204</v>
      </c>
      <c r="D52" t="s">
        <v>564</v>
      </c>
      <c r="E52">
        <v>209.26</v>
      </c>
      <c r="F52">
        <v>307.3</v>
      </c>
      <c r="G52">
        <v>224.43</v>
      </c>
      <c r="I52" t="str">
        <f>"23/23"</f>
        <v>23/23</v>
      </c>
      <c r="J52" t="str">
        <f>"20/19"</f>
        <v>20/19</v>
      </c>
      <c r="K52" t="str">
        <f>"44/50"</f>
        <v>44/50</v>
      </c>
    </row>
    <row r="53" spans="3:11" x14ac:dyDescent="0.25">
      <c r="C53" t="s">
        <v>205</v>
      </c>
      <c r="D53" t="s">
        <v>44</v>
      </c>
      <c r="E53">
        <v>209.35</v>
      </c>
      <c r="F53">
        <v>299.95999999999998</v>
      </c>
      <c r="G53">
        <v>228.93</v>
      </c>
      <c r="I53" t="str">
        <f>"17/15"</f>
        <v>17/15</v>
      </c>
      <c r="J53" t="str">
        <f>"23/17"</f>
        <v>23/17</v>
      </c>
      <c r="K53" t="str">
        <f>"45/50"</f>
        <v>45/50</v>
      </c>
    </row>
    <row r="54" spans="3:11" x14ac:dyDescent="0.25">
      <c r="C54" t="s">
        <v>206</v>
      </c>
      <c r="D54" t="s">
        <v>622</v>
      </c>
      <c r="E54">
        <v>197.88</v>
      </c>
      <c r="F54">
        <v>309.70999999999998</v>
      </c>
      <c r="G54">
        <v>222.46</v>
      </c>
      <c r="I54" t="str">
        <f>"16/15"</f>
        <v>16/15</v>
      </c>
      <c r="J54" t="str">
        <f>"17/19"</f>
        <v>17/19</v>
      </c>
      <c r="K54" t="str">
        <f>"24/43"</f>
        <v>24/43</v>
      </c>
    </row>
    <row r="55" spans="3:11" x14ac:dyDescent="0.25">
      <c r="C55" t="s">
        <v>207</v>
      </c>
      <c r="D55" t="s">
        <v>623</v>
      </c>
      <c r="E55">
        <v>205.68</v>
      </c>
      <c r="F55">
        <v>289.83999999999997</v>
      </c>
      <c r="G55">
        <v>205.82</v>
      </c>
      <c r="I55" t="str">
        <f>"22/53"</f>
        <v>22/53</v>
      </c>
      <c r="J55" t="str">
        <f>"19/48"</f>
        <v>19/48</v>
      </c>
      <c r="K55" t="str">
        <f>"40/80"</f>
        <v>40/80</v>
      </c>
    </row>
    <row r="56" spans="3:11" x14ac:dyDescent="0.25">
      <c r="C56" t="s">
        <v>209</v>
      </c>
      <c r="D56" t="s">
        <v>624</v>
      </c>
      <c r="E56">
        <v>211.59</v>
      </c>
      <c r="F56">
        <v>324.08999999999997</v>
      </c>
      <c r="G56">
        <v>163.78</v>
      </c>
      <c r="I56" t="str">
        <f>"17/22"</f>
        <v>17/22</v>
      </c>
      <c r="J56" t="str">
        <f>"11/12"</f>
        <v>11/12</v>
      </c>
      <c r="K56" t="str">
        <f>"36/41"</f>
        <v>36/41</v>
      </c>
    </row>
    <row r="57" spans="3:11" x14ac:dyDescent="0.25">
      <c r="C57" t="s">
        <v>211</v>
      </c>
      <c r="D57" t="s">
        <v>625</v>
      </c>
      <c r="E57">
        <v>211.59</v>
      </c>
      <c r="F57">
        <v>324.08999999999997</v>
      </c>
      <c r="G57">
        <v>163.78</v>
      </c>
      <c r="I57" t="str">
        <f>"17/22"</f>
        <v>17/22</v>
      </c>
      <c r="J57" t="str">
        <f>"11/12"</f>
        <v>11/12</v>
      </c>
      <c r="K57" t="str">
        <f>"36/41"</f>
        <v>36/41</v>
      </c>
    </row>
    <row r="58" spans="3:11" x14ac:dyDescent="0.25">
      <c r="C58" t="s">
        <v>213</v>
      </c>
      <c r="D58" t="s">
        <v>626</v>
      </c>
      <c r="E58">
        <v>183.26</v>
      </c>
      <c r="F58">
        <v>298.85000000000002</v>
      </c>
      <c r="G58">
        <v>189.94</v>
      </c>
      <c r="I58" t="str">
        <f>"23/16"</f>
        <v>23/16</v>
      </c>
      <c r="J58" t="str">
        <f>"20/17"</f>
        <v>20/17</v>
      </c>
      <c r="K58" t="str">
        <f>"51/55"</f>
        <v>51/55</v>
      </c>
    </row>
    <row r="59" spans="3:11" x14ac:dyDescent="0.25">
      <c r="C59" t="s">
        <v>215</v>
      </c>
      <c r="D59" t="s">
        <v>627</v>
      </c>
      <c r="E59">
        <v>232.12</v>
      </c>
      <c r="F59">
        <v>291.5</v>
      </c>
      <c r="G59">
        <v>145.04</v>
      </c>
      <c r="I59" t="str">
        <f>"25/27"</f>
        <v>25/27</v>
      </c>
      <c r="J59" t="str">
        <f>"32/48"</f>
        <v>32/48</v>
      </c>
      <c r="K59" t="str">
        <f>"85/126"</f>
        <v>85/126</v>
      </c>
    </row>
    <row r="60" spans="3:11" x14ac:dyDescent="0.25">
      <c r="C60" t="s">
        <v>628</v>
      </c>
    </row>
    <row r="62" spans="3:11" x14ac:dyDescent="0.25">
      <c r="C62" t="s">
        <v>36</v>
      </c>
      <c r="F62" t="s">
        <v>605</v>
      </c>
      <c r="J62" t="s">
        <v>13</v>
      </c>
    </row>
    <row r="63" spans="3:11" x14ac:dyDescent="0.25">
      <c r="D63" t="s">
        <v>14</v>
      </c>
      <c r="E63" t="s">
        <v>1</v>
      </c>
      <c r="F63" t="s">
        <v>3</v>
      </c>
      <c r="G63" t="s">
        <v>2</v>
      </c>
      <c r="I63" t="s">
        <v>1</v>
      </c>
      <c r="J63" t="s">
        <v>3</v>
      </c>
      <c r="K63" t="s">
        <v>2</v>
      </c>
    </row>
    <row r="64" spans="3:11" x14ac:dyDescent="0.25">
      <c r="C64" t="s">
        <v>178</v>
      </c>
      <c r="D64" t="s">
        <v>629</v>
      </c>
      <c r="E64">
        <v>180</v>
      </c>
      <c r="F64">
        <v>377</v>
      </c>
      <c r="G64">
        <v>378.29</v>
      </c>
      <c r="I64" t="str">
        <f>"13/11"</f>
        <v>13/11</v>
      </c>
      <c r="J64" t="str">
        <f>"16/16"</f>
        <v>16/16</v>
      </c>
      <c r="K64" t="str">
        <f>"24/30"</f>
        <v>24/30</v>
      </c>
    </row>
    <row r="65" spans="2:11" x14ac:dyDescent="0.25">
      <c r="C65" t="s">
        <v>179</v>
      </c>
      <c r="D65" t="s">
        <v>416</v>
      </c>
      <c r="E65">
        <v>148.16999999999999</v>
      </c>
      <c r="F65">
        <v>309</v>
      </c>
      <c r="G65">
        <v>440.54</v>
      </c>
      <c r="I65" t="str">
        <f>"24/84"</f>
        <v>24/84</v>
      </c>
      <c r="J65" t="str">
        <f>"15/15"</f>
        <v>15/15</v>
      </c>
      <c r="K65" t="str">
        <f>"13/12"</f>
        <v>13/12</v>
      </c>
    </row>
    <row r="66" spans="2:11" x14ac:dyDescent="0.25">
      <c r="C66" t="s">
        <v>180</v>
      </c>
      <c r="D66" t="s">
        <v>417</v>
      </c>
      <c r="E66">
        <v>148.16999999999999</v>
      </c>
      <c r="F66">
        <v>309</v>
      </c>
      <c r="G66">
        <v>440.54</v>
      </c>
      <c r="I66" t="str">
        <f>"24/84"</f>
        <v>24/84</v>
      </c>
      <c r="J66" t="str">
        <f>"15/15"</f>
        <v>15/15</v>
      </c>
      <c r="K66" t="str">
        <f>"13/12"</f>
        <v>13/12</v>
      </c>
    </row>
    <row r="67" spans="2:11" x14ac:dyDescent="0.25">
      <c r="C67" t="s">
        <v>181</v>
      </c>
      <c r="D67" t="s">
        <v>433</v>
      </c>
      <c r="E67">
        <v>147.06</v>
      </c>
      <c r="F67">
        <v>306.70999999999998</v>
      </c>
      <c r="G67">
        <v>306.52999999999997</v>
      </c>
      <c r="I67" t="str">
        <f>"18/31"</f>
        <v>18/31</v>
      </c>
      <c r="J67" t="str">
        <f>"14/10"</f>
        <v>14/10</v>
      </c>
      <c r="K67" t="str">
        <f>"17/11"</f>
        <v>17/11</v>
      </c>
    </row>
    <row r="68" spans="2:11" x14ac:dyDescent="0.25">
      <c r="C68" t="s">
        <v>182</v>
      </c>
      <c r="D68" t="s">
        <v>548</v>
      </c>
      <c r="E68">
        <v>85.16</v>
      </c>
      <c r="F68">
        <v>302.56</v>
      </c>
      <c r="G68">
        <v>364.79</v>
      </c>
      <c r="I68" t="str">
        <f>"25/18"</f>
        <v>25/18</v>
      </c>
      <c r="J68" t="str">
        <f>"16/17"</f>
        <v>16/17</v>
      </c>
      <c r="K68" t="str">
        <f>"14/10"</f>
        <v>14/10</v>
      </c>
    </row>
    <row r="69" spans="2:11" x14ac:dyDescent="0.25">
      <c r="C69" t="s">
        <v>183</v>
      </c>
      <c r="D69" t="s">
        <v>428</v>
      </c>
      <c r="E69">
        <v>130.49</v>
      </c>
      <c r="F69">
        <v>300.5</v>
      </c>
      <c r="G69">
        <v>316.14999999999998</v>
      </c>
      <c r="I69" t="str">
        <f>"37/75"</f>
        <v>37/75</v>
      </c>
      <c r="J69" t="str">
        <f>"22/27"</f>
        <v>22/27</v>
      </c>
      <c r="K69" t="str">
        <f>"27/32"</f>
        <v>27/32</v>
      </c>
    </row>
    <row r="70" spans="2:11" x14ac:dyDescent="0.25">
      <c r="C70" t="s">
        <v>771</v>
      </c>
    </row>
    <row r="72" spans="2:11" x14ac:dyDescent="0.25">
      <c r="B72" t="s">
        <v>37</v>
      </c>
      <c r="C72" t="s">
        <v>288</v>
      </c>
    </row>
    <row r="74" spans="2:11" x14ac:dyDescent="0.25">
      <c r="C74" t="s">
        <v>11</v>
      </c>
      <c r="F74" t="s">
        <v>605</v>
      </c>
      <c r="J74" t="s">
        <v>13</v>
      </c>
    </row>
    <row r="75" spans="2:11" x14ac:dyDescent="0.25">
      <c r="D75" t="s">
        <v>14</v>
      </c>
      <c r="E75" t="s">
        <v>1</v>
      </c>
      <c r="F75" t="s">
        <v>3</v>
      </c>
      <c r="G75" t="s">
        <v>2</v>
      </c>
      <c r="I75" t="s">
        <v>1</v>
      </c>
      <c r="J75" t="s">
        <v>3</v>
      </c>
      <c r="K75" t="s">
        <v>2</v>
      </c>
    </row>
    <row r="76" spans="2:11" x14ac:dyDescent="0.25">
      <c r="C76" t="s">
        <v>320</v>
      </c>
    </row>
    <row r="78" spans="2:11" x14ac:dyDescent="0.25">
      <c r="C78" t="s">
        <v>17</v>
      </c>
      <c r="F78" t="s">
        <v>605</v>
      </c>
      <c r="J78" t="s">
        <v>13</v>
      </c>
    </row>
    <row r="79" spans="2:11" x14ac:dyDescent="0.25">
      <c r="D79" t="s">
        <v>14</v>
      </c>
      <c r="E79" t="s">
        <v>1</v>
      </c>
      <c r="F79" t="s">
        <v>3</v>
      </c>
      <c r="G79" t="s">
        <v>2</v>
      </c>
      <c r="I79" t="s">
        <v>1</v>
      </c>
      <c r="J79" t="s">
        <v>3</v>
      </c>
      <c r="K79" t="s">
        <v>2</v>
      </c>
    </row>
    <row r="80" spans="2:11" x14ac:dyDescent="0.25">
      <c r="C80" t="s">
        <v>289</v>
      </c>
      <c r="D80" t="s">
        <v>630</v>
      </c>
      <c r="E80">
        <v>268.64999999999998</v>
      </c>
      <c r="F80">
        <v>311.5</v>
      </c>
      <c r="G80">
        <v>420.78</v>
      </c>
      <c r="I80" t="str">
        <f>"17/19"</f>
        <v>17/19</v>
      </c>
      <c r="J80" t="str">
        <f>"16/16"</f>
        <v>16/16</v>
      </c>
      <c r="K80" t="str">
        <f>"18/16"</f>
        <v>18/16</v>
      </c>
    </row>
    <row r="81" spans="2:11" x14ac:dyDescent="0.25">
      <c r="C81" t="s">
        <v>291</v>
      </c>
      <c r="D81" t="s">
        <v>631</v>
      </c>
      <c r="E81">
        <v>286.88</v>
      </c>
      <c r="F81">
        <v>342.25</v>
      </c>
      <c r="G81">
        <v>369.3</v>
      </c>
      <c r="I81" t="str">
        <f>"17/19"</f>
        <v>17/19</v>
      </c>
      <c r="J81" t="str">
        <f>"16/16"</f>
        <v>16/16</v>
      </c>
      <c r="K81" t="str">
        <f>"23/26"</f>
        <v>23/26</v>
      </c>
    </row>
    <row r="82" spans="2:11" x14ac:dyDescent="0.25">
      <c r="C82" t="s">
        <v>746</v>
      </c>
    </row>
    <row r="84" spans="2:11" x14ac:dyDescent="0.25">
      <c r="C84" t="s">
        <v>18</v>
      </c>
      <c r="F84" t="s">
        <v>605</v>
      </c>
      <c r="J84" t="s">
        <v>13</v>
      </c>
    </row>
    <row r="85" spans="2:11" x14ac:dyDescent="0.25">
      <c r="D85" t="s">
        <v>14</v>
      </c>
      <c r="E85" t="s">
        <v>1</v>
      </c>
      <c r="F85" t="s">
        <v>3</v>
      </c>
      <c r="G85" t="s">
        <v>2</v>
      </c>
      <c r="I85" t="s">
        <v>1</v>
      </c>
      <c r="J85" t="s">
        <v>3</v>
      </c>
      <c r="K85" t="s">
        <v>2</v>
      </c>
    </row>
    <row r="86" spans="2:11" x14ac:dyDescent="0.25">
      <c r="C86" t="s">
        <v>289</v>
      </c>
      <c r="D86" t="s">
        <v>632</v>
      </c>
      <c r="E86">
        <v>340.82</v>
      </c>
      <c r="F86">
        <v>350.86</v>
      </c>
      <c r="G86">
        <v>291.7</v>
      </c>
      <c r="I86" t="str">
        <f>"11/10"</f>
        <v>11/10</v>
      </c>
      <c r="J86" t="str">
        <f>"14/15"</f>
        <v>14/15</v>
      </c>
      <c r="K86" t="str">
        <f>"23/27"</f>
        <v>23/27</v>
      </c>
    </row>
    <row r="87" spans="2:11" x14ac:dyDescent="0.25">
      <c r="C87" t="s">
        <v>291</v>
      </c>
      <c r="D87" t="s">
        <v>435</v>
      </c>
      <c r="E87">
        <v>272.44</v>
      </c>
      <c r="F87">
        <v>372</v>
      </c>
      <c r="G87">
        <v>294.48</v>
      </c>
      <c r="I87" t="str">
        <f>"16/12"</f>
        <v>16/12</v>
      </c>
      <c r="J87" t="str">
        <f>"15/10"</f>
        <v>15/10</v>
      </c>
      <c r="K87" t="str">
        <f>"27/19"</f>
        <v>27/19</v>
      </c>
    </row>
    <row r="88" spans="2:11" x14ac:dyDescent="0.25">
      <c r="C88" t="s">
        <v>293</v>
      </c>
      <c r="D88" t="s">
        <v>586</v>
      </c>
      <c r="E88">
        <v>257.81</v>
      </c>
      <c r="F88">
        <v>417.87</v>
      </c>
      <c r="G88">
        <v>261.08999999999997</v>
      </c>
      <c r="I88" t="str">
        <f>"16/13"</f>
        <v>16/13</v>
      </c>
      <c r="J88" t="str">
        <f>"15/12"</f>
        <v>15/12</v>
      </c>
      <c r="K88" t="str">
        <f>"34/44"</f>
        <v>34/44</v>
      </c>
    </row>
    <row r="89" spans="2:11" x14ac:dyDescent="0.25">
      <c r="C89" t="s">
        <v>772</v>
      </c>
    </row>
    <row r="91" spans="2:11" x14ac:dyDescent="0.25">
      <c r="C91" t="s">
        <v>36</v>
      </c>
      <c r="F91" t="s">
        <v>605</v>
      </c>
      <c r="J91" t="s">
        <v>13</v>
      </c>
    </row>
    <row r="92" spans="2:11" x14ac:dyDescent="0.25">
      <c r="D92" t="s">
        <v>14</v>
      </c>
      <c r="E92" t="s">
        <v>1</v>
      </c>
      <c r="F92" t="s">
        <v>3</v>
      </c>
      <c r="G92" t="s">
        <v>2</v>
      </c>
      <c r="I92" t="s">
        <v>1</v>
      </c>
      <c r="J92" t="s">
        <v>3</v>
      </c>
      <c r="K92" t="s">
        <v>2</v>
      </c>
    </row>
    <row r="93" spans="2:11" x14ac:dyDescent="0.25">
      <c r="C93" t="s">
        <v>289</v>
      </c>
      <c r="D93" t="s">
        <v>633</v>
      </c>
      <c r="E93">
        <v>181.85</v>
      </c>
      <c r="F93">
        <v>451.6</v>
      </c>
      <c r="G93">
        <v>348.62</v>
      </c>
      <c r="I93" t="str">
        <f>"27/35"</f>
        <v>27/35</v>
      </c>
      <c r="J93" t="str">
        <f>"10/10"</f>
        <v>10/10</v>
      </c>
      <c r="K93" t="str">
        <f>"16/21"</f>
        <v>16/21</v>
      </c>
    </row>
    <row r="94" spans="2:11" x14ac:dyDescent="0.25">
      <c r="C94" t="s">
        <v>773</v>
      </c>
    </row>
    <row r="96" spans="2:11" x14ac:dyDescent="0.25">
      <c r="B96" t="s">
        <v>38</v>
      </c>
      <c r="C96" t="s">
        <v>310</v>
      </c>
    </row>
    <row r="98" spans="3:11" x14ac:dyDescent="0.25">
      <c r="C98" t="s">
        <v>11</v>
      </c>
      <c r="F98" t="s">
        <v>605</v>
      </c>
      <c r="J98" t="s">
        <v>13</v>
      </c>
    </row>
    <row r="99" spans="3:11" x14ac:dyDescent="0.25">
      <c r="D99" t="s">
        <v>14</v>
      </c>
      <c r="E99" t="s">
        <v>1</v>
      </c>
      <c r="F99" t="s">
        <v>3</v>
      </c>
      <c r="G99" t="s">
        <v>2</v>
      </c>
      <c r="I99" t="s">
        <v>1</v>
      </c>
      <c r="J99" t="s">
        <v>3</v>
      </c>
      <c r="K99" t="s">
        <v>2</v>
      </c>
    </row>
    <row r="100" spans="3:11" x14ac:dyDescent="0.25">
      <c r="C100" t="s">
        <v>311</v>
      </c>
      <c r="D100" t="s">
        <v>634</v>
      </c>
      <c r="E100">
        <v>158.38</v>
      </c>
      <c r="F100">
        <v>407</v>
      </c>
      <c r="G100">
        <v>392</v>
      </c>
      <c r="I100" t="str">
        <f>"13/15"</f>
        <v>13/15</v>
      </c>
      <c r="J100" t="str">
        <f>"10/13"</f>
        <v>10/13</v>
      </c>
      <c r="K100" t="str">
        <f>"13/11"</f>
        <v>13/11</v>
      </c>
    </row>
    <row r="101" spans="3:11" x14ac:dyDescent="0.25">
      <c r="C101" t="s">
        <v>312</v>
      </c>
      <c r="D101" t="s">
        <v>635</v>
      </c>
      <c r="E101">
        <v>158.38</v>
      </c>
      <c r="F101">
        <v>407</v>
      </c>
      <c r="G101">
        <v>392</v>
      </c>
      <c r="I101" t="str">
        <f>"13/15"</f>
        <v>13/15</v>
      </c>
      <c r="J101" t="str">
        <f>"10/13"</f>
        <v>10/13</v>
      </c>
      <c r="K101" t="str">
        <f>"13/11"</f>
        <v>13/11</v>
      </c>
    </row>
    <row r="102" spans="3:11" x14ac:dyDescent="0.25">
      <c r="C102" t="s">
        <v>313</v>
      </c>
      <c r="D102" t="s">
        <v>589</v>
      </c>
      <c r="E102">
        <v>159.63</v>
      </c>
      <c r="F102">
        <v>358.36</v>
      </c>
      <c r="G102">
        <v>336.31</v>
      </c>
      <c r="I102" t="str">
        <f>"19/29"</f>
        <v>19/29</v>
      </c>
      <c r="J102" t="str">
        <f>"11/11"</f>
        <v>11/11</v>
      </c>
      <c r="K102" t="str">
        <f>"16/13"</f>
        <v>16/13</v>
      </c>
    </row>
    <row r="103" spans="3:11" x14ac:dyDescent="0.25">
      <c r="C103" t="s">
        <v>774</v>
      </c>
    </row>
    <row r="105" spans="3:11" x14ac:dyDescent="0.25">
      <c r="C105" t="s">
        <v>17</v>
      </c>
      <c r="F105" t="s">
        <v>605</v>
      </c>
      <c r="J105" t="s">
        <v>13</v>
      </c>
    </row>
    <row r="106" spans="3:11" x14ac:dyDescent="0.25">
      <c r="D106" t="s">
        <v>14</v>
      </c>
      <c r="E106" t="s">
        <v>1</v>
      </c>
      <c r="F106" t="s">
        <v>3</v>
      </c>
      <c r="G106" t="s">
        <v>2</v>
      </c>
      <c r="I106" t="s">
        <v>1</v>
      </c>
      <c r="J106" t="s">
        <v>3</v>
      </c>
      <c r="K106" t="s">
        <v>2</v>
      </c>
    </row>
    <row r="107" spans="3:11" x14ac:dyDescent="0.25">
      <c r="C107" t="s">
        <v>351</v>
      </c>
    </row>
    <row r="109" spans="3:11" x14ac:dyDescent="0.25">
      <c r="C109" t="s">
        <v>18</v>
      </c>
      <c r="F109" t="s">
        <v>605</v>
      </c>
      <c r="J109" t="s">
        <v>13</v>
      </c>
    </row>
    <row r="110" spans="3:11" x14ac:dyDescent="0.25">
      <c r="D110" t="s">
        <v>14</v>
      </c>
      <c r="E110" t="s">
        <v>1</v>
      </c>
      <c r="F110" t="s">
        <v>3</v>
      </c>
      <c r="G110" t="s">
        <v>2</v>
      </c>
      <c r="I110" t="s">
        <v>1</v>
      </c>
      <c r="J110" t="s">
        <v>3</v>
      </c>
      <c r="K110" t="s">
        <v>2</v>
      </c>
    </row>
    <row r="111" spans="3:11" x14ac:dyDescent="0.25">
      <c r="C111" t="s">
        <v>351</v>
      </c>
    </row>
    <row r="113" spans="1:11" x14ac:dyDescent="0.25">
      <c r="C113" t="s">
        <v>36</v>
      </c>
      <c r="F113" t="s">
        <v>605</v>
      </c>
      <c r="J113" t="s">
        <v>13</v>
      </c>
    </row>
    <row r="114" spans="1:11" x14ac:dyDescent="0.25">
      <c r="D114" t="s">
        <v>14</v>
      </c>
      <c r="E114" t="s">
        <v>1</v>
      </c>
      <c r="F114" t="s">
        <v>3</v>
      </c>
      <c r="G114" t="s">
        <v>2</v>
      </c>
      <c r="I114" t="s">
        <v>1</v>
      </c>
      <c r="J114" t="s">
        <v>3</v>
      </c>
      <c r="K114" t="s">
        <v>2</v>
      </c>
    </row>
    <row r="115" spans="1:11" x14ac:dyDescent="0.25">
      <c r="C115" t="s">
        <v>351</v>
      </c>
    </row>
    <row r="119" spans="1:11" x14ac:dyDescent="0.25">
      <c r="A119" t="s">
        <v>4</v>
      </c>
      <c r="B119" t="s">
        <v>604</v>
      </c>
    </row>
    <row r="121" spans="1:11" x14ac:dyDescent="0.25">
      <c r="B121" t="s">
        <v>10</v>
      </c>
      <c r="C121" t="s">
        <v>686</v>
      </c>
    </row>
    <row r="123" spans="1:11" x14ac:dyDescent="0.25">
      <c r="C123" t="s">
        <v>11</v>
      </c>
      <c r="F123" t="s">
        <v>605</v>
      </c>
      <c r="J123" t="s">
        <v>13</v>
      </c>
    </row>
    <row r="124" spans="1:11" x14ac:dyDescent="0.25">
      <c r="D124" t="s">
        <v>14</v>
      </c>
      <c r="E124" t="s">
        <v>1</v>
      </c>
      <c r="F124" t="s">
        <v>3</v>
      </c>
      <c r="G124" t="s">
        <v>2</v>
      </c>
      <c r="I124" t="s">
        <v>1</v>
      </c>
      <c r="J124" t="s">
        <v>3</v>
      </c>
      <c r="K124" t="s">
        <v>2</v>
      </c>
    </row>
    <row r="125" spans="1:11" x14ac:dyDescent="0.25">
      <c r="C125" t="s">
        <v>687</v>
      </c>
      <c r="D125" t="s">
        <v>337</v>
      </c>
      <c r="E125">
        <v>109.56</v>
      </c>
      <c r="F125">
        <v>219</v>
      </c>
      <c r="G125">
        <v>209.33</v>
      </c>
      <c r="I125" t="str">
        <f>"16/26"</f>
        <v>16/26</v>
      </c>
      <c r="J125" t="str">
        <f>"10/20"</f>
        <v>10/20</v>
      </c>
      <c r="K125" t="str">
        <f>"12/37"</f>
        <v>12/37</v>
      </c>
    </row>
    <row r="126" spans="1:11" x14ac:dyDescent="0.25">
      <c r="C126" t="s">
        <v>689</v>
      </c>
      <c r="D126" t="s">
        <v>599</v>
      </c>
      <c r="E126">
        <v>96.67</v>
      </c>
      <c r="F126">
        <v>237.26</v>
      </c>
      <c r="G126">
        <v>170.31</v>
      </c>
      <c r="I126" t="str">
        <f>"39/70"</f>
        <v>39/70</v>
      </c>
      <c r="J126" t="str">
        <f>"19/25"</f>
        <v>19/25</v>
      </c>
      <c r="K126" t="str">
        <f>"52/131"</f>
        <v>52/131</v>
      </c>
    </row>
    <row r="127" spans="1:11" x14ac:dyDescent="0.25">
      <c r="C127" t="s">
        <v>691</v>
      </c>
      <c r="D127" t="s">
        <v>560</v>
      </c>
      <c r="E127">
        <v>144</v>
      </c>
      <c r="F127">
        <v>118.57</v>
      </c>
      <c r="G127">
        <v>151.15</v>
      </c>
      <c r="I127" t="str">
        <f>"17/19"</f>
        <v>17/19</v>
      </c>
      <c r="J127" t="str">
        <f>"14/12"</f>
        <v>14/12</v>
      </c>
      <c r="K127" t="str">
        <f>"34/34"</f>
        <v>34/34</v>
      </c>
    </row>
    <row r="128" spans="1:11" x14ac:dyDescent="0.25">
      <c r="C128" t="s">
        <v>693</v>
      </c>
      <c r="D128" t="s">
        <v>595</v>
      </c>
      <c r="E128">
        <v>102.48</v>
      </c>
      <c r="F128">
        <v>145.71</v>
      </c>
      <c r="G128">
        <v>159.72</v>
      </c>
      <c r="I128" t="str">
        <f>"21/40"</f>
        <v>21/40</v>
      </c>
      <c r="J128" t="str">
        <f>"21/45"</f>
        <v>21/45</v>
      </c>
      <c r="K128" t="str">
        <f>"32/92"</f>
        <v>32/92</v>
      </c>
    </row>
    <row r="129" spans="3:11" x14ac:dyDescent="0.25">
      <c r="C129" t="s">
        <v>694</v>
      </c>
      <c r="D129" t="s">
        <v>598</v>
      </c>
      <c r="E129">
        <v>100.21</v>
      </c>
      <c r="F129">
        <v>131.59</v>
      </c>
      <c r="G129">
        <v>165.44</v>
      </c>
      <c r="I129" t="str">
        <f>"19/34"</f>
        <v>19/34</v>
      </c>
      <c r="J129" t="str">
        <f>"17/27"</f>
        <v>17/27</v>
      </c>
      <c r="K129" t="str">
        <f>"18/55"</f>
        <v>18/55</v>
      </c>
    </row>
    <row r="130" spans="3:11" x14ac:dyDescent="0.25">
      <c r="C130" t="s">
        <v>696</v>
      </c>
      <c r="D130" t="s">
        <v>597</v>
      </c>
      <c r="E130">
        <v>100.16</v>
      </c>
      <c r="F130">
        <v>131.59</v>
      </c>
      <c r="G130">
        <v>165.44</v>
      </c>
      <c r="I130" t="str">
        <f>"19/34"</f>
        <v>19/34</v>
      </c>
      <c r="J130" t="str">
        <f>"17/27"</f>
        <v>17/27</v>
      </c>
      <c r="K130" t="str">
        <f>"18/55"</f>
        <v>18/55</v>
      </c>
    </row>
    <row r="131" spans="3:11" x14ac:dyDescent="0.25">
      <c r="C131" t="s">
        <v>697</v>
      </c>
      <c r="D131" t="s">
        <v>600</v>
      </c>
      <c r="E131">
        <v>100.21</v>
      </c>
      <c r="F131">
        <v>131.59</v>
      </c>
      <c r="G131">
        <v>149.15</v>
      </c>
      <c r="I131" t="str">
        <f>"19/34"</f>
        <v>19/34</v>
      </c>
      <c r="J131" t="str">
        <f>"17/27"</f>
        <v>17/27</v>
      </c>
      <c r="K131" t="str">
        <f>"20/56"</f>
        <v>20/56</v>
      </c>
    </row>
    <row r="132" spans="3:11" x14ac:dyDescent="0.25">
      <c r="C132" t="s">
        <v>677</v>
      </c>
    </row>
    <row r="134" spans="3:11" x14ac:dyDescent="0.25">
      <c r="C134" t="s">
        <v>17</v>
      </c>
      <c r="F134" t="s">
        <v>605</v>
      </c>
      <c r="J134" t="s">
        <v>13</v>
      </c>
    </row>
    <row r="135" spans="3:11" x14ac:dyDescent="0.25">
      <c r="D135" t="s">
        <v>14</v>
      </c>
      <c r="E135" t="s">
        <v>1</v>
      </c>
      <c r="F135" t="s">
        <v>3</v>
      </c>
      <c r="G135" t="s">
        <v>2</v>
      </c>
      <c r="I135" t="s">
        <v>1</v>
      </c>
      <c r="J135" t="s">
        <v>3</v>
      </c>
      <c r="K135" t="s">
        <v>2</v>
      </c>
    </row>
    <row r="136" spans="3:11" x14ac:dyDescent="0.25">
      <c r="C136" t="s">
        <v>642</v>
      </c>
    </row>
    <row r="138" spans="3:11" x14ac:dyDescent="0.25">
      <c r="C138" t="s">
        <v>18</v>
      </c>
      <c r="F138" t="s">
        <v>605</v>
      </c>
      <c r="J138" t="s">
        <v>13</v>
      </c>
    </row>
    <row r="139" spans="3:11" x14ac:dyDescent="0.25">
      <c r="D139" t="s">
        <v>14</v>
      </c>
      <c r="E139" t="s">
        <v>1</v>
      </c>
      <c r="F139" t="s">
        <v>3</v>
      </c>
      <c r="G139" t="s">
        <v>2</v>
      </c>
      <c r="I139" t="s">
        <v>1</v>
      </c>
      <c r="J139" t="s">
        <v>3</v>
      </c>
      <c r="K139" t="s">
        <v>2</v>
      </c>
    </row>
    <row r="140" spans="3:11" x14ac:dyDescent="0.25">
      <c r="C140" t="s">
        <v>687</v>
      </c>
      <c r="D140" t="s">
        <v>322</v>
      </c>
      <c r="E140">
        <v>97.47</v>
      </c>
      <c r="F140">
        <v>203.54</v>
      </c>
      <c r="G140">
        <v>130.05000000000001</v>
      </c>
      <c r="I140" t="str">
        <f>"17/75"</f>
        <v>17/75</v>
      </c>
      <c r="J140" t="str">
        <f>"13/13"</f>
        <v>13/13</v>
      </c>
      <c r="K140" t="str">
        <f>"20/61"</f>
        <v>20/61</v>
      </c>
    </row>
    <row r="141" spans="3:11" x14ac:dyDescent="0.25">
      <c r="C141" t="s">
        <v>689</v>
      </c>
      <c r="D141" t="s">
        <v>556</v>
      </c>
      <c r="E141">
        <v>136</v>
      </c>
      <c r="F141">
        <v>122.43</v>
      </c>
      <c r="G141">
        <v>139.68</v>
      </c>
      <c r="I141" t="str">
        <f>"18/21"</f>
        <v>18/21</v>
      </c>
      <c r="J141" t="str">
        <f>"14/12"</f>
        <v>14/12</v>
      </c>
      <c r="K141" t="str">
        <f>"37/38"</f>
        <v>37/38</v>
      </c>
    </row>
    <row r="142" spans="3:11" x14ac:dyDescent="0.25">
      <c r="C142" t="s">
        <v>691</v>
      </c>
      <c r="D142" t="s">
        <v>602</v>
      </c>
      <c r="E142">
        <v>87.1</v>
      </c>
      <c r="F142">
        <v>159.18</v>
      </c>
      <c r="G142">
        <v>129.65</v>
      </c>
      <c r="I142" t="str">
        <f>"29/30"</f>
        <v>29/30</v>
      </c>
      <c r="J142" t="str">
        <f>"11/17"</f>
        <v>11/17</v>
      </c>
      <c r="K142" t="str">
        <f>"34/43"</f>
        <v>34/43</v>
      </c>
    </row>
    <row r="143" spans="3:11" x14ac:dyDescent="0.25">
      <c r="C143" t="s">
        <v>693</v>
      </c>
      <c r="D143" t="s">
        <v>603</v>
      </c>
      <c r="E143">
        <v>87.1</v>
      </c>
      <c r="F143">
        <v>159.18</v>
      </c>
      <c r="G143">
        <v>129.65</v>
      </c>
      <c r="I143" t="str">
        <f>"29/30"</f>
        <v>29/30</v>
      </c>
      <c r="J143" t="str">
        <f>"11/17"</f>
        <v>11/17</v>
      </c>
      <c r="K143" t="str">
        <f>"34/43"</f>
        <v>34/43</v>
      </c>
    </row>
    <row r="144" spans="3:11" x14ac:dyDescent="0.25">
      <c r="C144" t="s">
        <v>694</v>
      </c>
      <c r="D144" t="s">
        <v>593</v>
      </c>
      <c r="E144">
        <v>115.61</v>
      </c>
      <c r="F144">
        <v>132.31</v>
      </c>
      <c r="G144">
        <v>126.18</v>
      </c>
      <c r="I144" t="str">
        <f>"18/21"</f>
        <v>18/21</v>
      </c>
      <c r="J144" t="str">
        <f>"16/23"</f>
        <v>16/23</v>
      </c>
      <c r="K144" t="str">
        <f>"38/50"</f>
        <v>38/50</v>
      </c>
    </row>
    <row r="145" spans="3:11" x14ac:dyDescent="0.25">
      <c r="C145" t="s">
        <v>696</v>
      </c>
      <c r="D145" t="s">
        <v>636</v>
      </c>
      <c r="E145">
        <v>72.3</v>
      </c>
      <c r="F145">
        <v>150.52000000000001</v>
      </c>
      <c r="G145">
        <v>141.93</v>
      </c>
      <c r="I145" t="str">
        <f>"27/30"</f>
        <v>27/30</v>
      </c>
      <c r="J145" t="str">
        <f>"21/64"</f>
        <v>21/64</v>
      </c>
      <c r="K145" t="str">
        <f>"30/69"</f>
        <v>30/69</v>
      </c>
    </row>
    <row r="146" spans="3:11" x14ac:dyDescent="0.25">
      <c r="C146" t="s">
        <v>697</v>
      </c>
      <c r="D146" t="s">
        <v>637</v>
      </c>
      <c r="E146">
        <v>73.150000000000006</v>
      </c>
      <c r="F146">
        <v>140.66999999999999</v>
      </c>
      <c r="G146">
        <v>140.12</v>
      </c>
      <c r="I146" t="str">
        <f>"27/30"</f>
        <v>27/30</v>
      </c>
      <c r="J146" t="str">
        <f>"24/66"</f>
        <v>24/66</v>
      </c>
      <c r="K146" t="str">
        <f>"32/70"</f>
        <v>32/70</v>
      </c>
    </row>
    <row r="147" spans="3:11" x14ac:dyDescent="0.25">
      <c r="C147" t="s">
        <v>698</v>
      </c>
      <c r="D147" t="s">
        <v>638</v>
      </c>
      <c r="E147">
        <v>106.16</v>
      </c>
      <c r="F147">
        <v>132.62</v>
      </c>
      <c r="G147">
        <v>113.91</v>
      </c>
      <c r="I147" t="str">
        <f>"25/40"</f>
        <v>25/40</v>
      </c>
      <c r="J147" t="str">
        <f>"13/23"</f>
        <v>13/23</v>
      </c>
      <c r="K147" t="str">
        <f>"44/121"</f>
        <v>44/121</v>
      </c>
    </row>
    <row r="148" spans="3:11" x14ac:dyDescent="0.25">
      <c r="C148" t="s">
        <v>699</v>
      </c>
      <c r="D148" t="s">
        <v>639</v>
      </c>
      <c r="E148">
        <v>106.16</v>
      </c>
      <c r="F148">
        <v>132.62</v>
      </c>
      <c r="G148">
        <v>113.91</v>
      </c>
      <c r="I148" t="str">
        <f>"25/40"</f>
        <v>25/40</v>
      </c>
      <c r="J148" t="str">
        <f>"13/23"</f>
        <v>13/23</v>
      </c>
      <c r="K148" t="str">
        <f>"44/121"</f>
        <v>44/121</v>
      </c>
    </row>
    <row r="149" spans="3:11" x14ac:dyDescent="0.25">
      <c r="C149" t="s">
        <v>700</v>
      </c>
      <c r="D149" t="s">
        <v>328</v>
      </c>
      <c r="E149">
        <v>113.92</v>
      </c>
      <c r="F149">
        <v>137.19999999999999</v>
      </c>
      <c r="G149">
        <v>95.25</v>
      </c>
      <c r="I149" t="str">
        <f>"12/11"</f>
        <v>12/11</v>
      </c>
      <c r="J149" t="str">
        <f>"10/10"</f>
        <v>10/10</v>
      </c>
      <c r="K149" t="str">
        <f>"24/34"</f>
        <v>24/34</v>
      </c>
    </row>
    <row r="150" spans="3:11" x14ac:dyDescent="0.25">
      <c r="C150" t="s">
        <v>701</v>
      </c>
      <c r="D150" t="s">
        <v>329</v>
      </c>
      <c r="E150">
        <v>118.33</v>
      </c>
      <c r="F150">
        <v>120</v>
      </c>
      <c r="G150">
        <v>100.62</v>
      </c>
      <c r="I150" t="str">
        <f>"12/11"</f>
        <v>12/11</v>
      </c>
      <c r="J150" t="str">
        <f>"14/15"</f>
        <v>14/15</v>
      </c>
      <c r="K150" t="str">
        <f>"26/35"</f>
        <v>26/35</v>
      </c>
    </row>
    <row r="151" spans="3:11" x14ac:dyDescent="0.25">
      <c r="C151" t="s">
        <v>702</v>
      </c>
      <c r="D151" t="s">
        <v>327</v>
      </c>
      <c r="E151">
        <v>107.5</v>
      </c>
      <c r="F151">
        <v>134.4</v>
      </c>
      <c r="G151">
        <v>96.65</v>
      </c>
      <c r="I151" t="str">
        <f>"12/11"</f>
        <v>12/11</v>
      </c>
      <c r="J151" t="str">
        <f>"10/10"</f>
        <v>10/10</v>
      </c>
      <c r="K151" t="str">
        <f>"23/33"</f>
        <v>23/33</v>
      </c>
    </row>
    <row r="152" spans="3:11" x14ac:dyDescent="0.25">
      <c r="C152" t="s">
        <v>710</v>
      </c>
      <c r="D152" t="s">
        <v>326</v>
      </c>
      <c r="E152">
        <v>107.42</v>
      </c>
      <c r="F152">
        <v>134.19999999999999</v>
      </c>
      <c r="G152">
        <v>96.57</v>
      </c>
      <c r="I152" t="str">
        <f>"12/11"</f>
        <v>12/11</v>
      </c>
      <c r="J152" t="str">
        <f>"10/10"</f>
        <v>10/10</v>
      </c>
      <c r="K152" t="str">
        <f>"23/33"</f>
        <v>23/33</v>
      </c>
    </row>
    <row r="153" spans="3:11" x14ac:dyDescent="0.25">
      <c r="C153" t="s">
        <v>711</v>
      </c>
      <c r="D153" t="s">
        <v>596</v>
      </c>
      <c r="E153">
        <v>103</v>
      </c>
      <c r="F153">
        <v>118.29</v>
      </c>
      <c r="G153">
        <v>114.58</v>
      </c>
      <c r="I153" t="str">
        <f>"13/17"</f>
        <v>13/17</v>
      </c>
      <c r="J153" t="str">
        <f>"21/20"</f>
        <v>21/20</v>
      </c>
      <c r="K153" t="str">
        <f>"31/53"</f>
        <v>31/53</v>
      </c>
    </row>
    <row r="154" spans="3:11" x14ac:dyDescent="0.25">
      <c r="C154" t="s">
        <v>716</v>
      </c>
      <c r="D154" t="s">
        <v>59</v>
      </c>
      <c r="E154">
        <v>96.74</v>
      </c>
      <c r="F154">
        <v>118.42</v>
      </c>
      <c r="G154">
        <v>84.29</v>
      </c>
      <c r="I154" t="str">
        <f>"27/31"</f>
        <v>27/31</v>
      </c>
      <c r="J154" t="str">
        <f>"19/18"</f>
        <v>19/18</v>
      </c>
      <c r="K154" t="str">
        <f>"59/60"</f>
        <v>59/60</v>
      </c>
    </row>
    <row r="155" spans="3:11" x14ac:dyDescent="0.25">
      <c r="C155" t="s">
        <v>717</v>
      </c>
      <c r="D155" t="s">
        <v>57</v>
      </c>
      <c r="E155">
        <v>96.74</v>
      </c>
      <c r="F155">
        <v>118.16</v>
      </c>
      <c r="G155">
        <v>84.2</v>
      </c>
      <c r="I155" t="str">
        <f>"27/31"</f>
        <v>27/31</v>
      </c>
      <c r="J155" t="str">
        <f>"19/18"</f>
        <v>19/18</v>
      </c>
      <c r="K155" t="str">
        <f>"59/60"</f>
        <v>59/60</v>
      </c>
    </row>
    <row r="156" spans="3:11" x14ac:dyDescent="0.25">
      <c r="C156" t="s">
        <v>718</v>
      </c>
      <c r="D156" t="s">
        <v>63</v>
      </c>
      <c r="E156">
        <v>96.74</v>
      </c>
      <c r="F156">
        <v>118.16</v>
      </c>
      <c r="G156">
        <v>84.2</v>
      </c>
      <c r="I156" t="str">
        <f>"27/31"</f>
        <v>27/31</v>
      </c>
      <c r="J156" t="str">
        <f>"19/18"</f>
        <v>19/18</v>
      </c>
      <c r="K156" t="str">
        <f>"59/60"</f>
        <v>59/60</v>
      </c>
    </row>
    <row r="157" spans="3:11" x14ac:dyDescent="0.25">
      <c r="C157" t="s">
        <v>719</v>
      </c>
      <c r="D157" t="s">
        <v>92</v>
      </c>
      <c r="E157">
        <v>80.25</v>
      </c>
      <c r="F157">
        <v>125.38</v>
      </c>
      <c r="G157">
        <v>89.25</v>
      </c>
      <c r="I157" t="str">
        <f>"55/109"</f>
        <v>55/109</v>
      </c>
      <c r="J157" t="str">
        <f>"40/65"</f>
        <v>40/65</v>
      </c>
      <c r="K157" t="str">
        <f>"81/224"</f>
        <v>81/224</v>
      </c>
    </row>
    <row r="158" spans="3:11" x14ac:dyDescent="0.25">
      <c r="C158" t="s">
        <v>775</v>
      </c>
    </row>
    <row r="160" spans="3:11" x14ac:dyDescent="0.25">
      <c r="C160" t="s">
        <v>36</v>
      </c>
      <c r="F160" t="s">
        <v>605</v>
      </c>
      <c r="J160" t="s">
        <v>13</v>
      </c>
    </row>
    <row r="161" spans="2:11" x14ac:dyDescent="0.25">
      <c r="D161" t="s">
        <v>14</v>
      </c>
      <c r="E161" t="s">
        <v>1</v>
      </c>
      <c r="F161" t="s">
        <v>3</v>
      </c>
      <c r="G161" t="s">
        <v>2</v>
      </c>
      <c r="I161" t="s">
        <v>1</v>
      </c>
      <c r="J161" t="s">
        <v>3</v>
      </c>
      <c r="K161" t="s">
        <v>2</v>
      </c>
    </row>
    <row r="162" spans="2:11" x14ac:dyDescent="0.25">
      <c r="C162" t="s">
        <v>687</v>
      </c>
      <c r="D162" t="s">
        <v>741</v>
      </c>
      <c r="E162">
        <v>60.37</v>
      </c>
      <c r="F162">
        <v>138</v>
      </c>
      <c r="G162">
        <v>155.47999999999999</v>
      </c>
      <c r="I162" t="str">
        <f>"38/94"</f>
        <v>38/94</v>
      </c>
      <c r="J162" t="str">
        <f>"13/11"</f>
        <v>13/11</v>
      </c>
      <c r="K162" t="str">
        <f>"23/25"</f>
        <v>23/25</v>
      </c>
    </row>
    <row r="163" spans="2:11" x14ac:dyDescent="0.25">
      <c r="C163" t="s">
        <v>689</v>
      </c>
      <c r="D163" t="s">
        <v>740</v>
      </c>
      <c r="E163">
        <v>60.37</v>
      </c>
      <c r="F163">
        <v>137.54</v>
      </c>
      <c r="G163">
        <v>155.26</v>
      </c>
      <c r="I163" t="str">
        <f>"38/94"</f>
        <v>38/94</v>
      </c>
      <c r="J163" t="str">
        <f>"13/11"</f>
        <v>13/11</v>
      </c>
      <c r="K163" t="str">
        <f>"23/25"</f>
        <v>23/25</v>
      </c>
    </row>
    <row r="164" spans="2:11" x14ac:dyDescent="0.25">
      <c r="C164" t="s">
        <v>776</v>
      </c>
    </row>
    <row r="166" spans="2:11" x14ac:dyDescent="0.25">
      <c r="B166" t="s">
        <v>37</v>
      </c>
      <c r="C166" t="s">
        <v>338</v>
      </c>
    </row>
    <row r="168" spans="2:11" x14ac:dyDescent="0.25">
      <c r="C168" t="s">
        <v>11</v>
      </c>
      <c r="F168" t="s">
        <v>605</v>
      </c>
      <c r="J168" t="s">
        <v>13</v>
      </c>
    </row>
    <row r="169" spans="2:11" x14ac:dyDescent="0.25">
      <c r="D169" t="s">
        <v>14</v>
      </c>
      <c r="E169" t="s">
        <v>1</v>
      </c>
      <c r="F169" t="s">
        <v>3</v>
      </c>
      <c r="G169" t="s">
        <v>2</v>
      </c>
      <c r="I169" t="s">
        <v>1</v>
      </c>
      <c r="J169" t="s">
        <v>3</v>
      </c>
      <c r="K169" t="s">
        <v>2</v>
      </c>
    </row>
    <row r="170" spans="2:11" x14ac:dyDescent="0.25">
      <c r="C170" t="s">
        <v>320</v>
      </c>
    </row>
    <row r="172" spans="2:11" x14ac:dyDescent="0.25">
      <c r="C172" t="s">
        <v>17</v>
      </c>
      <c r="F172" t="s">
        <v>605</v>
      </c>
      <c r="J172" t="s">
        <v>13</v>
      </c>
    </row>
    <row r="173" spans="2:11" x14ac:dyDescent="0.25">
      <c r="D173" t="s">
        <v>14</v>
      </c>
      <c r="E173" t="s">
        <v>1</v>
      </c>
      <c r="F173" t="s">
        <v>3</v>
      </c>
      <c r="G173" t="s">
        <v>2</v>
      </c>
      <c r="I173" t="s">
        <v>1</v>
      </c>
      <c r="J173" t="s">
        <v>3</v>
      </c>
      <c r="K173" t="s">
        <v>2</v>
      </c>
    </row>
    <row r="174" spans="2:11" x14ac:dyDescent="0.25">
      <c r="C174" t="s">
        <v>320</v>
      </c>
    </row>
    <row r="176" spans="2:11" x14ac:dyDescent="0.25">
      <c r="C176" t="s">
        <v>18</v>
      </c>
      <c r="F176" t="s">
        <v>605</v>
      </c>
      <c r="J176" t="s">
        <v>13</v>
      </c>
    </row>
    <row r="177" spans="2:11" x14ac:dyDescent="0.25">
      <c r="D177" t="s">
        <v>14</v>
      </c>
      <c r="E177" t="s">
        <v>1</v>
      </c>
      <c r="F177" t="s">
        <v>3</v>
      </c>
      <c r="G177" t="s">
        <v>2</v>
      </c>
      <c r="I177" t="s">
        <v>1</v>
      </c>
      <c r="J177" t="s">
        <v>3</v>
      </c>
      <c r="K177" t="s">
        <v>2</v>
      </c>
    </row>
    <row r="178" spans="2:11" x14ac:dyDescent="0.25">
      <c r="C178" t="s">
        <v>320</v>
      </c>
    </row>
    <row r="180" spans="2:11" x14ac:dyDescent="0.25">
      <c r="C180" t="s">
        <v>36</v>
      </c>
      <c r="F180" t="s">
        <v>605</v>
      </c>
      <c r="J180" t="s">
        <v>13</v>
      </c>
    </row>
    <row r="181" spans="2:11" x14ac:dyDescent="0.25">
      <c r="D181" t="s">
        <v>14</v>
      </c>
      <c r="E181" t="s">
        <v>1</v>
      </c>
      <c r="F181" t="s">
        <v>3</v>
      </c>
      <c r="G181" t="s">
        <v>2</v>
      </c>
      <c r="I181" t="s">
        <v>1</v>
      </c>
      <c r="J181" t="s">
        <v>3</v>
      </c>
      <c r="K181" t="s">
        <v>2</v>
      </c>
    </row>
    <row r="182" spans="2:11" x14ac:dyDescent="0.25">
      <c r="C182" t="s">
        <v>320</v>
      </c>
    </row>
    <row r="184" spans="2:11" x14ac:dyDescent="0.25">
      <c r="B184" t="s">
        <v>38</v>
      </c>
      <c r="C184" t="s">
        <v>339</v>
      </c>
    </row>
    <row r="186" spans="2:11" x14ac:dyDescent="0.25">
      <c r="C186" t="s">
        <v>11</v>
      </c>
      <c r="F186" t="s">
        <v>605</v>
      </c>
      <c r="J186" t="s">
        <v>13</v>
      </c>
    </row>
    <row r="187" spans="2:11" x14ac:dyDescent="0.25">
      <c r="D187" t="s">
        <v>14</v>
      </c>
      <c r="E187" t="s">
        <v>1</v>
      </c>
      <c r="F187" t="s">
        <v>3</v>
      </c>
      <c r="G187" t="s">
        <v>2</v>
      </c>
      <c r="I187" t="s">
        <v>1</v>
      </c>
      <c r="J187" t="s">
        <v>3</v>
      </c>
      <c r="K187" t="s">
        <v>2</v>
      </c>
    </row>
    <row r="188" spans="2:11" x14ac:dyDescent="0.25">
      <c r="C188" t="s">
        <v>320</v>
      </c>
    </row>
    <row r="190" spans="2:11" x14ac:dyDescent="0.25">
      <c r="C190" t="s">
        <v>17</v>
      </c>
      <c r="F190" t="s">
        <v>605</v>
      </c>
      <c r="J190" t="s">
        <v>13</v>
      </c>
    </row>
    <row r="191" spans="2:11" x14ac:dyDescent="0.25">
      <c r="D191" t="s">
        <v>14</v>
      </c>
      <c r="E191" t="s">
        <v>1</v>
      </c>
      <c r="F191" t="s">
        <v>3</v>
      </c>
      <c r="G191" t="s">
        <v>2</v>
      </c>
      <c r="I191" t="s">
        <v>1</v>
      </c>
      <c r="J191" t="s">
        <v>3</v>
      </c>
      <c r="K191" t="s">
        <v>2</v>
      </c>
    </row>
    <row r="192" spans="2:11" x14ac:dyDescent="0.25">
      <c r="C192" t="s">
        <v>320</v>
      </c>
    </row>
    <row r="194" spans="1:11" x14ac:dyDescent="0.25">
      <c r="C194" t="s">
        <v>18</v>
      </c>
      <c r="F194" t="s">
        <v>605</v>
      </c>
      <c r="J194" t="s">
        <v>13</v>
      </c>
    </row>
    <row r="195" spans="1:11" x14ac:dyDescent="0.25">
      <c r="D195" t="s">
        <v>14</v>
      </c>
      <c r="E195" t="s">
        <v>1</v>
      </c>
      <c r="F195" t="s">
        <v>3</v>
      </c>
      <c r="G195" t="s">
        <v>2</v>
      </c>
      <c r="I195" t="s">
        <v>1</v>
      </c>
      <c r="J195" t="s">
        <v>3</v>
      </c>
      <c r="K195" t="s">
        <v>2</v>
      </c>
    </row>
    <row r="196" spans="1:11" x14ac:dyDescent="0.25">
      <c r="C196" t="s">
        <v>320</v>
      </c>
    </row>
    <row r="198" spans="1:11" x14ac:dyDescent="0.25">
      <c r="C198" t="s">
        <v>36</v>
      </c>
      <c r="F198" t="s">
        <v>605</v>
      </c>
      <c r="J198" t="s">
        <v>13</v>
      </c>
    </row>
    <row r="199" spans="1:11" x14ac:dyDescent="0.25">
      <c r="D199" t="s">
        <v>14</v>
      </c>
      <c r="E199" t="s">
        <v>1</v>
      </c>
      <c r="F199" t="s">
        <v>3</v>
      </c>
      <c r="G199" t="s">
        <v>2</v>
      </c>
      <c r="I199" t="s">
        <v>1</v>
      </c>
      <c r="J199" t="s">
        <v>3</v>
      </c>
      <c r="K199" t="s">
        <v>2</v>
      </c>
    </row>
    <row r="200" spans="1:11" x14ac:dyDescent="0.25">
      <c r="C200" t="s">
        <v>320</v>
      </c>
    </row>
    <row r="204" spans="1:11" x14ac:dyDescent="0.25">
      <c r="A204" t="s">
        <v>0</v>
      </c>
      <c r="B204" t="s">
        <v>643</v>
      </c>
    </row>
    <row r="206" spans="1:11" x14ac:dyDescent="0.25">
      <c r="B206" t="s">
        <v>10</v>
      </c>
      <c r="C206" t="s">
        <v>177</v>
      </c>
    </row>
    <row r="208" spans="1:11" x14ac:dyDescent="0.25">
      <c r="C208" t="s">
        <v>11</v>
      </c>
      <c r="F208" t="s">
        <v>605</v>
      </c>
      <c r="J208" t="s">
        <v>13</v>
      </c>
    </row>
    <row r="209" spans="3:11" x14ac:dyDescent="0.25">
      <c r="D209" t="s">
        <v>14</v>
      </c>
      <c r="E209" t="s">
        <v>1</v>
      </c>
      <c r="F209" t="s">
        <v>3</v>
      </c>
      <c r="G209" t="s">
        <v>2</v>
      </c>
      <c r="I209" t="s">
        <v>1</v>
      </c>
      <c r="J209" t="s">
        <v>3</v>
      </c>
      <c r="K209" t="s">
        <v>2</v>
      </c>
    </row>
    <row r="210" spans="3:11" x14ac:dyDescent="0.25">
      <c r="C210" t="s">
        <v>178</v>
      </c>
      <c r="D210" t="s">
        <v>452</v>
      </c>
      <c r="E210">
        <v>18.61</v>
      </c>
      <c r="F210">
        <v>34.89</v>
      </c>
      <c r="G210">
        <v>31.78</v>
      </c>
      <c r="I210" t="str">
        <f>"438/20823"</f>
        <v>438/20823</v>
      </c>
      <c r="J210" t="str">
        <f>"322/9922"</f>
        <v>322/9922</v>
      </c>
      <c r="K210" t="str">
        <f>"481/15176"</f>
        <v>481/15176</v>
      </c>
    </row>
    <row r="211" spans="3:11" x14ac:dyDescent="0.25">
      <c r="C211" t="s">
        <v>179</v>
      </c>
      <c r="D211" t="s">
        <v>159</v>
      </c>
      <c r="E211">
        <v>22.06</v>
      </c>
      <c r="F211">
        <v>34.1</v>
      </c>
      <c r="G211">
        <v>26.34</v>
      </c>
      <c r="I211" t="str">
        <f>"479/10493"</f>
        <v>479/10493</v>
      </c>
      <c r="J211" t="str">
        <f>"477/5844"</f>
        <v>477/5844</v>
      </c>
      <c r="K211" t="str">
        <f>"721/11513"</f>
        <v>721/11513</v>
      </c>
    </row>
    <row r="212" spans="3:11" x14ac:dyDescent="0.25">
      <c r="C212" t="s">
        <v>180</v>
      </c>
      <c r="D212" t="s">
        <v>158</v>
      </c>
      <c r="E212">
        <v>20.329999999999998</v>
      </c>
      <c r="F212">
        <v>33.29</v>
      </c>
      <c r="G212">
        <v>24.89</v>
      </c>
      <c r="I212" t="str">
        <f>"493/15862"</f>
        <v>493/15862</v>
      </c>
      <c r="J212" t="str">
        <f>"507/8067"</f>
        <v>507/8067</v>
      </c>
      <c r="K212" t="str">
        <f>"782/15503"</f>
        <v>782/15503</v>
      </c>
    </row>
    <row r="213" spans="3:11" x14ac:dyDescent="0.25">
      <c r="C213" t="s">
        <v>181</v>
      </c>
      <c r="D213" t="s">
        <v>451</v>
      </c>
      <c r="E213">
        <v>20.78</v>
      </c>
      <c r="F213">
        <v>31.63</v>
      </c>
      <c r="G213">
        <v>25.45</v>
      </c>
      <c r="I213" t="str">
        <f>"498/26316"</f>
        <v>498/26316</v>
      </c>
      <c r="J213" t="str">
        <f>"520/13975"</f>
        <v>520/13975</v>
      </c>
      <c r="K213" t="str">
        <f>"740/24266"</f>
        <v>740/24266</v>
      </c>
    </row>
    <row r="214" spans="3:11" x14ac:dyDescent="0.25">
      <c r="C214" t="s">
        <v>182</v>
      </c>
      <c r="D214" t="s">
        <v>496</v>
      </c>
      <c r="E214">
        <v>19.420000000000002</v>
      </c>
      <c r="F214">
        <v>31.76</v>
      </c>
      <c r="G214">
        <v>25.01</v>
      </c>
      <c r="I214" t="str">
        <f>"431/13269"</f>
        <v>431/13269</v>
      </c>
      <c r="J214" t="str">
        <f>"536/8801"</f>
        <v>536/8801</v>
      </c>
      <c r="K214" t="str">
        <f>"738/16326"</f>
        <v>738/16326</v>
      </c>
    </row>
    <row r="215" spans="3:11" x14ac:dyDescent="0.25">
      <c r="C215" t="s">
        <v>183</v>
      </c>
      <c r="D215" t="s">
        <v>494</v>
      </c>
      <c r="E215">
        <v>19.41</v>
      </c>
      <c r="F215">
        <v>31.76</v>
      </c>
      <c r="G215">
        <v>25.01</v>
      </c>
      <c r="I215" t="str">
        <f>"432/13305"</f>
        <v>432/13305</v>
      </c>
      <c r="J215" t="str">
        <f>"536/8801"</f>
        <v>536/8801</v>
      </c>
      <c r="K215" t="str">
        <f>"738/16326"</f>
        <v>738/16326</v>
      </c>
    </row>
    <row r="216" spans="3:11" x14ac:dyDescent="0.25">
      <c r="C216" t="s">
        <v>184</v>
      </c>
      <c r="D216" t="s">
        <v>495</v>
      </c>
      <c r="E216">
        <v>19.41</v>
      </c>
      <c r="F216">
        <v>31.76</v>
      </c>
      <c r="G216">
        <v>25.01</v>
      </c>
      <c r="I216" t="str">
        <f>"432/13305"</f>
        <v>432/13305</v>
      </c>
      <c r="J216" t="str">
        <f>"536/8801"</f>
        <v>536/8801</v>
      </c>
      <c r="K216" t="str">
        <f>"738/16326"</f>
        <v>738/16326</v>
      </c>
    </row>
    <row r="217" spans="3:11" x14ac:dyDescent="0.25">
      <c r="C217" t="s">
        <v>185</v>
      </c>
      <c r="D217" t="s">
        <v>506</v>
      </c>
      <c r="E217">
        <v>19.05</v>
      </c>
      <c r="F217">
        <v>32.44</v>
      </c>
      <c r="G217">
        <v>24.06</v>
      </c>
      <c r="I217" t="str">
        <f>"600/11479"</f>
        <v>600/11479</v>
      </c>
      <c r="J217" t="str">
        <f>"538/9774"</f>
        <v>538/9774</v>
      </c>
      <c r="K217" t="str">
        <f>"800/12092"</f>
        <v>800/12092</v>
      </c>
    </row>
    <row r="218" spans="3:11" x14ac:dyDescent="0.25">
      <c r="C218" t="s">
        <v>186</v>
      </c>
      <c r="D218" t="s">
        <v>492</v>
      </c>
      <c r="E218">
        <v>19.5</v>
      </c>
      <c r="F218">
        <v>30.75</v>
      </c>
      <c r="G218">
        <v>23.98</v>
      </c>
      <c r="I218" t="str">
        <f>"453/14120"</f>
        <v>453/14120</v>
      </c>
      <c r="J218" t="str">
        <f>"560/9334"</f>
        <v>560/9334</v>
      </c>
      <c r="K218" t="str">
        <f>"776/17581"</f>
        <v>776/17581</v>
      </c>
    </row>
    <row r="219" spans="3:11" x14ac:dyDescent="0.25">
      <c r="C219" t="s">
        <v>187</v>
      </c>
      <c r="D219" t="s">
        <v>493</v>
      </c>
      <c r="E219">
        <v>19.5</v>
      </c>
      <c r="F219">
        <v>30.75</v>
      </c>
      <c r="G219">
        <v>23.98</v>
      </c>
      <c r="I219" t="str">
        <f>"453/14120"</f>
        <v>453/14120</v>
      </c>
      <c r="J219" t="str">
        <f>"560/9334"</f>
        <v>560/9334</v>
      </c>
      <c r="K219" t="str">
        <f>"776/17581"</f>
        <v>776/17581</v>
      </c>
    </row>
    <row r="220" spans="3:11" x14ac:dyDescent="0.25">
      <c r="C220" t="s">
        <v>188</v>
      </c>
      <c r="D220" t="s">
        <v>143</v>
      </c>
      <c r="E220">
        <v>18.899999999999999</v>
      </c>
      <c r="F220">
        <v>30.09</v>
      </c>
      <c r="G220">
        <v>23.27</v>
      </c>
      <c r="I220" t="str">
        <f>"589/22930"</f>
        <v>589/22930</v>
      </c>
      <c r="J220" t="str">
        <f>"576/11874"</f>
        <v>576/11874</v>
      </c>
      <c r="K220" t="str">
        <f>"847/20197"</f>
        <v>847/20197</v>
      </c>
    </row>
    <row r="221" spans="3:11" x14ac:dyDescent="0.25">
      <c r="C221" t="s">
        <v>189</v>
      </c>
      <c r="D221" t="s">
        <v>171</v>
      </c>
      <c r="E221">
        <v>15.76</v>
      </c>
      <c r="F221">
        <v>31.49</v>
      </c>
      <c r="G221">
        <v>24.96</v>
      </c>
      <c r="I221" t="str">
        <f>"574/36657"</f>
        <v>574/36657</v>
      </c>
      <c r="J221" t="str">
        <f>"516/15052"</f>
        <v>516/15052</v>
      </c>
      <c r="K221" t="str">
        <f>"745/31511"</f>
        <v>745/31511</v>
      </c>
    </row>
    <row r="222" spans="3:11" x14ac:dyDescent="0.25">
      <c r="C222" t="s">
        <v>190</v>
      </c>
      <c r="D222" t="s">
        <v>142</v>
      </c>
      <c r="E222">
        <v>18.84</v>
      </c>
      <c r="F222">
        <v>30.09</v>
      </c>
      <c r="G222">
        <v>23.2</v>
      </c>
      <c r="I222" t="str">
        <f>"591/22934"</f>
        <v>591/22934</v>
      </c>
      <c r="J222" t="str">
        <f>"576/11874"</f>
        <v>576/11874</v>
      </c>
      <c r="K222" t="str">
        <f>"850/20221"</f>
        <v>850/20221</v>
      </c>
    </row>
    <row r="223" spans="3:11" x14ac:dyDescent="0.25">
      <c r="C223" t="s">
        <v>191</v>
      </c>
      <c r="D223" t="s">
        <v>498</v>
      </c>
      <c r="E223">
        <v>19.36</v>
      </c>
      <c r="F223">
        <v>29.38</v>
      </c>
      <c r="G223">
        <v>22.9</v>
      </c>
      <c r="I223" t="str">
        <f>"491/13737"</f>
        <v>491/13737</v>
      </c>
      <c r="J223" t="str">
        <f>"592/9389"</f>
        <v>592/9389</v>
      </c>
      <c r="K223" t="str">
        <f>"816/17937"</f>
        <v>816/17937</v>
      </c>
    </row>
    <row r="224" spans="3:11" x14ac:dyDescent="0.25">
      <c r="C224" t="s">
        <v>192</v>
      </c>
      <c r="D224" t="s">
        <v>156</v>
      </c>
      <c r="E224">
        <v>14.48</v>
      </c>
      <c r="F224">
        <v>29.57</v>
      </c>
      <c r="G224">
        <v>25.94</v>
      </c>
      <c r="I224" t="str">
        <f>"470/18954"</f>
        <v>470/18954</v>
      </c>
      <c r="J224" t="str">
        <f>"428/9695"</f>
        <v>428/9695</v>
      </c>
      <c r="K224" t="str">
        <f>"679/16550"</f>
        <v>679/16550</v>
      </c>
    </row>
    <row r="225" spans="3:11" x14ac:dyDescent="0.25">
      <c r="C225" t="s">
        <v>193</v>
      </c>
      <c r="D225" t="s">
        <v>501</v>
      </c>
      <c r="E225">
        <v>19.46</v>
      </c>
      <c r="F225">
        <v>28.15</v>
      </c>
      <c r="G225">
        <v>22.1</v>
      </c>
      <c r="I225" t="str">
        <f>"517/14118"</f>
        <v>517/14118</v>
      </c>
      <c r="J225" t="str">
        <f>"621/9831"</f>
        <v>621/9831</v>
      </c>
      <c r="K225" t="str">
        <f>"852/18731"</f>
        <v>852/18731</v>
      </c>
    </row>
    <row r="226" spans="3:11" x14ac:dyDescent="0.25">
      <c r="C226" t="s">
        <v>194</v>
      </c>
      <c r="D226" t="s">
        <v>151</v>
      </c>
      <c r="E226">
        <v>14.35</v>
      </c>
      <c r="F226">
        <v>29.58</v>
      </c>
      <c r="G226">
        <v>25.69</v>
      </c>
      <c r="I226" t="str">
        <f>"478/19068"</f>
        <v>478/19068</v>
      </c>
      <c r="J226" t="str">
        <f>"435/9748"</f>
        <v>435/9748</v>
      </c>
      <c r="K226" t="str">
        <f>"693/16728"</f>
        <v>693/16728</v>
      </c>
    </row>
    <row r="227" spans="3:11" x14ac:dyDescent="0.25">
      <c r="C227" t="s">
        <v>644</v>
      </c>
    </row>
    <row r="229" spans="3:11" x14ac:dyDescent="0.25">
      <c r="C229" t="s">
        <v>17</v>
      </c>
      <c r="F229" t="s">
        <v>605</v>
      </c>
      <c r="J229" t="s">
        <v>13</v>
      </c>
    </row>
    <row r="230" spans="3:11" x14ac:dyDescent="0.25">
      <c r="D230" t="s">
        <v>14</v>
      </c>
      <c r="E230" t="s">
        <v>1</v>
      </c>
      <c r="F230" t="s">
        <v>3</v>
      </c>
      <c r="G230" t="s">
        <v>2</v>
      </c>
      <c r="I230" t="s">
        <v>1</v>
      </c>
      <c r="J230" t="s">
        <v>3</v>
      </c>
      <c r="K230" t="s">
        <v>2</v>
      </c>
    </row>
    <row r="231" spans="3:11" x14ac:dyDescent="0.25">
      <c r="C231" t="s">
        <v>178</v>
      </c>
      <c r="D231" t="s">
        <v>645</v>
      </c>
      <c r="E231">
        <v>21.26</v>
      </c>
      <c r="F231">
        <v>46.28</v>
      </c>
      <c r="G231">
        <v>35.83</v>
      </c>
      <c r="I231" t="str">
        <f>"331/6306"</f>
        <v>331/6306</v>
      </c>
      <c r="J231" t="str">
        <f>"311/3985"</f>
        <v>311/3985</v>
      </c>
      <c r="K231" t="str">
        <f>"494/5168"</f>
        <v>494/5168</v>
      </c>
    </row>
    <row r="232" spans="3:11" x14ac:dyDescent="0.25">
      <c r="C232" t="s">
        <v>179</v>
      </c>
      <c r="D232" t="s">
        <v>154</v>
      </c>
      <c r="E232">
        <v>18.350000000000001</v>
      </c>
      <c r="F232">
        <v>42.64</v>
      </c>
      <c r="G232">
        <v>35.36</v>
      </c>
      <c r="I232" t="str">
        <f>"350/18732"</f>
        <v>350/18732</v>
      </c>
      <c r="J232" t="str">
        <f>"289/9436"</f>
        <v>289/9436</v>
      </c>
      <c r="K232" t="str">
        <f>"431/15387"</f>
        <v>431/15387</v>
      </c>
    </row>
    <row r="233" spans="3:11" x14ac:dyDescent="0.25">
      <c r="C233" t="s">
        <v>180</v>
      </c>
      <c r="D233" t="s">
        <v>474</v>
      </c>
      <c r="E233">
        <v>18.87</v>
      </c>
      <c r="F233">
        <v>42.97</v>
      </c>
      <c r="G233">
        <v>33.75</v>
      </c>
      <c r="I233" t="str">
        <f>"350/10330"</f>
        <v>350/10330</v>
      </c>
      <c r="J233" t="str">
        <f>"320/6022"</f>
        <v>320/6022</v>
      </c>
      <c r="K233" t="str">
        <f>"514/7907"</f>
        <v>514/7907</v>
      </c>
    </row>
    <row r="234" spans="3:11" x14ac:dyDescent="0.25">
      <c r="C234" t="s">
        <v>181</v>
      </c>
      <c r="D234" t="s">
        <v>646</v>
      </c>
      <c r="E234">
        <v>19.649999999999999</v>
      </c>
      <c r="F234">
        <v>42.55</v>
      </c>
      <c r="G234">
        <v>32.58</v>
      </c>
      <c r="I234" t="str">
        <f>"371/8087"</f>
        <v>371/8087</v>
      </c>
      <c r="J234" t="str">
        <f>"337/5125"</f>
        <v>337/5125</v>
      </c>
      <c r="K234" t="str">
        <f>"548/7088"</f>
        <v>548/7088</v>
      </c>
    </row>
    <row r="235" spans="3:11" x14ac:dyDescent="0.25">
      <c r="C235" t="s">
        <v>182</v>
      </c>
      <c r="D235" t="s">
        <v>262</v>
      </c>
      <c r="E235">
        <v>16.760000000000002</v>
      </c>
      <c r="F235">
        <v>43.38</v>
      </c>
      <c r="G235">
        <v>31.76</v>
      </c>
      <c r="I235" t="str">
        <f>"360/35759"</f>
        <v>360/35759</v>
      </c>
      <c r="J235" t="str">
        <f>"319/15720"</f>
        <v>319/15720</v>
      </c>
      <c r="K235" t="str">
        <f>"482/28709"</f>
        <v>482/28709</v>
      </c>
    </row>
    <row r="236" spans="3:11" x14ac:dyDescent="0.25">
      <c r="C236" t="s">
        <v>183</v>
      </c>
      <c r="D236" t="s">
        <v>476</v>
      </c>
      <c r="E236">
        <v>18.48</v>
      </c>
      <c r="F236">
        <v>41.28</v>
      </c>
      <c r="G236">
        <v>31.98</v>
      </c>
      <c r="I236" t="str">
        <f>"376/10934"</f>
        <v>376/10934</v>
      </c>
      <c r="J236" t="str">
        <f>"344/6449"</f>
        <v>344/6449</v>
      </c>
      <c r="K236" t="str">
        <f>"554/8367"</f>
        <v>554/8367</v>
      </c>
    </row>
    <row r="237" spans="3:11" x14ac:dyDescent="0.25">
      <c r="C237" t="s">
        <v>184</v>
      </c>
      <c r="D237" t="s">
        <v>147</v>
      </c>
      <c r="E237">
        <v>14.44</v>
      </c>
      <c r="F237">
        <v>40.28</v>
      </c>
      <c r="G237">
        <v>34.299999999999997</v>
      </c>
      <c r="I237" t="str">
        <f>"385/42304"</f>
        <v>385/42304</v>
      </c>
      <c r="J237" t="str">
        <f>"253/14929"</f>
        <v>253/14929</v>
      </c>
      <c r="K237" t="str">
        <f>"382/31608"</f>
        <v>382/31608</v>
      </c>
    </row>
    <row r="238" spans="3:11" x14ac:dyDescent="0.25">
      <c r="C238" t="s">
        <v>185</v>
      </c>
      <c r="D238" t="s">
        <v>409</v>
      </c>
      <c r="E238">
        <v>18.309999999999999</v>
      </c>
      <c r="F238">
        <v>42.03</v>
      </c>
      <c r="G238">
        <v>27.89</v>
      </c>
      <c r="I238" t="str">
        <f>"382/17277"</f>
        <v>382/17277</v>
      </c>
      <c r="J238" t="str">
        <f>"362/3381"</f>
        <v>362/3381</v>
      </c>
      <c r="K238" t="str">
        <f>"645/6937"</f>
        <v>645/6937</v>
      </c>
    </row>
    <row r="239" spans="3:11" x14ac:dyDescent="0.25">
      <c r="C239" t="s">
        <v>186</v>
      </c>
      <c r="D239" t="s">
        <v>149</v>
      </c>
      <c r="E239">
        <v>13.93</v>
      </c>
      <c r="F239">
        <v>38.409999999999997</v>
      </c>
      <c r="G239">
        <v>34.81</v>
      </c>
      <c r="I239" t="str">
        <f>"340/18530"</f>
        <v>340/18530</v>
      </c>
      <c r="J239" t="str">
        <f>"268/7581"</f>
        <v>268/7581</v>
      </c>
      <c r="K239" t="str">
        <f>"410/14963"</f>
        <v>410/14963</v>
      </c>
    </row>
    <row r="240" spans="3:11" x14ac:dyDescent="0.25">
      <c r="C240" t="s">
        <v>187</v>
      </c>
      <c r="D240" t="s">
        <v>163</v>
      </c>
      <c r="E240">
        <v>21.53</v>
      </c>
      <c r="F240">
        <v>37</v>
      </c>
      <c r="G240">
        <v>27.96</v>
      </c>
      <c r="I240" t="str">
        <f>"467/7088"</f>
        <v>467/7088</v>
      </c>
      <c r="J240" t="str">
        <f>"478/3844"</f>
        <v>478/3844</v>
      </c>
      <c r="K240" t="str">
        <f>"672/6968"</f>
        <v>672/6968</v>
      </c>
    </row>
    <row r="241" spans="3:11" x14ac:dyDescent="0.25">
      <c r="C241" t="s">
        <v>188</v>
      </c>
      <c r="D241" t="s">
        <v>155</v>
      </c>
      <c r="E241">
        <v>13.73</v>
      </c>
      <c r="F241">
        <v>38</v>
      </c>
      <c r="G241">
        <v>34.619999999999997</v>
      </c>
      <c r="I241" t="str">
        <f>"338/18515"</f>
        <v>338/18515</v>
      </c>
      <c r="J241" t="str">
        <f>"262/7547"</f>
        <v>262/7547</v>
      </c>
      <c r="K241" t="str">
        <f>"400/14916"</f>
        <v>400/14916</v>
      </c>
    </row>
    <row r="242" spans="3:11" x14ac:dyDescent="0.25">
      <c r="C242" t="s">
        <v>189</v>
      </c>
      <c r="D242" t="s">
        <v>169</v>
      </c>
      <c r="E242">
        <v>21.85</v>
      </c>
      <c r="F242">
        <v>37.08</v>
      </c>
      <c r="G242">
        <v>26.71</v>
      </c>
      <c r="I242" t="str">
        <f>"481/9480"</f>
        <v>481/9480</v>
      </c>
      <c r="J242" t="str">
        <f>"452/4320"</f>
        <v>452/4320</v>
      </c>
      <c r="K242" t="str">
        <f>"728/9888"</f>
        <v>728/9888</v>
      </c>
    </row>
    <row r="243" spans="3:11" x14ac:dyDescent="0.25">
      <c r="C243" t="s">
        <v>190</v>
      </c>
      <c r="D243" t="s">
        <v>157</v>
      </c>
      <c r="E243">
        <v>18.7</v>
      </c>
      <c r="F243">
        <v>37.869999999999997</v>
      </c>
      <c r="G243">
        <v>28.95</v>
      </c>
      <c r="I243" t="str">
        <f>"462/12760"</f>
        <v>462/12760</v>
      </c>
      <c r="J243" t="str">
        <f>"395/7305"</f>
        <v>395/7305</v>
      </c>
      <c r="K243" t="str">
        <f>"633/9627"</f>
        <v>633/9627</v>
      </c>
    </row>
    <row r="244" spans="3:11" x14ac:dyDescent="0.25">
      <c r="C244" t="s">
        <v>191</v>
      </c>
      <c r="D244" t="s">
        <v>647</v>
      </c>
      <c r="E244">
        <v>18.420000000000002</v>
      </c>
      <c r="F244">
        <v>39.15</v>
      </c>
      <c r="G244">
        <v>26.86</v>
      </c>
      <c r="I244" t="str">
        <f>"391/17403"</f>
        <v>391/17403</v>
      </c>
      <c r="J244" t="str">
        <f>"396/3779"</f>
        <v>396/3779</v>
      </c>
      <c r="K244" t="str">
        <f>"677/7233"</f>
        <v>677/7233</v>
      </c>
    </row>
    <row r="245" spans="3:11" x14ac:dyDescent="0.25">
      <c r="C245" t="s">
        <v>192</v>
      </c>
      <c r="D245" t="s">
        <v>153</v>
      </c>
      <c r="E245">
        <v>19.59</v>
      </c>
      <c r="F245">
        <v>36.97</v>
      </c>
      <c r="G245">
        <v>27.42</v>
      </c>
      <c r="I245" t="str">
        <f>"571/16489"</f>
        <v>571/16489</v>
      </c>
      <c r="J245" t="str">
        <f>"462/6731"</f>
        <v>462/6731</v>
      </c>
      <c r="K245" t="str">
        <f>"702/10113"</f>
        <v>702/10113</v>
      </c>
    </row>
    <row r="246" spans="3:11" x14ac:dyDescent="0.25">
      <c r="C246" t="s">
        <v>648</v>
      </c>
    </row>
    <row r="248" spans="3:11" x14ac:dyDescent="0.25">
      <c r="C248" t="s">
        <v>18</v>
      </c>
      <c r="F248" t="s">
        <v>605</v>
      </c>
      <c r="J248" t="s">
        <v>13</v>
      </c>
    </row>
    <row r="249" spans="3:11" x14ac:dyDescent="0.25">
      <c r="D249" t="s">
        <v>14</v>
      </c>
      <c r="E249" t="s">
        <v>1</v>
      </c>
      <c r="F249" t="s">
        <v>3</v>
      </c>
      <c r="G249" t="s">
        <v>2</v>
      </c>
      <c r="I249" t="s">
        <v>1</v>
      </c>
      <c r="J249" t="s">
        <v>3</v>
      </c>
      <c r="K249" t="s">
        <v>2</v>
      </c>
    </row>
    <row r="250" spans="3:11" x14ac:dyDescent="0.25">
      <c r="C250" t="s">
        <v>178</v>
      </c>
      <c r="D250" t="s">
        <v>281</v>
      </c>
      <c r="E250">
        <v>18.670000000000002</v>
      </c>
      <c r="F250">
        <v>35.770000000000003</v>
      </c>
      <c r="G250">
        <v>40.39</v>
      </c>
      <c r="I250" t="str">
        <f>"172/8035"</f>
        <v>172/8035</v>
      </c>
      <c r="J250" t="str">
        <f>"160/4086"</f>
        <v>160/4086</v>
      </c>
      <c r="K250" t="str">
        <f>"251/6741"</f>
        <v>251/6741</v>
      </c>
    </row>
    <row r="251" spans="3:11" x14ac:dyDescent="0.25">
      <c r="C251" t="s">
        <v>777</v>
      </c>
    </row>
    <row r="253" spans="3:11" x14ac:dyDescent="0.25">
      <c r="C253" t="s">
        <v>36</v>
      </c>
      <c r="F253" t="s">
        <v>605</v>
      </c>
      <c r="J253" t="s">
        <v>13</v>
      </c>
    </row>
    <row r="254" spans="3:11" x14ac:dyDescent="0.25">
      <c r="D254" t="s">
        <v>14</v>
      </c>
      <c r="E254" t="s">
        <v>1</v>
      </c>
      <c r="F254" t="s">
        <v>3</v>
      </c>
      <c r="G254" t="s">
        <v>2</v>
      </c>
      <c r="I254" t="s">
        <v>1</v>
      </c>
      <c r="J254" t="s">
        <v>3</v>
      </c>
      <c r="K254" t="s">
        <v>2</v>
      </c>
    </row>
    <row r="255" spans="3:11" x14ac:dyDescent="0.25">
      <c r="C255" t="s">
        <v>178</v>
      </c>
      <c r="D255" t="s">
        <v>469</v>
      </c>
      <c r="E255">
        <v>24.14</v>
      </c>
      <c r="F255">
        <v>34.94</v>
      </c>
      <c r="G255">
        <v>26.58</v>
      </c>
      <c r="I255" t="str">
        <f>"449/16785"</f>
        <v>449/16785</v>
      </c>
      <c r="J255" t="str">
        <f>"513/8355"</f>
        <v>513/8355</v>
      </c>
      <c r="K255" t="str">
        <f>"741/14565"</f>
        <v>741/14565</v>
      </c>
    </row>
    <row r="256" spans="3:11" x14ac:dyDescent="0.25">
      <c r="C256" t="s">
        <v>179</v>
      </c>
      <c r="D256" t="s">
        <v>467</v>
      </c>
      <c r="E256">
        <v>24.14</v>
      </c>
      <c r="F256">
        <v>34.94</v>
      </c>
      <c r="G256">
        <v>26.58</v>
      </c>
      <c r="I256" t="str">
        <f>"449/16785"</f>
        <v>449/16785</v>
      </c>
      <c r="J256" t="str">
        <f>"513/8355"</f>
        <v>513/8355</v>
      </c>
      <c r="K256" t="str">
        <f>"741/14565"</f>
        <v>741/14565</v>
      </c>
    </row>
    <row r="257" spans="2:11" x14ac:dyDescent="0.25">
      <c r="C257" t="s">
        <v>180</v>
      </c>
      <c r="D257" t="s">
        <v>65</v>
      </c>
      <c r="E257">
        <v>24.92</v>
      </c>
      <c r="F257">
        <v>35.47</v>
      </c>
      <c r="G257">
        <v>24.82</v>
      </c>
      <c r="I257" t="str">
        <f>"484/2887"</f>
        <v>484/2887</v>
      </c>
      <c r="J257" t="str">
        <f>"504/3786"</f>
        <v>504/3786</v>
      </c>
      <c r="K257" t="str">
        <f>"785/7703"</f>
        <v>785/7703</v>
      </c>
    </row>
    <row r="258" spans="2:11" x14ac:dyDescent="0.25">
      <c r="C258" t="s">
        <v>181</v>
      </c>
      <c r="D258" t="s">
        <v>98</v>
      </c>
      <c r="E258">
        <v>22.62</v>
      </c>
      <c r="F258">
        <v>36.19</v>
      </c>
      <c r="G258">
        <v>25.53</v>
      </c>
      <c r="I258" t="str">
        <f>"472/15760"</f>
        <v>472/15760</v>
      </c>
      <c r="J258" t="str">
        <f>"464/3426"</f>
        <v>464/3426</v>
      </c>
      <c r="K258" t="str">
        <f>"769/8141"</f>
        <v>769/8141</v>
      </c>
    </row>
    <row r="259" spans="2:11" x14ac:dyDescent="0.25">
      <c r="C259" t="s">
        <v>182</v>
      </c>
      <c r="D259" t="s">
        <v>72</v>
      </c>
      <c r="E259">
        <v>25.62</v>
      </c>
      <c r="F259">
        <v>33.42</v>
      </c>
      <c r="G259">
        <v>24.41</v>
      </c>
      <c r="I259" t="str">
        <f>"380/3293"</f>
        <v>380/3293</v>
      </c>
      <c r="J259" t="str">
        <f>"513/3971"</f>
        <v>513/3971</v>
      </c>
      <c r="K259" t="str">
        <f>"789/7558"</f>
        <v>789/7558</v>
      </c>
    </row>
    <row r="260" spans="2:11" x14ac:dyDescent="0.25">
      <c r="C260" t="s">
        <v>778</v>
      </c>
    </row>
    <row r="262" spans="2:11" x14ac:dyDescent="0.25">
      <c r="B262" t="s">
        <v>37</v>
      </c>
      <c r="C262" t="s">
        <v>288</v>
      </c>
    </row>
    <row r="264" spans="2:11" x14ac:dyDescent="0.25">
      <c r="C264" t="s">
        <v>11</v>
      </c>
      <c r="F264" t="s">
        <v>605</v>
      </c>
      <c r="J264" t="s">
        <v>13</v>
      </c>
    </row>
    <row r="265" spans="2:11" x14ac:dyDescent="0.25">
      <c r="D265" t="s">
        <v>14</v>
      </c>
      <c r="E265" t="s">
        <v>1</v>
      </c>
      <c r="F265" t="s">
        <v>3</v>
      </c>
      <c r="G265" t="s">
        <v>2</v>
      </c>
      <c r="I265" t="s">
        <v>1</v>
      </c>
      <c r="J265" t="s">
        <v>3</v>
      </c>
      <c r="K265" t="s">
        <v>2</v>
      </c>
    </row>
    <row r="266" spans="2:11" x14ac:dyDescent="0.25">
      <c r="C266" t="s">
        <v>289</v>
      </c>
      <c r="D266" t="s">
        <v>114</v>
      </c>
      <c r="E266">
        <v>27</v>
      </c>
      <c r="F266">
        <v>45.83</v>
      </c>
      <c r="G266">
        <v>35.14</v>
      </c>
      <c r="I266" t="str">
        <f>"437/2197"</f>
        <v>437/2197</v>
      </c>
      <c r="J266" t="str">
        <f>"353/2050"</f>
        <v>353/2050</v>
      </c>
      <c r="K266" t="str">
        <f>"540/2676"</f>
        <v>540/2676</v>
      </c>
    </row>
    <row r="267" spans="2:11" x14ac:dyDescent="0.25">
      <c r="C267" t="s">
        <v>291</v>
      </c>
      <c r="D267" t="s">
        <v>512</v>
      </c>
      <c r="E267">
        <v>23.49</v>
      </c>
      <c r="F267">
        <v>45.57</v>
      </c>
      <c r="G267">
        <v>35.630000000000003</v>
      </c>
      <c r="I267" t="str">
        <f>"410/18729"</f>
        <v>410/18729</v>
      </c>
      <c r="J267" t="str">
        <f>"277/6989"</f>
        <v>277/6989</v>
      </c>
      <c r="K267" t="str">
        <f>"425/12775"</f>
        <v>425/12775</v>
      </c>
    </row>
    <row r="268" spans="2:11" x14ac:dyDescent="0.25">
      <c r="C268" t="s">
        <v>293</v>
      </c>
      <c r="D268" t="s">
        <v>511</v>
      </c>
      <c r="E268">
        <v>19.87</v>
      </c>
      <c r="F268">
        <v>40.76</v>
      </c>
      <c r="G268">
        <v>39.86</v>
      </c>
      <c r="I268" t="str">
        <f>"319/17771"</f>
        <v>319/17771</v>
      </c>
      <c r="J268" t="str">
        <f>"210/6417"</f>
        <v>210/6417</v>
      </c>
      <c r="K268" t="str">
        <f>"320/11267"</f>
        <v>320/11267</v>
      </c>
    </row>
    <row r="269" spans="2:11" x14ac:dyDescent="0.25">
      <c r="C269" t="s">
        <v>295</v>
      </c>
      <c r="D269" t="s">
        <v>123</v>
      </c>
      <c r="E269">
        <v>23.1</v>
      </c>
      <c r="F269">
        <v>42.35</v>
      </c>
      <c r="G269">
        <v>29.03</v>
      </c>
      <c r="I269" t="str">
        <f>"562/4378"</f>
        <v>562/4378</v>
      </c>
      <c r="J269" t="str">
        <f>"424/2632"</f>
        <v>424/2632</v>
      </c>
      <c r="K269" t="str">
        <f>"682/4929"</f>
        <v>682/4929</v>
      </c>
    </row>
    <row r="270" spans="2:11" x14ac:dyDescent="0.25">
      <c r="C270" t="s">
        <v>297</v>
      </c>
      <c r="D270" t="s">
        <v>124</v>
      </c>
      <c r="E270">
        <v>22.82</v>
      </c>
      <c r="F270">
        <v>39.03</v>
      </c>
      <c r="G270">
        <v>29.36</v>
      </c>
      <c r="I270" t="str">
        <f>"563/3399"</f>
        <v>563/3399</v>
      </c>
      <c r="J270" t="str">
        <f>"442/2888"</f>
        <v>442/2888</v>
      </c>
      <c r="K270" t="str">
        <f>"666/3999"</f>
        <v>666/3999</v>
      </c>
    </row>
    <row r="271" spans="2:11" x14ac:dyDescent="0.25">
      <c r="C271" t="s">
        <v>299</v>
      </c>
      <c r="D271" t="s">
        <v>115</v>
      </c>
      <c r="E271">
        <v>22.49</v>
      </c>
      <c r="F271">
        <v>40.619999999999997</v>
      </c>
      <c r="G271">
        <v>27.84</v>
      </c>
      <c r="I271" t="str">
        <f>"584/4563"</f>
        <v>584/4563</v>
      </c>
      <c r="J271" t="str">
        <f>"446/2821"</f>
        <v>446/2821</v>
      </c>
      <c r="K271" t="str">
        <f>"715/5351"</f>
        <v>715/5351</v>
      </c>
    </row>
    <row r="272" spans="2:11" x14ac:dyDescent="0.25">
      <c r="C272" t="s">
        <v>343</v>
      </c>
      <c r="D272" t="s">
        <v>117</v>
      </c>
      <c r="E272">
        <v>21.9</v>
      </c>
      <c r="F272">
        <v>39.270000000000003</v>
      </c>
      <c r="G272">
        <v>29.04</v>
      </c>
      <c r="I272" t="str">
        <f>"619/3251"</f>
        <v>619/3251</v>
      </c>
      <c r="J272" t="str">
        <f>"468/1885"</f>
        <v>468/1885</v>
      </c>
      <c r="K272" t="str">
        <f>"695/3414"</f>
        <v>695/3414</v>
      </c>
    </row>
    <row r="273" spans="3:11" x14ac:dyDescent="0.25">
      <c r="C273" t="s">
        <v>344</v>
      </c>
      <c r="D273" t="s">
        <v>120</v>
      </c>
      <c r="E273">
        <v>22.15</v>
      </c>
      <c r="F273">
        <v>40.369999999999997</v>
      </c>
      <c r="G273">
        <v>27.58</v>
      </c>
      <c r="I273" t="str">
        <f>"594/4599"</f>
        <v>594/4599</v>
      </c>
      <c r="J273" t="str">
        <f>"449/2870"</f>
        <v>449/2870</v>
      </c>
      <c r="K273" t="str">
        <f>"723/5435"</f>
        <v>723/5435</v>
      </c>
    </row>
    <row r="274" spans="3:11" x14ac:dyDescent="0.25">
      <c r="C274" t="s">
        <v>345</v>
      </c>
      <c r="D274" t="s">
        <v>513</v>
      </c>
      <c r="E274">
        <v>21.22</v>
      </c>
      <c r="F274">
        <v>39.93</v>
      </c>
      <c r="G274">
        <v>28.77</v>
      </c>
      <c r="I274" t="str">
        <f>"500/6049"</f>
        <v>500/6049</v>
      </c>
      <c r="J274" t="str">
        <f>"417/4164"</f>
        <v>417/4164</v>
      </c>
      <c r="K274" t="str">
        <f>"614/6653"</f>
        <v>614/6653</v>
      </c>
    </row>
    <row r="275" spans="3:11" x14ac:dyDescent="0.25">
      <c r="C275" t="s">
        <v>346</v>
      </c>
      <c r="D275" t="s">
        <v>119</v>
      </c>
      <c r="E275">
        <v>21.95</v>
      </c>
      <c r="F275">
        <v>39.81</v>
      </c>
      <c r="G275">
        <v>27.24</v>
      </c>
      <c r="I275" t="str">
        <f>"602/4639"</f>
        <v>602/4639</v>
      </c>
      <c r="J275" t="str">
        <f>"456/2942"</f>
        <v>456/2942</v>
      </c>
      <c r="K275" t="str">
        <f>"733/5530"</f>
        <v>733/5530</v>
      </c>
    </row>
    <row r="276" spans="3:11" x14ac:dyDescent="0.25">
      <c r="C276" t="s">
        <v>347</v>
      </c>
    </row>
    <row r="278" spans="3:11" x14ac:dyDescent="0.25">
      <c r="C278" t="s">
        <v>17</v>
      </c>
      <c r="F278" t="s">
        <v>605</v>
      </c>
      <c r="J278" t="s">
        <v>13</v>
      </c>
    </row>
    <row r="279" spans="3:11" x14ac:dyDescent="0.25">
      <c r="D279" t="s">
        <v>14</v>
      </c>
      <c r="E279" t="s">
        <v>1</v>
      </c>
      <c r="F279" t="s">
        <v>3</v>
      </c>
      <c r="G279" t="s">
        <v>2</v>
      </c>
      <c r="I279" t="s">
        <v>1</v>
      </c>
      <c r="J279" t="s">
        <v>3</v>
      </c>
      <c r="K279" t="s">
        <v>2</v>
      </c>
    </row>
    <row r="280" spans="3:11" x14ac:dyDescent="0.25">
      <c r="C280" t="s">
        <v>289</v>
      </c>
      <c r="D280" t="s">
        <v>516</v>
      </c>
      <c r="E280">
        <v>33.18</v>
      </c>
      <c r="F280">
        <v>80.81</v>
      </c>
      <c r="G280">
        <v>58.76</v>
      </c>
      <c r="I280" t="str">
        <f>"311/2619"</f>
        <v>311/2619</v>
      </c>
      <c r="J280" t="str">
        <f>"173/695"</f>
        <v>173/695</v>
      </c>
      <c r="K280" t="str">
        <f>"264/1157"</f>
        <v>264/1157</v>
      </c>
    </row>
    <row r="281" spans="3:11" x14ac:dyDescent="0.25">
      <c r="C281" t="s">
        <v>291</v>
      </c>
      <c r="D281" t="s">
        <v>122</v>
      </c>
      <c r="E281">
        <v>34.9</v>
      </c>
      <c r="F281">
        <v>64.739999999999995</v>
      </c>
      <c r="G281">
        <v>48.31</v>
      </c>
      <c r="I281" t="str">
        <f>"328/1712"</f>
        <v>328/1712</v>
      </c>
      <c r="J281" t="str">
        <f>"256/1089"</f>
        <v>256/1089</v>
      </c>
      <c r="K281" t="str">
        <f>"382/1503"</f>
        <v>382/1503</v>
      </c>
    </row>
    <row r="282" spans="3:11" x14ac:dyDescent="0.25">
      <c r="C282" t="s">
        <v>293</v>
      </c>
      <c r="D282" t="s">
        <v>130</v>
      </c>
      <c r="E282">
        <v>36.549999999999997</v>
      </c>
      <c r="F282">
        <v>59.9</v>
      </c>
      <c r="G282">
        <v>49.59</v>
      </c>
      <c r="I282" t="str">
        <f>"278/1056"</f>
        <v>278/1056</v>
      </c>
      <c r="J282" t="str">
        <f>"250/1234"</f>
        <v>250/1234</v>
      </c>
      <c r="K282" t="str">
        <f>"357/1331"</f>
        <v>357/1331</v>
      </c>
    </row>
    <row r="283" spans="3:11" x14ac:dyDescent="0.25">
      <c r="C283" t="s">
        <v>295</v>
      </c>
      <c r="D283" t="s">
        <v>129</v>
      </c>
      <c r="E283">
        <v>33.32</v>
      </c>
      <c r="F283">
        <v>58.17</v>
      </c>
      <c r="G283">
        <v>48.11</v>
      </c>
      <c r="I283" t="str">
        <f>"331/1891"</f>
        <v>331/1891</v>
      </c>
      <c r="J283" t="str">
        <f>"264/1176"</f>
        <v>264/1176</v>
      </c>
      <c r="K283" t="str">
        <f>"358/1503"</f>
        <v>358/1503</v>
      </c>
    </row>
    <row r="284" spans="3:11" x14ac:dyDescent="0.25">
      <c r="C284" t="s">
        <v>297</v>
      </c>
      <c r="D284" t="s">
        <v>116</v>
      </c>
      <c r="E284">
        <v>30.4</v>
      </c>
      <c r="F284">
        <v>63.4</v>
      </c>
      <c r="G284">
        <v>42.4</v>
      </c>
      <c r="I284" t="str">
        <f>"373/1522"</f>
        <v>373/1522</v>
      </c>
      <c r="J284" t="str">
        <f>"256/934"</f>
        <v>256/934</v>
      </c>
      <c r="K284" t="str">
        <f>"419/2335"</f>
        <v>419/2335</v>
      </c>
    </row>
    <row r="285" spans="3:11" x14ac:dyDescent="0.25">
      <c r="C285" t="s">
        <v>779</v>
      </c>
    </row>
    <row r="287" spans="3:11" x14ac:dyDescent="0.25">
      <c r="C287" t="s">
        <v>18</v>
      </c>
      <c r="F287" t="s">
        <v>605</v>
      </c>
      <c r="J287" t="s">
        <v>13</v>
      </c>
    </row>
    <row r="288" spans="3:11" x14ac:dyDescent="0.25">
      <c r="D288" t="s">
        <v>14</v>
      </c>
      <c r="E288" t="s">
        <v>1</v>
      </c>
      <c r="F288" t="s">
        <v>3</v>
      </c>
      <c r="G288" t="s">
        <v>2</v>
      </c>
      <c r="I288" t="s">
        <v>1</v>
      </c>
      <c r="J288" t="s">
        <v>3</v>
      </c>
      <c r="K288" t="s">
        <v>2</v>
      </c>
    </row>
    <row r="289" spans="2:11" x14ac:dyDescent="0.25">
      <c r="C289" t="s">
        <v>351</v>
      </c>
    </row>
    <row r="291" spans="2:11" x14ac:dyDescent="0.25">
      <c r="C291" t="s">
        <v>36</v>
      </c>
      <c r="F291" t="s">
        <v>605</v>
      </c>
      <c r="J291" t="s">
        <v>13</v>
      </c>
    </row>
    <row r="292" spans="2:11" x14ac:dyDescent="0.25">
      <c r="D292" t="s">
        <v>14</v>
      </c>
      <c r="E292" t="s">
        <v>1</v>
      </c>
      <c r="F292" t="s">
        <v>3</v>
      </c>
      <c r="G292" t="s">
        <v>2</v>
      </c>
      <c r="I292" t="s">
        <v>1</v>
      </c>
      <c r="J292" t="s">
        <v>3</v>
      </c>
      <c r="K292" t="s">
        <v>2</v>
      </c>
    </row>
    <row r="293" spans="2:11" x14ac:dyDescent="0.25">
      <c r="C293" t="s">
        <v>351</v>
      </c>
    </row>
    <row r="295" spans="2:11" x14ac:dyDescent="0.25">
      <c r="B295" t="s">
        <v>38</v>
      </c>
      <c r="C295" t="s">
        <v>310</v>
      </c>
    </row>
    <row r="297" spans="2:11" x14ac:dyDescent="0.25">
      <c r="C297" t="s">
        <v>11</v>
      </c>
      <c r="F297" t="s">
        <v>605</v>
      </c>
      <c r="J297" t="s">
        <v>13</v>
      </c>
    </row>
    <row r="298" spans="2:11" x14ac:dyDescent="0.25">
      <c r="D298" t="s">
        <v>14</v>
      </c>
      <c r="E298" t="s">
        <v>1</v>
      </c>
      <c r="F298" t="s">
        <v>3</v>
      </c>
      <c r="G298" t="s">
        <v>2</v>
      </c>
      <c r="I298" t="s">
        <v>1</v>
      </c>
      <c r="J298" t="s">
        <v>3</v>
      </c>
      <c r="K298" t="s">
        <v>2</v>
      </c>
    </row>
    <row r="299" spans="2:11" x14ac:dyDescent="0.25">
      <c r="C299" t="s">
        <v>320</v>
      </c>
    </row>
    <row r="301" spans="2:11" x14ac:dyDescent="0.25">
      <c r="C301" t="s">
        <v>17</v>
      </c>
      <c r="F301" t="s">
        <v>605</v>
      </c>
      <c r="J301" t="s">
        <v>13</v>
      </c>
    </row>
    <row r="302" spans="2:11" x14ac:dyDescent="0.25">
      <c r="D302" t="s">
        <v>14</v>
      </c>
      <c r="E302" t="s">
        <v>1</v>
      </c>
      <c r="F302" t="s">
        <v>3</v>
      </c>
      <c r="G302" t="s">
        <v>2</v>
      </c>
      <c r="I302" t="s">
        <v>1</v>
      </c>
      <c r="J302" t="s">
        <v>3</v>
      </c>
      <c r="K302" t="s">
        <v>2</v>
      </c>
    </row>
    <row r="303" spans="2:11" x14ac:dyDescent="0.25">
      <c r="C303" t="s">
        <v>311</v>
      </c>
      <c r="D303" t="s">
        <v>517</v>
      </c>
      <c r="E303">
        <v>17.25</v>
      </c>
      <c r="F303">
        <v>39.799999999999997</v>
      </c>
      <c r="G303">
        <v>29.88</v>
      </c>
      <c r="I303" t="str">
        <f>"449/52690"</f>
        <v>449/52690</v>
      </c>
      <c r="J303" t="str">
        <f>"344/20963"</f>
        <v>344/20963</v>
      </c>
      <c r="K303" t="str">
        <f>"521/40904"</f>
        <v>521/40904</v>
      </c>
    </row>
    <row r="304" spans="2:11" x14ac:dyDescent="0.25">
      <c r="C304" t="s">
        <v>312</v>
      </c>
      <c r="D304" t="s">
        <v>530</v>
      </c>
      <c r="E304">
        <v>14.46</v>
      </c>
      <c r="F304">
        <v>30.32</v>
      </c>
      <c r="G304">
        <v>24.27</v>
      </c>
      <c r="I304" t="str">
        <f>"579/45050"</f>
        <v>579/45050</v>
      </c>
      <c r="J304" t="str">
        <f>"489/20548"</f>
        <v>489/20548</v>
      </c>
      <c r="K304" t="str">
        <f>"733/34877"</f>
        <v>733/34877</v>
      </c>
    </row>
    <row r="305" spans="1:11" x14ac:dyDescent="0.25">
      <c r="C305" t="s">
        <v>780</v>
      </c>
    </row>
    <row r="307" spans="1:11" x14ac:dyDescent="0.25">
      <c r="C307" t="s">
        <v>18</v>
      </c>
      <c r="F307" t="s">
        <v>605</v>
      </c>
      <c r="J307" t="s">
        <v>13</v>
      </c>
    </row>
    <row r="308" spans="1:11" x14ac:dyDescent="0.25">
      <c r="D308" t="s">
        <v>14</v>
      </c>
      <c r="E308" t="s">
        <v>1</v>
      </c>
      <c r="F308" t="s">
        <v>3</v>
      </c>
      <c r="G308" t="s">
        <v>2</v>
      </c>
      <c r="I308" t="s">
        <v>1</v>
      </c>
      <c r="J308" t="s">
        <v>3</v>
      </c>
      <c r="K308" t="s">
        <v>2</v>
      </c>
    </row>
    <row r="309" spans="1:11" x14ac:dyDescent="0.25">
      <c r="C309" t="s">
        <v>351</v>
      </c>
    </row>
    <row r="311" spans="1:11" x14ac:dyDescent="0.25">
      <c r="C311" t="s">
        <v>36</v>
      </c>
      <c r="F311" t="s">
        <v>605</v>
      </c>
      <c r="J311" t="s">
        <v>13</v>
      </c>
    </row>
    <row r="312" spans="1:11" x14ac:dyDescent="0.25">
      <c r="D312" t="s">
        <v>14</v>
      </c>
      <c r="E312" t="s">
        <v>1</v>
      </c>
      <c r="F312" t="s">
        <v>3</v>
      </c>
      <c r="G312" t="s">
        <v>2</v>
      </c>
      <c r="I312" t="s">
        <v>1</v>
      </c>
      <c r="J312" t="s">
        <v>3</v>
      </c>
      <c r="K312" t="s">
        <v>2</v>
      </c>
    </row>
    <row r="313" spans="1:11" x14ac:dyDescent="0.25">
      <c r="C313" t="s">
        <v>351</v>
      </c>
    </row>
    <row r="317" spans="1:11" x14ac:dyDescent="0.25">
      <c r="A317" t="s">
        <v>4</v>
      </c>
      <c r="B317" t="s">
        <v>643</v>
      </c>
    </row>
    <row r="319" spans="1:11" x14ac:dyDescent="0.25">
      <c r="B319" t="s">
        <v>10</v>
      </c>
      <c r="C319" t="s">
        <v>686</v>
      </c>
    </row>
    <row r="321" spans="3:11" x14ac:dyDescent="0.25">
      <c r="C321" t="s">
        <v>11</v>
      </c>
      <c r="F321" t="s">
        <v>605</v>
      </c>
      <c r="J321" t="s">
        <v>13</v>
      </c>
    </row>
    <row r="322" spans="3:11" x14ac:dyDescent="0.25">
      <c r="D322" t="s">
        <v>14</v>
      </c>
      <c r="E322" t="s">
        <v>1</v>
      </c>
      <c r="F322" t="s">
        <v>3</v>
      </c>
      <c r="G322" t="s">
        <v>2</v>
      </c>
      <c r="I322" t="s">
        <v>1</v>
      </c>
      <c r="J322" t="s">
        <v>3</v>
      </c>
      <c r="K322" t="s">
        <v>2</v>
      </c>
    </row>
    <row r="323" spans="3:11" x14ac:dyDescent="0.25">
      <c r="C323" t="s">
        <v>687</v>
      </c>
      <c r="D323" t="s">
        <v>509</v>
      </c>
      <c r="E323">
        <v>9.4600000000000009</v>
      </c>
      <c r="F323">
        <v>17.39</v>
      </c>
      <c r="G323">
        <v>15.9</v>
      </c>
      <c r="I323" t="str">
        <f>"170/467"</f>
        <v>170/467</v>
      </c>
      <c r="J323" t="str">
        <f>"175/423"</f>
        <v>175/423</v>
      </c>
      <c r="K323" t="str">
        <f>"302/799"</f>
        <v>302/799</v>
      </c>
    </row>
    <row r="324" spans="3:11" x14ac:dyDescent="0.25">
      <c r="C324" t="s">
        <v>689</v>
      </c>
      <c r="D324" t="s">
        <v>508</v>
      </c>
      <c r="E324">
        <v>7</v>
      </c>
      <c r="F324">
        <v>19.43</v>
      </c>
      <c r="G324">
        <v>14.53</v>
      </c>
      <c r="I324" t="str">
        <f>"142/293"</f>
        <v>142/293</v>
      </c>
      <c r="J324" t="str">
        <f>"101/159"</f>
        <v>101/159</v>
      </c>
      <c r="K324" t="str">
        <f>"138/302"</f>
        <v>138/302</v>
      </c>
    </row>
    <row r="325" spans="3:11" x14ac:dyDescent="0.25">
      <c r="C325" t="s">
        <v>691</v>
      </c>
      <c r="D325" t="s">
        <v>143</v>
      </c>
      <c r="E325">
        <v>8.5299999999999994</v>
      </c>
      <c r="F325">
        <v>13.56</v>
      </c>
      <c r="G325">
        <v>17.63</v>
      </c>
      <c r="I325" t="str">
        <f>"295/393"</f>
        <v>295/393</v>
      </c>
      <c r="J325" t="str">
        <f>"165/206"</f>
        <v>165/206</v>
      </c>
      <c r="K325" t="str">
        <f>"265/413"</f>
        <v>265/413</v>
      </c>
    </row>
    <row r="326" spans="3:11" x14ac:dyDescent="0.25">
      <c r="C326" t="s">
        <v>693</v>
      </c>
      <c r="D326" t="s">
        <v>142</v>
      </c>
      <c r="E326">
        <v>8.5299999999999994</v>
      </c>
      <c r="F326">
        <v>13.56</v>
      </c>
      <c r="G326">
        <v>17.559999999999999</v>
      </c>
      <c r="I326" t="str">
        <f>"295/393"</f>
        <v>295/393</v>
      </c>
      <c r="J326" t="str">
        <f>"165/206"</f>
        <v>165/206</v>
      </c>
      <c r="K326" t="str">
        <f>"266/415"</f>
        <v>266/415</v>
      </c>
    </row>
    <row r="327" spans="3:11" x14ac:dyDescent="0.25">
      <c r="C327" t="s">
        <v>694</v>
      </c>
      <c r="D327" t="s">
        <v>451</v>
      </c>
      <c r="E327">
        <v>8.9</v>
      </c>
      <c r="F327">
        <v>16.41</v>
      </c>
      <c r="G327">
        <v>12.2</v>
      </c>
      <c r="I327" t="str">
        <f>"222/356"</f>
        <v>222/356</v>
      </c>
      <c r="J327" t="str">
        <f>"166/293"</f>
        <v>166/293</v>
      </c>
      <c r="K327" t="str">
        <f>"254/659"</f>
        <v>254/659</v>
      </c>
    </row>
    <row r="328" spans="3:11" x14ac:dyDescent="0.25">
      <c r="C328" t="s">
        <v>696</v>
      </c>
      <c r="D328" t="s">
        <v>171</v>
      </c>
      <c r="E328">
        <v>8.1999999999999993</v>
      </c>
      <c r="F328">
        <v>14.18</v>
      </c>
      <c r="G328">
        <v>12.29</v>
      </c>
      <c r="I328" t="str">
        <f>"264/499"</f>
        <v>264/499</v>
      </c>
      <c r="J328" t="str">
        <f>"163/220"</f>
        <v>163/220</v>
      </c>
      <c r="K328" t="str">
        <f>"311/799"</f>
        <v>311/799</v>
      </c>
    </row>
    <row r="329" spans="3:11" x14ac:dyDescent="0.25">
      <c r="C329" t="s">
        <v>697</v>
      </c>
      <c r="D329" t="s">
        <v>149</v>
      </c>
      <c r="E329">
        <v>7.6</v>
      </c>
      <c r="F329">
        <v>10.52</v>
      </c>
      <c r="G329">
        <v>16.309999999999999</v>
      </c>
      <c r="I329" t="str">
        <f>"245/368"</f>
        <v>245/368</v>
      </c>
      <c r="J329" t="str">
        <f>"134/132"</f>
        <v>134/132</v>
      </c>
      <c r="K329" t="str">
        <f>"155/154"</f>
        <v>155/154</v>
      </c>
    </row>
    <row r="330" spans="3:11" x14ac:dyDescent="0.25">
      <c r="C330" t="s">
        <v>698</v>
      </c>
      <c r="D330" t="s">
        <v>155</v>
      </c>
      <c r="E330">
        <v>7.59</v>
      </c>
      <c r="F330">
        <v>10.39</v>
      </c>
      <c r="G330">
        <v>16.12</v>
      </c>
      <c r="I330" t="str">
        <f>"245/368"</f>
        <v>245/368</v>
      </c>
      <c r="J330" t="str">
        <f>"134/132"</f>
        <v>134/132</v>
      </c>
      <c r="K330" t="str">
        <f>"155/154"</f>
        <v>155/154</v>
      </c>
    </row>
    <row r="331" spans="3:11" x14ac:dyDescent="0.25">
      <c r="C331" t="s">
        <v>699</v>
      </c>
      <c r="D331" t="s">
        <v>147</v>
      </c>
      <c r="E331">
        <v>7.82</v>
      </c>
      <c r="F331">
        <v>13.7</v>
      </c>
      <c r="G331">
        <v>12.52</v>
      </c>
      <c r="I331" t="str">
        <f>"287/553"</f>
        <v>287/553</v>
      </c>
      <c r="J331" t="str">
        <f>"174/179"</f>
        <v>174/179</v>
      </c>
      <c r="K331" t="str">
        <f>"271/462"</f>
        <v>271/462</v>
      </c>
    </row>
    <row r="332" spans="3:11" x14ac:dyDescent="0.25">
      <c r="C332" t="s">
        <v>700</v>
      </c>
      <c r="D332" t="s">
        <v>148</v>
      </c>
      <c r="E332">
        <v>7.03</v>
      </c>
      <c r="F332">
        <v>11.6</v>
      </c>
      <c r="G332">
        <v>12.02</v>
      </c>
      <c r="I332" t="str">
        <f>"235/435"</f>
        <v>235/435</v>
      </c>
      <c r="J332" t="str">
        <f>"125/124"</f>
        <v>125/124</v>
      </c>
      <c r="K332" t="str">
        <f>"196/196"</f>
        <v>196/196</v>
      </c>
    </row>
    <row r="333" spans="3:11" x14ac:dyDescent="0.25">
      <c r="C333" t="s">
        <v>347</v>
      </c>
    </row>
    <row r="335" spans="3:11" x14ac:dyDescent="0.25">
      <c r="C335" t="s">
        <v>17</v>
      </c>
      <c r="F335" t="s">
        <v>605</v>
      </c>
      <c r="J335" t="s">
        <v>13</v>
      </c>
    </row>
    <row r="336" spans="3:11" x14ac:dyDescent="0.25">
      <c r="D336" t="s">
        <v>14</v>
      </c>
      <c r="E336" t="s">
        <v>1</v>
      </c>
      <c r="F336" t="s">
        <v>3</v>
      </c>
      <c r="G336" t="s">
        <v>2</v>
      </c>
      <c r="I336" t="s">
        <v>1</v>
      </c>
      <c r="J336" t="s">
        <v>3</v>
      </c>
      <c r="K336" t="s">
        <v>2</v>
      </c>
    </row>
    <row r="337" spans="3:11" x14ac:dyDescent="0.25">
      <c r="C337" t="s">
        <v>687</v>
      </c>
      <c r="D337" t="s">
        <v>448</v>
      </c>
      <c r="E337">
        <v>8.64</v>
      </c>
      <c r="F337">
        <v>25.37</v>
      </c>
      <c r="G337">
        <v>19.04</v>
      </c>
      <c r="I337" t="str">
        <f>"244/584"</f>
        <v>244/584</v>
      </c>
      <c r="J337" t="str">
        <f>"118/147"</f>
        <v>118/147</v>
      </c>
      <c r="K337" t="str">
        <f>"246/771"</f>
        <v>246/771</v>
      </c>
    </row>
    <row r="338" spans="3:11" x14ac:dyDescent="0.25">
      <c r="C338" t="s">
        <v>689</v>
      </c>
      <c r="D338" t="s">
        <v>449</v>
      </c>
      <c r="E338">
        <v>8.76</v>
      </c>
      <c r="F338">
        <v>25.55</v>
      </c>
      <c r="G338">
        <v>18.52</v>
      </c>
      <c r="I338" t="str">
        <f>"245/586"</f>
        <v>245/586</v>
      </c>
      <c r="J338" t="str">
        <f>"118/147"</f>
        <v>118/147</v>
      </c>
      <c r="K338" t="str">
        <f>"255/787"</f>
        <v>255/787</v>
      </c>
    </row>
    <row r="339" spans="3:11" x14ac:dyDescent="0.25">
      <c r="C339" t="s">
        <v>691</v>
      </c>
      <c r="D339" t="s">
        <v>222</v>
      </c>
      <c r="E339">
        <v>9.1</v>
      </c>
      <c r="F339">
        <v>28.35</v>
      </c>
      <c r="G339">
        <v>14.94</v>
      </c>
      <c r="I339" t="str">
        <f>"166/264"</f>
        <v>166/264</v>
      </c>
      <c r="J339" t="str">
        <f>"68/89"</f>
        <v>68/89</v>
      </c>
      <c r="K339" t="str">
        <f>"152/260"</f>
        <v>152/260</v>
      </c>
    </row>
    <row r="340" spans="3:11" x14ac:dyDescent="0.25">
      <c r="C340" t="s">
        <v>693</v>
      </c>
      <c r="D340" t="s">
        <v>216</v>
      </c>
      <c r="E340">
        <v>9.06</v>
      </c>
      <c r="F340">
        <v>28.28</v>
      </c>
      <c r="G340">
        <v>14.9</v>
      </c>
      <c r="I340" t="str">
        <f>"166/264"</f>
        <v>166/264</v>
      </c>
      <c r="J340" t="str">
        <f>"68/89"</f>
        <v>68/89</v>
      </c>
      <c r="K340" t="str">
        <f>"152/260"</f>
        <v>152/260</v>
      </c>
    </row>
    <row r="341" spans="3:11" x14ac:dyDescent="0.25">
      <c r="C341" t="s">
        <v>694</v>
      </c>
      <c r="D341" t="s">
        <v>218</v>
      </c>
      <c r="E341">
        <v>9.06</v>
      </c>
      <c r="F341">
        <v>28.28</v>
      </c>
      <c r="G341">
        <v>14.9</v>
      </c>
      <c r="I341" t="str">
        <f>"166/264"</f>
        <v>166/264</v>
      </c>
      <c r="J341" t="str">
        <f>"68/89"</f>
        <v>68/89</v>
      </c>
      <c r="K341" t="str">
        <f>"152/260"</f>
        <v>152/260</v>
      </c>
    </row>
    <row r="342" spans="3:11" x14ac:dyDescent="0.25">
      <c r="C342" t="s">
        <v>696</v>
      </c>
      <c r="D342" t="s">
        <v>230</v>
      </c>
      <c r="E342">
        <v>9.07</v>
      </c>
      <c r="F342">
        <v>28.09</v>
      </c>
      <c r="G342">
        <v>14.99</v>
      </c>
      <c r="I342" t="str">
        <f>"166/264"</f>
        <v>166/264</v>
      </c>
      <c r="J342" t="str">
        <f>"69/90"</f>
        <v>69/90</v>
      </c>
      <c r="K342" t="str">
        <f>"152/260"</f>
        <v>152/260</v>
      </c>
    </row>
    <row r="343" spans="3:11" x14ac:dyDescent="0.25">
      <c r="C343" t="s">
        <v>697</v>
      </c>
      <c r="D343" t="s">
        <v>232</v>
      </c>
      <c r="E343">
        <v>9.07</v>
      </c>
      <c r="F343">
        <v>28.09</v>
      </c>
      <c r="G343">
        <v>14.99</v>
      </c>
      <c r="I343" t="str">
        <f>"166/264"</f>
        <v>166/264</v>
      </c>
      <c r="J343" t="str">
        <f>"69/90"</f>
        <v>69/90</v>
      </c>
      <c r="K343" t="str">
        <f>"152/260"</f>
        <v>152/260</v>
      </c>
    </row>
    <row r="344" spans="3:11" x14ac:dyDescent="0.25">
      <c r="C344" t="s">
        <v>698</v>
      </c>
      <c r="D344" t="s">
        <v>649</v>
      </c>
      <c r="E344">
        <v>7.2</v>
      </c>
      <c r="F344">
        <v>26.02</v>
      </c>
      <c r="G344">
        <v>18.7</v>
      </c>
      <c r="I344" t="str">
        <f>"120/277"</f>
        <v>120/277</v>
      </c>
      <c r="J344" t="str">
        <f>"82/137"</f>
        <v>82/137</v>
      </c>
      <c r="K344" t="str">
        <f>"127/295"</f>
        <v>127/295</v>
      </c>
    </row>
    <row r="345" spans="3:11" x14ac:dyDescent="0.25">
      <c r="C345" t="s">
        <v>699</v>
      </c>
      <c r="D345" t="s">
        <v>491</v>
      </c>
      <c r="E345">
        <v>7.02</v>
      </c>
      <c r="F345">
        <v>25.72</v>
      </c>
      <c r="G345">
        <v>18.46</v>
      </c>
      <c r="I345" t="str">
        <f>"123/281"</f>
        <v>123/281</v>
      </c>
      <c r="J345" t="str">
        <f>"83/139"</f>
        <v>83/139</v>
      </c>
      <c r="K345" t="str">
        <f>"129/299"</f>
        <v>129/299</v>
      </c>
    </row>
    <row r="346" spans="3:11" x14ac:dyDescent="0.25">
      <c r="C346" t="s">
        <v>700</v>
      </c>
      <c r="D346" t="s">
        <v>276</v>
      </c>
      <c r="E346">
        <v>6.85</v>
      </c>
      <c r="F346">
        <v>24.98</v>
      </c>
      <c r="G346">
        <v>17.850000000000001</v>
      </c>
      <c r="I346" t="str">
        <f>"94/216"</f>
        <v>94/216</v>
      </c>
      <c r="J346" t="str">
        <f>"62/106"</f>
        <v>62/106</v>
      </c>
      <c r="K346" t="str">
        <f>"89/219"</f>
        <v>89/219</v>
      </c>
    </row>
    <row r="347" spans="3:11" x14ac:dyDescent="0.25">
      <c r="C347" t="s">
        <v>701</v>
      </c>
      <c r="D347" t="s">
        <v>534</v>
      </c>
      <c r="E347">
        <v>6.92</v>
      </c>
      <c r="F347">
        <v>24.17</v>
      </c>
      <c r="G347">
        <v>17.920000000000002</v>
      </c>
      <c r="I347" t="str">
        <f>"130/292"</f>
        <v>130/292</v>
      </c>
      <c r="J347" t="str">
        <f>"89/147"</f>
        <v>89/147</v>
      </c>
      <c r="K347" t="str">
        <f>"133/308"</f>
        <v>133/308</v>
      </c>
    </row>
    <row r="348" spans="3:11" x14ac:dyDescent="0.25">
      <c r="C348" t="s">
        <v>702</v>
      </c>
      <c r="D348" t="s">
        <v>262</v>
      </c>
      <c r="E348">
        <v>9.1199999999999992</v>
      </c>
      <c r="F348">
        <v>25.95</v>
      </c>
      <c r="G348">
        <v>12.41</v>
      </c>
      <c r="I348" t="str">
        <f>"296/2839"</f>
        <v>296/2839</v>
      </c>
      <c r="J348" t="str">
        <f>"158/389"</f>
        <v>158/389</v>
      </c>
      <c r="K348" t="str">
        <f>"302/2108"</f>
        <v>302/2108</v>
      </c>
    </row>
    <row r="349" spans="3:11" x14ac:dyDescent="0.25">
      <c r="C349" t="s">
        <v>710</v>
      </c>
      <c r="D349" t="s">
        <v>650</v>
      </c>
      <c r="E349">
        <v>7.63</v>
      </c>
      <c r="F349">
        <v>21.66</v>
      </c>
      <c r="G349">
        <v>17.170000000000002</v>
      </c>
      <c r="I349" t="str">
        <f>"125/264"</f>
        <v>125/264</v>
      </c>
      <c r="J349" t="str">
        <f>"90/141"</f>
        <v>90/141</v>
      </c>
      <c r="K349" t="str">
        <f>"116/256"</f>
        <v>116/256</v>
      </c>
    </row>
    <row r="350" spans="3:11" x14ac:dyDescent="0.25">
      <c r="C350" t="s">
        <v>353</v>
      </c>
    </row>
    <row r="352" spans="3:11" x14ac:dyDescent="0.25">
      <c r="C352" t="s">
        <v>18</v>
      </c>
      <c r="F352" t="s">
        <v>605</v>
      </c>
      <c r="J352" t="s">
        <v>13</v>
      </c>
    </row>
    <row r="353" spans="3:11" x14ac:dyDescent="0.25">
      <c r="D353" t="s">
        <v>14</v>
      </c>
      <c r="E353" t="s">
        <v>1</v>
      </c>
      <c r="F353" t="s">
        <v>3</v>
      </c>
      <c r="G353" t="s">
        <v>2</v>
      </c>
      <c r="I353" t="s">
        <v>1</v>
      </c>
      <c r="J353" t="s">
        <v>3</v>
      </c>
      <c r="K353" t="s">
        <v>2</v>
      </c>
    </row>
    <row r="354" spans="3:11" x14ac:dyDescent="0.25">
      <c r="C354" t="s">
        <v>687</v>
      </c>
      <c r="D354" t="s">
        <v>651</v>
      </c>
      <c r="E354">
        <v>9.33</v>
      </c>
      <c r="F354">
        <v>10.78</v>
      </c>
      <c r="G354">
        <v>59.58</v>
      </c>
      <c r="I354" t="str">
        <f>"85/84"</f>
        <v>85/84</v>
      </c>
      <c r="J354" t="str">
        <f>"50/49"</f>
        <v>50/49</v>
      </c>
      <c r="K354" t="str">
        <f>"24/25"</f>
        <v>24/25</v>
      </c>
    </row>
    <row r="355" spans="3:11" x14ac:dyDescent="0.25">
      <c r="C355" t="s">
        <v>689</v>
      </c>
      <c r="D355" t="s">
        <v>652</v>
      </c>
      <c r="E355">
        <v>9.31</v>
      </c>
      <c r="F355">
        <v>11</v>
      </c>
      <c r="G355">
        <v>59.32</v>
      </c>
      <c r="I355" t="str">
        <f>"86/85"</f>
        <v>86/85</v>
      </c>
      <c r="J355" t="str">
        <f>"51/50"</f>
        <v>51/50</v>
      </c>
      <c r="K355" t="str">
        <f>"25/26"</f>
        <v>25/26</v>
      </c>
    </row>
    <row r="356" spans="3:11" x14ac:dyDescent="0.25">
      <c r="C356" t="s">
        <v>691</v>
      </c>
      <c r="D356" t="s">
        <v>653</v>
      </c>
      <c r="E356">
        <v>8.84</v>
      </c>
      <c r="F356">
        <v>10.220000000000001</v>
      </c>
      <c r="G356">
        <v>54.29</v>
      </c>
      <c r="I356" t="str">
        <f>"85/84"</f>
        <v>85/84</v>
      </c>
      <c r="J356" t="str">
        <f>"50/49"</f>
        <v>50/49</v>
      </c>
      <c r="K356" t="str">
        <f>"24/25"</f>
        <v>24/25</v>
      </c>
    </row>
    <row r="357" spans="3:11" x14ac:dyDescent="0.25">
      <c r="C357" t="s">
        <v>693</v>
      </c>
      <c r="D357" t="s">
        <v>654</v>
      </c>
      <c r="E357">
        <v>8.73</v>
      </c>
      <c r="F357">
        <v>10.06</v>
      </c>
      <c r="G357">
        <v>54.29</v>
      </c>
      <c r="I357" t="str">
        <f>"86/85"</f>
        <v>86/85</v>
      </c>
      <c r="J357" t="str">
        <f>"51/50"</f>
        <v>51/50</v>
      </c>
      <c r="K357" t="str">
        <f>"24/25"</f>
        <v>24/25</v>
      </c>
    </row>
    <row r="358" spans="3:11" x14ac:dyDescent="0.25">
      <c r="C358" t="s">
        <v>694</v>
      </c>
      <c r="D358" t="s">
        <v>437</v>
      </c>
      <c r="E358">
        <v>8.25</v>
      </c>
      <c r="F358">
        <v>9.82</v>
      </c>
      <c r="G358">
        <v>53.5</v>
      </c>
      <c r="I358" t="str">
        <f>"85/84"</f>
        <v>85/84</v>
      </c>
      <c r="J358" t="str">
        <f>"50/49"</f>
        <v>50/49</v>
      </c>
      <c r="K358" t="str">
        <f>"24/25"</f>
        <v>24/25</v>
      </c>
    </row>
    <row r="359" spans="3:11" x14ac:dyDescent="0.25">
      <c r="C359" t="s">
        <v>696</v>
      </c>
      <c r="D359" t="s">
        <v>655</v>
      </c>
      <c r="E359">
        <v>8.25</v>
      </c>
      <c r="F359">
        <v>9.82</v>
      </c>
      <c r="G359">
        <v>53.5</v>
      </c>
      <c r="I359" t="str">
        <f>"85/84"</f>
        <v>85/84</v>
      </c>
      <c r="J359" t="str">
        <f>"50/49"</f>
        <v>50/49</v>
      </c>
      <c r="K359" t="str">
        <f>"24/25"</f>
        <v>24/25</v>
      </c>
    </row>
    <row r="360" spans="3:11" x14ac:dyDescent="0.25">
      <c r="C360" t="s">
        <v>697</v>
      </c>
      <c r="D360" t="s">
        <v>252</v>
      </c>
      <c r="E360">
        <v>8.6300000000000008</v>
      </c>
      <c r="F360">
        <v>18.64</v>
      </c>
      <c r="G360">
        <v>38.71</v>
      </c>
      <c r="I360" t="str">
        <f>"84/88"</f>
        <v>84/88</v>
      </c>
      <c r="J360" t="str">
        <f>"28/27"</f>
        <v>28/27</v>
      </c>
      <c r="K360" t="str">
        <f>"59/96"</f>
        <v>59/96</v>
      </c>
    </row>
    <row r="361" spans="3:11" x14ac:dyDescent="0.25">
      <c r="C361" t="s">
        <v>698</v>
      </c>
      <c r="D361" t="s">
        <v>536</v>
      </c>
      <c r="E361">
        <v>8.5</v>
      </c>
      <c r="F361">
        <v>16.64</v>
      </c>
      <c r="G361">
        <v>38.32</v>
      </c>
      <c r="I361" t="str">
        <f>"125/124"</f>
        <v>125/124</v>
      </c>
      <c r="J361" t="str">
        <f>"70/69"</f>
        <v>70/69</v>
      </c>
      <c r="K361" t="str">
        <f>"79/95"</f>
        <v>79/95</v>
      </c>
    </row>
    <row r="362" spans="3:11" x14ac:dyDescent="0.25">
      <c r="C362" t="s">
        <v>699</v>
      </c>
      <c r="D362" t="s">
        <v>535</v>
      </c>
      <c r="E362">
        <v>8.5</v>
      </c>
      <c r="F362">
        <v>16.63</v>
      </c>
      <c r="G362">
        <v>38.32</v>
      </c>
      <c r="I362" t="str">
        <f>"125/124"</f>
        <v>125/124</v>
      </c>
      <c r="J362" t="str">
        <f>"70/69"</f>
        <v>70/69</v>
      </c>
      <c r="K362" t="str">
        <f>"79/95"</f>
        <v>79/95</v>
      </c>
    </row>
    <row r="363" spans="3:11" x14ac:dyDescent="0.25">
      <c r="C363" t="s">
        <v>700</v>
      </c>
      <c r="D363" t="s">
        <v>458</v>
      </c>
      <c r="E363">
        <v>8.07</v>
      </c>
      <c r="F363">
        <v>15.23</v>
      </c>
      <c r="G363">
        <v>28.52</v>
      </c>
      <c r="I363" t="str">
        <f>"249/439"</f>
        <v>249/439</v>
      </c>
      <c r="J363" t="str">
        <f>"86/84"</f>
        <v>86/84</v>
      </c>
      <c r="K363" t="str">
        <f>"106/106"</f>
        <v>106/106</v>
      </c>
    </row>
    <row r="364" spans="3:11" x14ac:dyDescent="0.25">
      <c r="C364" t="s">
        <v>701</v>
      </c>
      <c r="D364" t="s">
        <v>465</v>
      </c>
      <c r="E364">
        <v>9.16</v>
      </c>
      <c r="F364">
        <v>17.8</v>
      </c>
      <c r="G364">
        <v>24.16</v>
      </c>
      <c r="I364" t="str">
        <f>"141/366"</f>
        <v>141/366</v>
      </c>
      <c r="J364" t="str">
        <f>"96/149"</f>
        <v>96/149</v>
      </c>
      <c r="K364" t="str">
        <f>"114/184"</f>
        <v>114/184</v>
      </c>
    </row>
    <row r="365" spans="3:11" x14ac:dyDescent="0.25">
      <c r="C365" t="s">
        <v>702</v>
      </c>
      <c r="D365" t="s">
        <v>156</v>
      </c>
      <c r="E365">
        <v>5.53</v>
      </c>
      <c r="F365">
        <v>13.55</v>
      </c>
      <c r="G365">
        <v>23.36</v>
      </c>
      <c r="I365" t="str">
        <f>"302/447"</f>
        <v>302/447</v>
      </c>
      <c r="J365" t="str">
        <f>"215/336"</f>
        <v>215/336</v>
      </c>
      <c r="K365" t="str">
        <f>"258/313"</f>
        <v>258/313</v>
      </c>
    </row>
    <row r="366" spans="3:11" x14ac:dyDescent="0.25">
      <c r="C366" t="s">
        <v>710</v>
      </c>
      <c r="D366" t="s">
        <v>151</v>
      </c>
      <c r="E366">
        <v>5.52</v>
      </c>
      <c r="F366">
        <v>13.51</v>
      </c>
      <c r="G366">
        <v>22.95</v>
      </c>
      <c r="I366" t="str">
        <f>"303/448"</f>
        <v>303/448</v>
      </c>
      <c r="J366" t="str">
        <f>"216/337"</f>
        <v>216/337</v>
      </c>
      <c r="K366" t="str">
        <f>"263/320"</f>
        <v>263/320</v>
      </c>
    </row>
    <row r="367" spans="3:11" x14ac:dyDescent="0.25">
      <c r="C367" t="s">
        <v>711</v>
      </c>
      <c r="D367" t="s">
        <v>281</v>
      </c>
      <c r="E367">
        <v>4.62</v>
      </c>
      <c r="F367">
        <v>5.44</v>
      </c>
      <c r="G367">
        <v>28.75</v>
      </c>
      <c r="I367" t="str">
        <f>"145/160"</f>
        <v>145/160</v>
      </c>
      <c r="J367" t="str">
        <f>"82/81"</f>
        <v>82/81</v>
      </c>
      <c r="K367" t="str">
        <f>"40/39"</f>
        <v>40/39</v>
      </c>
    </row>
    <row r="368" spans="3:11" x14ac:dyDescent="0.25">
      <c r="C368" t="s">
        <v>675</v>
      </c>
    </row>
    <row r="370" spans="2:11" x14ac:dyDescent="0.25">
      <c r="C370" t="s">
        <v>36</v>
      </c>
      <c r="F370" t="s">
        <v>605</v>
      </c>
      <c r="J370" t="s">
        <v>13</v>
      </c>
    </row>
    <row r="371" spans="2:11" x14ac:dyDescent="0.25">
      <c r="D371" t="s">
        <v>14</v>
      </c>
      <c r="E371" t="s">
        <v>1</v>
      </c>
      <c r="F371" t="s">
        <v>3</v>
      </c>
      <c r="G371" t="s">
        <v>2</v>
      </c>
      <c r="I371" t="s">
        <v>1</v>
      </c>
      <c r="J371" t="s">
        <v>3</v>
      </c>
      <c r="K371" t="s">
        <v>2</v>
      </c>
    </row>
    <row r="372" spans="2:11" x14ac:dyDescent="0.25">
      <c r="C372" t="s">
        <v>687</v>
      </c>
      <c r="D372" t="s">
        <v>506</v>
      </c>
      <c r="E372">
        <v>12.07</v>
      </c>
      <c r="F372">
        <v>18.16</v>
      </c>
      <c r="G372">
        <v>21.23</v>
      </c>
      <c r="I372" t="str">
        <f>"246/641"</f>
        <v>246/641</v>
      </c>
      <c r="J372" t="str">
        <f>"209/707"</f>
        <v>209/707</v>
      </c>
      <c r="K372" t="str">
        <f>"454/977"</f>
        <v>454/977</v>
      </c>
    </row>
    <row r="373" spans="2:11" x14ac:dyDescent="0.25">
      <c r="C373" t="s">
        <v>689</v>
      </c>
      <c r="D373" t="s">
        <v>457</v>
      </c>
      <c r="E373">
        <v>10.57</v>
      </c>
      <c r="F373">
        <v>18.57</v>
      </c>
      <c r="G373">
        <v>14.94</v>
      </c>
      <c r="I373" t="str">
        <f>"166/268"</f>
        <v>166/268</v>
      </c>
      <c r="J373" t="str">
        <f>"87/129"</f>
        <v>87/129</v>
      </c>
      <c r="K373" t="str">
        <f>"168/296"</f>
        <v>168/296</v>
      </c>
    </row>
    <row r="374" spans="2:11" x14ac:dyDescent="0.25">
      <c r="C374" t="s">
        <v>691</v>
      </c>
      <c r="D374" t="s">
        <v>271</v>
      </c>
      <c r="E374">
        <v>10.48</v>
      </c>
      <c r="F374">
        <v>17.940000000000001</v>
      </c>
      <c r="G374">
        <v>14.79</v>
      </c>
      <c r="I374" t="str">
        <f>"154/251"</f>
        <v>154/251</v>
      </c>
      <c r="J374" t="str">
        <f>"81/122"</f>
        <v>81/122</v>
      </c>
      <c r="K374" t="str">
        <f>"155/278"</f>
        <v>155/278</v>
      </c>
    </row>
    <row r="375" spans="2:11" x14ac:dyDescent="0.25">
      <c r="C375" t="s">
        <v>693</v>
      </c>
      <c r="D375" t="s">
        <v>286</v>
      </c>
      <c r="E375">
        <v>10.97</v>
      </c>
      <c r="F375">
        <v>13.35</v>
      </c>
      <c r="G375">
        <v>18.809999999999999</v>
      </c>
      <c r="I375" t="str">
        <f>"169/284"</f>
        <v>169/284</v>
      </c>
      <c r="J375" t="str">
        <f>"104/102"</f>
        <v>104/102</v>
      </c>
      <c r="K375" t="str">
        <f>"130/127"</f>
        <v>130/127</v>
      </c>
    </row>
    <row r="376" spans="2:11" x14ac:dyDescent="0.25">
      <c r="C376" t="s">
        <v>694</v>
      </c>
      <c r="D376" t="s">
        <v>285</v>
      </c>
      <c r="E376">
        <v>10.97</v>
      </c>
      <c r="F376">
        <v>13.12</v>
      </c>
      <c r="G376">
        <v>18.809999999999999</v>
      </c>
      <c r="I376" t="str">
        <f>"169/284"</f>
        <v>169/284</v>
      </c>
      <c r="J376" t="str">
        <f>"104/102"</f>
        <v>104/102</v>
      </c>
      <c r="K376" t="str">
        <f>"130/127"</f>
        <v>130/127</v>
      </c>
    </row>
    <row r="377" spans="2:11" x14ac:dyDescent="0.25">
      <c r="C377" t="s">
        <v>696</v>
      </c>
      <c r="D377" t="s">
        <v>152</v>
      </c>
      <c r="E377">
        <v>11.02</v>
      </c>
      <c r="F377">
        <v>12.8</v>
      </c>
      <c r="G377">
        <v>18.68</v>
      </c>
      <c r="I377" t="str">
        <f>"174/289"</f>
        <v>174/289</v>
      </c>
      <c r="J377" t="str">
        <f>"116/119"</f>
        <v>116/119</v>
      </c>
      <c r="K377" t="str">
        <f>"136/133"</f>
        <v>136/133</v>
      </c>
    </row>
    <row r="378" spans="2:11" x14ac:dyDescent="0.25">
      <c r="C378" t="s">
        <v>697</v>
      </c>
      <c r="D378" t="s">
        <v>154</v>
      </c>
      <c r="E378">
        <v>9.94</v>
      </c>
      <c r="F378">
        <v>12.07</v>
      </c>
      <c r="G378">
        <v>16.440000000000001</v>
      </c>
      <c r="I378" t="str">
        <f>"197/328"</f>
        <v>197/328</v>
      </c>
      <c r="J378" t="str">
        <f>"137/143"</f>
        <v>137/143</v>
      </c>
      <c r="K378" t="str">
        <f>"159/156"</f>
        <v>159/156</v>
      </c>
    </row>
    <row r="379" spans="2:11" x14ac:dyDescent="0.25">
      <c r="C379" t="s">
        <v>698</v>
      </c>
      <c r="D379" t="s">
        <v>23</v>
      </c>
      <c r="E379">
        <v>10.14</v>
      </c>
      <c r="F379">
        <v>13.28</v>
      </c>
      <c r="G379">
        <v>14.29</v>
      </c>
      <c r="I379" t="str">
        <f>"127/239"</f>
        <v>127/239</v>
      </c>
      <c r="J379" t="str">
        <f>"68/67"</f>
        <v>68/67</v>
      </c>
      <c r="K379" t="str">
        <f>"106/105"</f>
        <v>106/105</v>
      </c>
    </row>
    <row r="380" spans="2:11" x14ac:dyDescent="0.25">
      <c r="C380" t="s">
        <v>781</v>
      </c>
    </row>
    <row r="382" spans="2:11" x14ac:dyDescent="0.25">
      <c r="B382" t="s">
        <v>37</v>
      </c>
      <c r="C382" t="s">
        <v>338</v>
      </c>
    </row>
    <row r="384" spans="2:11" x14ac:dyDescent="0.25">
      <c r="C384" t="s">
        <v>11</v>
      </c>
      <c r="F384" t="s">
        <v>605</v>
      </c>
      <c r="J384" t="s">
        <v>13</v>
      </c>
    </row>
    <row r="385" spans="2:11" x14ac:dyDescent="0.25">
      <c r="D385" t="s">
        <v>14</v>
      </c>
      <c r="E385" t="s">
        <v>1</v>
      </c>
      <c r="F385" t="s">
        <v>3</v>
      </c>
      <c r="G385" t="s">
        <v>2</v>
      </c>
      <c r="I385" t="s">
        <v>1</v>
      </c>
      <c r="J385" t="s">
        <v>3</v>
      </c>
      <c r="K385" t="s">
        <v>2</v>
      </c>
    </row>
    <row r="386" spans="2:11" x14ac:dyDescent="0.25">
      <c r="C386" t="s">
        <v>320</v>
      </c>
    </row>
    <row r="388" spans="2:11" x14ac:dyDescent="0.25">
      <c r="C388" t="s">
        <v>17</v>
      </c>
      <c r="F388" t="s">
        <v>605</v>
      </c>
      <c r="J388" t="s">
        <v>13</v>
      </c>
    </row>
    <row r="389" spans="2:11" x14ac:dyDescent="0.25">
      <c r="D389" t="s">
        <v>14</v>
      </c>
      <c r="E389" t="s">
        <v>1</v>
      </c>
      <c r="F389" t="s">
        <v>3</v>
      </c>
      <c r="G389" t="s">
        <v>2</v>
      </c>
      <c r="I389" t="s">
        <v>1</v>
      </c>
      <c r="J389" t="s">
        <v>3</v>
      </c>
      <c r="K389" t="s">
        <v>2</v>
      </c>
    </row>
    <row r="390" spans="2:11" x14ac:dyDescent="0.25">
      <c r="C390" t="s">
        <v>320</v>
      </c>
    </row>
    <row r="392" spans="2:11" x14ac:dyDescent="0.25">
      <c r="C392" t="s">
        <v>18</v>
      </c>
      <c r="F392" t="s">
        <v>605</v>
      </c>
      <c r="J392" t="s">
        <v>13</v>
      </c>
    </row>
    <row r="393" spans="2:11" x14ac:dyDescent="0.25">
      <c r="D393" t="s">
        <v>14</v>
      </c>
      <c r="E393" t="s">
        <v>1</v>
      </c>
      <c r="F393" t="s">
        <v>3</v>
      </c>
      <c r="G393" t="s">
        <v>2</v>
      </c>
      <c r="I393" t="s">
        <v>1</v>
      </c>
      <c r="J393" t="s">
        <v>3</v>
      </c>
      <c r="K393" t="s">
        <v>2</v>
      </c>
    </row>
    <row r="394" spans="2:11" x14ac:dyDescent="0.25">
      <c r="C394" t="s">
        <v>320</v>
      </c>
    </row>
    <row r="396" spans="2:11" x14ac:dyDescent="0.25">
      <c r="C396" t="s">
        <v>36</v>
      </c>
      <c r="F396" t="s">
        <v>605</v>
      </c>
      <c r="J396" t="s">
        <v>13</v>
      </c>
    </row>
    <row r="397" spans="2:11" x14ac:dyDescent="0.25">
      <c r="D397" t="s">
        <v>14</v>
      </c>
      <c r="E397" t="s">
        <v>1</v>
      </c>
      <c r="F397" t="s">
        <v>3</v>
      </c>
      <c r="G397" t="s">
        <v>2</v>
      </c>
      <c r="I397" t="s">
        <v>1</v>
      </c>
      <c r="J397" t="s">
        <v>3</v>
      </c>
      <c r="K397" t="s">
        <v>2</v>
      </c>
    </row>
    <row r="398" spans="2:11" x14ac:dyDescent="0.25">
      <c r="C398" t="s">
        <v>320</v>
      </c>
    </row>
    <row r="400" spans="2:11" x14ac:dyDescent="0.25">
      <c r="B400" t="s">
        <v>38</v>
      </c>
      <c r="C400" t="s">
        <v>339</v>
      </c>
    </row>
    <row r="402" spans="3:11" x14ac:dyDescent="0.25">
      <c r="C402" t="s">
        <v>11</v>
      </c>
      <c r="F402" t="s">
        <v>605</v>
      </c>
      <c r="J402" t="s">
        <v>13</v>
      </c>
    </row>
    <row r="403" spans="3:11" x14ac:dyDescent="0.25">
      <c r="D403" t="s">
        <v>14</v>
      </c>
      <c r="E403" t="s">
        <v>1</v>
      </c>
      <c r="F403" t="s">
        <v>3</v>
      </c>
      <c r="G403" t="s">
        <v>2</v>
      </c>
      <c r="I403" t="s">
        <v>1</v>
      </c>
      <c r="J403" t="s">
        <v>3</v>
      </c>
      <c r="K403" t="s">
        <v>2</v>
      </c>
    </row>
    <row r="404" spans="3:11" x14ac:dyDescent="0.25">
      <c r="C404" t="s">
        <v>320</v>
      </c>
    </row>
    <row r="406" spans="3:11" x14ac:dyDescent="0.25">
      <c r="C406" t="s">
        <v>17</v>
      </c>
      <c r="F406" t="s">
        <v>605</v>
      </c>
      <c r="J406" t="s">
        <v>13</v>
      </c>
    </row>
    <row r="407" spans="3:11" x14ac:dyDescent="0.25">
      <c r="D407" t="s">
        <v>14</v>
      </c>
      <c r="E407" t="s">
        <v>1</v>
      </c>
      <c r="F407" t="s">
        <v>3</v>
      </c>
      <c r="G407" t="s">
        <v>2</v>
      </c>
      <c r="I407" t="s">
        <v>1</v>
      </c>
      <c r="J407" t="s">
        <v>3</v>
      </c>
      <c r="K407" t="s">
        <v>2</v>
      </c>
    </row>
    <row r="408" spans="3:11" x14ac:dyDescent="0.25">
      <c r="C408" t="s">
        <v>320</v>
      </c>
    </row>
    <row r="410" spans="3:11" x14ac:dyDescent="0.25">
      <c r="C410" t="s">
        <v>18</v>
      </c>
      <c r="F410" t="s">
        <v>605</v>
      </c>
      <c r="J410" t="s">
        <v>13</v>
      </c>
    </row>
    <row r="411" spans="3:11" x14ac:dyDescent="0.25">
      <c r="D411" t="s">
        <v>14</v>
      </c>
      <c r="E411" t="s">
        <v>1</v>
      </c>
      <c r="F411" t="s">
        <v>3</v>
      </c>
      <c r="G411" t="s">
        <v>2</v>
      </c>
      <c r="I411" t="s">
        <v>1</v>
      </c>
      <c r="J411" t="s">
        <v>3</v>
      </c>
      <c r="K411" t="s">
        <v>2</v>
      </c>
    </row>
    <row r="412" spans="3:11" x14ac:dyDescent="0.25">
      <c r="C412" t="s">
        <v>320</v>
      </c>
    </row>
    <row r="414" spans="3:11" x14ac:dyDescent="0.25">
      <c r="C414" t="s">
        <v>36</v>
      </c>
      <c r="F414" t="s">
        <v>605</v>
      </c>
      <c r="J414" t="s">
        <v>13</v>
      </c>
    </row>
    <row r="415" spans="3:11" x14ac:dyDescent="0.25">
      <c r="D415" t="s">
        <v>14</v>
      </c>
      <c r="E415" t="s">
        <v>1</v>
      </c>
      <c r="F415" t="s">
        <v>3</v>
      </c>
      <c r="G415" t="s">
        <v>2</v>
      </c>
      <c r="I415" t="s">
        <v>1</v>
      </c>
      <c r="J415" t="s">
        <v>3</v>
      </c>
      <c r="K415" t="s">
        <v>2</v>
      </c>
    </row>
    <row r="416" spans="3:11" x14ac:dyDescent="0.25">
      <c r="C416" t="s">
        <v>320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workbookViewId="0">
      <selection activeCell="D8" sqref="D8"/>
    </sheetView>
  </sheetViews>
  <sheetFormatPr defaultColWidth="9.28515625" defaultRowHeight="15" x14ac:dyDescent="0.25"/>
  <cols>
    <col min="1" max="1" width="3.85546875" bestFit="1" customWidth="1"/>
    <col min="2" max="2" width="20.5703125" bestFit="1" customWidth="1"/>
    <col min="3" max="3" width="19.28515625" customWidth="1"/>
    <col min="4" max="4" width="82.7109375" bestFit="1" customWidth="1"/>
    <col min="5" max="5" width="6" bestFit="1" customWidth="1"/>
    <col min="6" max="6" width="14.42578125" bestFit="1" customWidth="1"/>
    <col min="7" max="7" width="7" bestFit="1" customWidth="1"/>
    <col min="9" max="9" width="8.85546875" bestFit="1" customWidth="1"/>
    <col min="10" max="10" width="14.7109375" bestFit="1" customWidth="1"/>
    <col min="11" max="11" width="8.85546875" bestFit="1" customWidth="1"/>
  </cols>
  <sheetData>
    <row r="1" spans="1:11" x14ac:dyDescent="0.25">
      <c r="A1" t="s">
        <v>4</v>
      </c>
      <c r="B1" t="s">
        <v>656</v>
      </c>
    </row>
    <row r="3" spans="1:11" x14ac:dyDescent="0.25">
      <c r="B3" t="s">
        <v>10</v>
      </c>
      <c r="C3" t="s">
        <v>686</v>
      </c>
    </row>
    <row r="5" spans="1:11" x14ac:dyDescent="0.25">
      <c r="C5" t="s">
        <v>11</v>
      </c>
      <c r="F5" t="s">
        <v>657</v>
      </c>
      <c r="J5" t="s">
        <v>13</v>
      </c>
    </row>
    <row r="6" spans="1:11" x14ac:dyDescent="0.25">
      <c r="D6" t="s">
        <v>14</v>
      </c>
      <c r="E6" t="s">
        <v>1</v>
      </c>
      <c r="F6" t="s">
        <v>3</v>
      </c>
      <c r="G6" t="s">
        <v>2</v>
      </c>
      <c r="I6" t="s">
        <v>1</v>
      </c>
      <c r="J6" t="s">
        <v>3</v>
      </c>
      <c r="K6" t="s">
        <v>2</v>
      </c>
    </row>
    <row r="7" spans="1:11" x14ac:dyDescent="0.25">
      <c r="C7" t="s">
        <v>687</v>
      </c>
      <c r="D7" t="s">
        <v>447</v>
      </c>
      <c r="E7">
        <v>238</v>
      </c>
      <c r="F7">
        <v>805</v>
      </c>
      <c r="G7">
        <v>1086</v>
      </c>
      <c r="I7" t="str">
        <f>"137/257"</f>
        <v>137/257</v>
      </c>
      <c r="J7" t="str">
        <f>"77/76"</f>
        <v>77/76</v>
      </c>
      <c r="K7" t="str">
        <f>"126/125"</f>
        <v>126/125</v>
      </c>
    </row>
    <row r="8" spans="1:11" x14ac:dyDescent="0.25">
      <c r="C8" t="s">
        <v>689</v>
      </c>
      <c r="D8" t="s">
        <v>500</v>
      </c>
      <c r="E8">
        <v>235.5</v>
      </c>
      <c r="F8">
        <v>799</v>
      </c>
      <c r="G8">
        <v>1077</v>
      </c>
      <c r="I8" t="str">
        <f>"137/257"</f>
        <v>137/257</v>
      </c>
      <c r="J8" t="str">
        <f>"75/74"</f>
        <v>75/74</v>
      </c>
      <c r="K8" t="str">
        <f>"125/124"</f>
        <v>125/124</v>
      </c>
    </row>
    <row r="9" spans="1:11" x14ac:dyDescent="0.25">
      <c r="C9" t="s">
        <v>691</v>
      </c>
      <c r="D9" t="s">
        <v>499</v>
      </c>
      <c r="E9">
        <v>235.5</v>
      </c>
      <c r="F9">
        <v>799</v>
      </c>
      <c r="G9">
        <v>1077</v>
      </c>
      <c r="I9" t="str">
        <f>"137/257"</f>
        <v>137/257</v>
      </c>
      <c r="J9" t="str">
        <f>"75/74"</f>
        <v>75/74</v>
      </c>
      <c r="K9" t="str">
        <f>"125/124"</f>
        <v>125/124</v>
      </c>
    </row>
    <row r="10" spans="1:11" x14ac:dyDescent="0.25">
      <c r="C10" t="s">
        <v>693</v>
      </c>
      <c r="D10" t="s">
        <v>497</v>
      </c>
      <c r="E10">
        <v>219.5</v>
      </c>
      <c r="F10">
        <v>766</v>
      </c>
      <c r="G10">
        <v>1063</v>
      </c>
      <c r="I10" t="str">
        <f>"137/257"</f>
        <v>137/257</v>
      </c>
      <c r="J10" t="str">
        <f>"73/72"</f>
        <v>73/72</v>
      </c>
      <c r="K10" t="str">
        <f>"123/122"</f>
        <v>123/122</v>
      </c>
    </row>
    <row r="11" spans="1:11" x14ac:dyDescent="0.25">
      <c r="C11" t="s">
        <v>694</v>
      </c>
      <c r="D11" t="s">
        <v>90</v>
      </c>
      <c r="E11">
        <v>225</v>
      </c>
      <c r="F11">
        <v>654</v>
      </c>
      <c r="G11">
        <v>467.5</v>
      </c>
      <c r="I11" t="str">
        <f>"29/27"</f>
        <v>29/27</v>
      </c>
      <c r="J11" t="str">
        <f>"17/16"</f>
        <v>17/16</v>
      </c>
      <c r="K11" t="str">
        <f>"12/10"</f>
        <v>12/10</v>
      </c>
    </row>
    <row r="12" spans="1:11" x14ac:dyDescent="0.25">
      <c r="C12" t="s">
        <v>696</v>
      </c>
      <c r="D12" t="s">
        <v>658</v>
      </c>
      <c r="E12">
        <v>223.5</v>
      </c>
      <c r="F12">
        <v>664</v>
      </c>
      <c r="G12">
        <v>314.33</v>
      </c>
      <c r="I12" t="str">
        <f>"92/90"</f>
        <v>92/90</v>
      </c>
      <c r="J12" t="str">
        <f>"50/49"</f>
        <v>50/49</v>
      </c>
      <c r="K12" t="str">
        <f>"28/29"</f>
        <v>28/29</v>
      </c>
    </row>
    <row r="13" spans="1:11" x14ac:dyDescent="0.25">
      <c r="C13" t="s">
        <v>697</v>
      </c>
      <c r="D13" t="s">
        <v>438</v>
      </c>
      <c r="E13">
        <v>223.5</v>
      </c>
      <c r="F13">
        <v>664</v>
      </c>
      <c r="G13">
        <v>314.33</v>
      </c>
      <c r="I13" t="str">
        <f>"92/90"</f>
        <v>92/90</v>
      </c>
      <c r="J13" t="str">
        <f>"50/49"</f>
        <v>50/49</v>
      </c>
      <c r="K13" t="str">
        <f>"28/29"</f>
        <v>28/29</v>
      </c>
    </row>
    <row r="14" spans="1:11" x14ac:dyDescent="0.25">
      <c r="C14" t="s">
        <v>698</v>
      </c>
      <c r="D14" t="s">
        <v>457</v>
      </c>
      <c r="E14">
        <v>235</v>
      </c>
      <c r="F14">
        <v>371.5</v>
      </c>
      <c r="G14">
        <v>343</v>
      </c>
      <c r="I14" t="str">
        <f>"166/268"</f>
        <v>166/268</v>
      </c>
      <c r="J14" t="str">
        <f>"87/129"</f>
        <v>87/129</v>
      </c>
      <c r="K14" t="str">
        <f>"168/296"</f>
        <v>168/296</v>
      </c>
    </row>
    <row r="15" spans="1:11" x14ac:dyDescent="0.25">
      <c r="C15" t="s">
        <v>699</v>
      </c>
      <c r="D15" t="s">
        <v>442</v>
      </c>
      <c r="E15">
        <v>179</v>
      </c>
      <c r="F15">
        <v>296</v>
      </c>
      <c r="G15">
        <v>301.33</v>
      </c>
      <c r="I15" t="str">
        <f>"34/43"</f>
        <v>34/43</v>
      </c>
      <c r="J15" t="str">
        <f>"21/27"</f>
        <v>21/27</v>
      </c>
      <c r="K15" t="str">
        <f>"42/62"</f>
        <v>42/62</v>
      </c>
    </row>
    <row r="16" spans="1:11" x14ac:dyDescent="0.25">
      <c r="C16" t="s">
        <v>514</v>
      </c>
    </row>
    <row r="18" spans="3:11" x14ac:dyDescent="0.25">
      <c r="C18" t="s">
        <v>17</v>
      </c>
      <c r="F18" t="s">
        <v>657</v>
      </c>
      <c r="J18" t="s">
        <v>13</v>
      </c>
    </row>
    <row r="19" spans="3:11" x14ac:dyDescent="0.25">
      <c r="D19" t="s">
        <v>14</v>
      </c>
      <c r="E19" t="s">
        <v>1</v>
      </c>
      <c r="F19" t="s">
        <v>3</v>
      </c>
      <c r="G19" t="s">
        <v>2</v>
      </c>
      <c r="I19" t="s">
        <v>1</v>
      </c>
      <c r="J19" t="s">
        <v>3</v>
      </c>
      <c r="K19" t="s">
        <v>2</v>
      </c>
    </row>
    <row r="20" spans="3:11" x14ac:dyDescent="0.25">
      <c r="C20" t="s">
        <v>687</v>
      </c>
      <c r="D20" t="s">
        <v>328</v>
      </c>
      <c r="E20">
        <v>319</v>
      </c>
      <c r="F20">
        <v>249.5</v>
      </c>
      <c r="G20">
        <v>417</v>
      </c>
      <c r="I20" t="str">
        <f>"12/11"</f>
        <v>12/11</v>
      </c>
      <c r="J20" t="str">
        <f>"10/10"</f>
        <v>10/10</v>
      </c>
      <c r="K20" t="str">
        <f>"24/34"</f>
        <v>24/34</v>
      </c>
    </row>
    <row r="21" spans="3:11" x14ac:dyDescent="0.25">
      <c r="C21" t="s">
        <v>689</v>
      </c>
      <c r="D21" t="s">
        <v>327</v>
      </c>
      <c r="E21">
        <v>287</v>
      </c>
      <c r="F21">
        <v>235.5</v>
      </c>
      <c r="G21">
        <v>385.5</v>
      </c>
      <c r="I21" t="str">
        <f>"12/11"</f>
        <v>12/11</v>
      </c>
      <c r="J21" t="str">
        <f>"10/10"</f>
        <v>10/10</v>
      </c>
      <c r="K21" t="str">
        <f>"23/33"</f>
        <v>23/33</v>
      </c>
    </row>
    <row r="22" spans="3:11" x14ac:dyDescent="0.25">
      <c r="C22" t="s">
        <v>691</v>
      </c>
      <c r="D22" t="s">
        <v>326</v>
      </c>
      <c r="E22">
        <v>286</v>
      </c>
      <c r="F22">
        <v>234.5</v>
      </c>
      <c r="G22">
        <v>384.5</v>
      </c>
      <c r="I22" t="str">
        <f>"12/11"</f>
        <v>12/11</v>
      </c>
      <c r="J22" t="str">
        <f>"10/10"</f>
        <v>10/10</v>
      </c>
      <c r="K22" t="str">
        <f>"23/33"</f>
        <v>23/33</v>
      </c>
    </row>
    <row r="23" spans="3:11" x14ac:dyDescent="0.25">
      <c r="C23" t="s">
        <v>693</v>
      </c>
      <c r="D23" t="s">
        <v>329</v>
      </c>
      <c r="E23">
        <v>345</v>
      </c>
      <c r="F23">
        <v>154.5</v>
      </c>
      <c r="G23">
        <v>299</v>
      </c>
      <c r="I23" t="str">
        <f>"12/11"</f>
        <v>12/11</v>
      </c>
      <c r="J23" t="str">
        <f>"14/15"</f>
        <v>14/15</v>
      </c>
      <c r="K23" t="str">
        <f>"26/35"</f>
        <v>26/35</v>
      </c>
    </row>
    <row r="24" spans="3:11" x14ac:dyDescent="0.25">
      <c r="C24" t="s">
        <v>694</v>
      </c>
      <c r="D24" t="s">
        <v>450</v>
      </c>
      <c r="E24">
        <v>193.5</v>
      </c>
      <c r="F24">
        <v>207</v>
      </c>
      <c r="G24">
        <v>310.67</v>
      </c>
      <c r="I24" t="str">
        <f>"174/274"</f>
        <v>174/274</v>
      </c>
      <c r="J24" t="str">
        <f>"71/92"</f>
        <v>71/92</v>
      </c>
      <c r="K24" t="str">
        <f>"163/279"</f>
        <v>163/279</v>
      </c>
    </row>
    <row r="25" spans="3:11" x14ac:dyDescent="0.25">
      <c r="C25" t="s">
        <v>782</v>
      </c>
    </row>
    <row r="27" spans="3:11" x14ac:dyDescent="0.25">
      <c r="C27" t="s">
        <v>18</v>
      </c>
      <c r="F27" t="s">
        <v>657</v>
      </c>
      <c r="J27" t="s">
        <v>13</v>
      </c>
    </row>
    <row r="28" spans="3:11" x14ac:dyDescent="0.25">
      <c r="D28" t="s">
        <v>14</v>
      </c>
      <c r="E28" t="s">
        <v>1</v>
      </c>
      <c r="F28" t="s">
        <v>3</v>
      </c>
      <c r="G28" t="s">
        <v>2</v>
      </c>
      <c r="I28" t="s">
        <v>1</v>
      </c>
      <c r="J28" t="s">
        <v>3</v>
      </c>
      <c r="K28" t="s">
        <v>2</v>
      </c>
    </row>
    <row r="29" spans="3:11" x14ac:dyDescent="0.25">
      <c r="C29" t="s">
        <v>687</v>
      </c>
      <c r="D29" t="s">
        <v>505</v>
      </c>
      <c r="E29">
        <v>246.5</v>
      </c>
      <c r="F29">
        <v>407</v>
      </c>
      <c r="G29">
        <v>222.8</v>
      </c>
      <c r="I29" t="str">
        <f>"137/257"</f>
        <v>137/257</v>
      </c>
      <c r="J29" t="str">
        <f>"81/79"</f>
        <v>81/79</v>
      </c>
      <c r="K29" t="str">
        <f>"167/162"</f>
        <v>167/162</v>
      </c>
    </row>
    <row r="30" spans="3:11" x14ac:dyDescent="0.25">
      <c r="C30" t="s">
        <v>689</v>
      </c>
      <c r="D30" t="s">
        <v>504</v>
      </c>
      <c r="E30">
        <v>245.5</v>
      </c>
      <c r="F30">
        <v>406</v>
      </c>
      <c r="G30">
        <v>221.4</v>
      </c>
      <c r="I30" t="str">
        <f>"137/257"</f>
        <v>137/257</v>
      </c>
      <c r="J30" t="str">
        <f>"79/77"</f>
        <v>79/77</v>
      </c>
      <c r="K30" t="str">
        <f>"164/159"</f>
        <v>164/159</v>
      </c>
    </row>
    <row r="31" spans="3:11" x14ac:dyDescent="0.25">
      <c r="C31" t="s">
        <v>691</v>
      </c>
      <c r="D31" t="s">
        <v>502</v>
      </c>
      <c r="E31">
        <v>231</v>
      </c>
      <c r="F31">
        <v>390</v>
      </c>
      <c r="G31">
        <v>220</v>
      </c>
      <c r="I31" t="str">
        <f>"137/257"</f>
        <v>137/257</v>
      </c>
      <c r="J31" t="str">
        <f>"77/75"</f>
        <v>77/75</v>
      </c>
      <c r="K31" t="str">
        <f>"160/155"</f>
        <v>160/155</v>
      </c>
    </row>
    <row r="32" spans="3:11" x14ac:dyDescent="0.25">
      <c r="C32" t="s">
        <v>693</v>
      </c>
      <c r="D32" t="s">
        <v>75</v>
      </c>
      <c r="E32">
        <v>181</v>
      </c>
      <c r="F32">
        <v>296.33</v>
      </c>
      <c r="G32">
        <v>117.7</v>
      </c>
      <c r="I32" t="str">
        <f>"18/14"</f>
        <v>18/14</v>
      </c>
      <c r="J32" t="str">
        <f>"21/19"</f>
        <v>21/19</v>
      </c>
      <c r="K32" t="str">
        <f>"117/157"</f>
        <v>117/157</v>
      </c>
    </row>
    <row r="33" spans="2:11" x14ac:dyDescent="0.25">
      <c r="C33" t="s">
        <v>783</v>
      </c>
    </row>
    <row r="35" spans="2:11" x14ac:dyDescent="0.25">
      <c r="C35" t="s">
        <v>36</v>
      </c>
      <c r="F35" t="s">
        <v>657</v>
      </c>
      <c r="J35" t="s">
        <v>13</v>
      </c>
    </row>
    <row r="36" spans="2:11" x14ac:dyDescent="0.25">
      <c r="D36" t="s">
        <v>14</v>
      </c>
      <c r="E36" t="s">
        <v>1</v>
      </c>
      <c r="F36" t="s">
        <v>3</v>
      </c>
      <c r="G36" t="s">
        <v>2</v>
      </c>
      <c r="I36" t="s">
        <v>1</v>
      </c>
      <c r="J36" t="s">
        <v>3</v>
      </c>
      <c r="K36" t="s">
        <v>2</v>
      </c>
    </row>
    <row r="37" spans="2:11" x14ac:dyDescent="0.25">
      <c r="C37" t="s">
        <v>687</v>
      </c>
      <c r="D37" t="s">
        <v>248</v>
      </c>
      <c r="E37">
        <v>143</v>
      </c>
      <c r="F37">
        <v>432</v>
      </c>
      <c r="G37">
        <v>680</v>
      </c>
      <c r="I37" t="str">
        <f>"73/139"</f>
        <v>73/139</v>
      </c>
      <c r="J37" t="str">
        <f>"46/45"</f>
        <v>46/45</v>
      </c>
      <c r="K37" t="str">
        <f>"71/70"</f>
        <v>71/70</v>
      </c>
    </row>
    <row r="38" spans="2:11" x14ac:dyDescent="0.25">
      <c r="C38" t="s">
        <v>689</v>
      </c>
      <c r="D38" t="s">
        <v>31</v>
      </c>
      <c r="E38">
        <v>62</v>
      </c>
      <c r="F38">
        <v>302</v>
      </c>
      <c r="G38">
        <v>548</v>
      </c>
      <c r="I38" t="str">
        <f>"72/137"</f>
        <v>72/137</v>
      </c>
      <c r="J38" t="str">
        <f>"46/45"</f>
        <v>46/45</v>
      </c>
      <c r="K38" t="str">
        <f>"71/70"</f>
        <v>71/70</v>
      </c>
    </row>
    <row r="39" spans="2:11" x14ac:dyDescent="0.25">
      <c r="C39" t="s">
        <v>784</v>
      </c>
    </row>
    <row r="41" spans="2:11" x14ac:dyDescent="0.25">
      <c r="B41" t="s">
        <v>37</v>
      </c>
      <c r="C41" t="s">
        <v>338</v>
      </c>
    </row>
    <row r="43" spans="2:11" x14ac:dyDescent="0.25">
      <c r="C43" t="s">
        <v>11</v>
      </c>
      <c r="F43" t="s">
        <v>657</v>
      </c>
      <c r="J43" t="s">
        <v>13</v>
      </c>
    </row>
    <row r="44" spans="2:11" x14ac:dyDescent="0.25">
      <c r="D44" t="s">
        <v>14</v>
      </c>
      <c r="E44" t="s">
        <v>1</v>
      </c>
      <c r="F44" t="s">
        <v>3</v>
      </c>
      <c r="G44" t="s">
        <v>2</v>
      </c>
      <c r="I44" t="s">
        <v>1</v>
      </c>
      <c r="J44" t="s">
        <v>3</v>
      </c>
      <c r="K44" t="s">
        <v>2</v>
      </c>
    </row>
    <row r="45" spans="2:11" x14ac:dyDescent="0.25">
      <c r="C45" t="s">
        <v>320</v>
      </c>
    </row>
    <row r="47" spans="2:11" x14ac:dyDescent="0.25">
      <c r="C47" t="s">
        <v>17</v>
      </c>
      <c r="F47" t="s">
        <v>657</v>
      </c>
      <c r="J47" t="s">
        <v>13</v>
      </c>
    </row>
    <row r="48" spans="2:11" x14ac:dyDescent="0.25">
      <c r="D48" t="s">
        <v>14</v>
      </c>
      <c r="E48" t="s">
        <v>1</v>
      </c>
      <c r="F48" t="s">
        <v>3</v>
      </c>
      <c r="G48" t="s">
        <v>2</v>
      </c>
      <c r="I48" t="s">
        <v>1</v>
      </c>
      <c r="J48" t="s">
        <v>3</v>
      </c>
      <c r="K48" t="s">
        <v>2</v>
      </c>
    </row>
    <row r="49" spans="2:11" x14ac:dyDescent="0.25">
      <c r="C49" t="s">
        <v>320</v>
      </c>
    </row>
    <row r="51" spans="2:11" x14ac:dyDescent="0.25">
      <c r="C51" t="s">
        <v>18</v>
      </c>
      <c r="F51" t="s">
        <v>657</v>
      </c>
      <c r="J51" t="s">
        <v>13</v>
      </c>
    </row>
    <row r="52" spans="2:11" x14ac:dyDescent="0.25">
      <c r="D52" t="s">
        <v>14</v>
      </c>
      <c r="E52" t="s">
        <v>1</v>
      </c>
      <c r="F52" t="s">
        <v>3</v>
      </c>
      <c r="G52" t="s">
        <v>2</v>
      </c>
      <c r="I52" t="s">
        <v>1</v>
      </c>
      <c r="J52" t="s">
        <v>3</v>
      </c>
      <c r="K52" t="s">
        <v>2</v>
      </c>
    </row>
    <row r="53" spans="2:11" x14ac:dyDescent="0.25">
      <c r="C53" t="s">
        <v>320</v>
      </c>
    </row>
    <row r="55" spans="2:11" x14ac:dyDescent="0.25">
      <c r="C55" t="s">
        <v>36</v>
      </c>
      <c r="F55" t="s">
        <v>657</v>
      </c>
      <c r="J55" t="s">
        <v>13</v>
      </c>
    </row>
    <row r="56" spans="2:11" x14ac:dyDescent="0.25">
      <c r="D56" t="s">
        <v>14</v>
      </c>
      <c r="E56" t="s">
        <v>1</v>
      </c>
      <c r="F56" t="s">
        <v>3</v>
      </c>
      <c r="G56" t="s">
        <v>2</v>
      </c>
      <c r="I56" t="s">
        <v>1</v>
      </c>
      <c r="J56" t="s">
        <v>3</v>
      </c>
      <c r="K56" t="s">
        <v>2</v>
      </c>
    </row>
    <row r="57" spans="2:11" x14ac:dyDescent="0.25">
      <c r="C57" t="s">
        <v>320</v>
      </c>
    </row>
    <row r="59" spans="2:11" x14ac:dyDescent="0.25">
      <c r="B59" t="s">
        <v>38</v>
      </c>
      <c r="C59" t="s">
        <v>339</v>
      </c>
    </row>
    <row r="61" spans="2:11" x14ac:dyDescent="0.25">
      <c r="C61" t="s">
        <v>11</v>
      </c>
      <c r="F61" t="s">
        <v>657</v>
      </c>
      <c r="J61" t="s">
        <v>13</v>
      </c>
    </row>
    <row r="62" spans="2:11" x14ac:dyDescent="0.25">
      <c r="D62" t="s">
        <v>14</v>
      </c>
      <c r="E62" t="s">
        <v>1</v>
      </c>
      <c r="F62" t="s">
        <v>3</v>
      </c>
      <c r="G62" t="s">
        <v>2</v>
      </c>
      <c r="I62" t="s">
        <v>1</v>
      </c>
      <c r="J62" t="s">
        <v>3</v>
      </c>
      <c r="K62" t="s">
        <v>2</v>
      </c>
    </row>
    <row r="63" spans="2:11" x14ac:dyDescent="0.25">
      <c r="C63" t="s">
        <v>320</v>
      </c>
    </row>
    <row r="65" spans="1:11" x14ac:dyDescent="0.25">
      <c r="C65" t="s">
        <v>17</v>
      </c>
      <c r="F65" t="s">
        <v>657</v>
      </c>
      <c r="J65" t="s">
        <v>13</v>
      </c>
    </row>
    <row r="66" spans="1:11" x14ac:dyDescent="0.25">
      <c r="D66" t="s">
        <v>14</v>
      </c>
      <c r="E66" t="s">
        <v>1</v>
      </c>
      <c r="F66" t="s">
        <v>3</v>
      </c>
      <c r="G66" t="s">
        <v>2</v>
      </c>
      <c r="I66" t="s">
        <v>1</v>
      </c>
      <c r="J66" t="s">
        <v>3</v>
      </c>
      <c r="K66" t="s">
        <v>2</v>
      </c>
    </row>
    <row r="67" spans="1:11" x14ac:dyDescent="0.25">
      <c r="C67" t="s">
        <v>320</v>
      </c>
    </row>
    <row r="69" spans="1:11" x14ac:dyDescent="0.25">
      <c r="C69" t="s">
        <v>18</v>
      </c>
      <c r="F69" t="s">
        <v>657</v>
      </c>
      <c r="J69" t="s">
        <v>13</v>
      </c>
    </row>
    <row r="70" spans="1:11" x14ac:dyDescent="0.25">
      <c r="D70" t="s">
        <v>14</v>
      </c>
      <c r="E70" t="s">
        <v>1</v>
      </c>
      <c r="F70" t="s">
        <v>3</v>
      </c>
      <c r="G70" t="s">
        <v>2</v>
      </c>
      <c r="I70" t="s">
        <v>1</v>
      </c>
      <c r="J70" t="s">
        <v>3</v>
      </c>
      <c r="K70" t="s">
        <v>2</v>
      </c>
    </row>
    <row r="71" spans="1:11" x14ac:dyDescent="0.25">
      <c r="C71" t="s">
        <v>320</v>
      </c>
    </row>
    <row r="73" spans="1:11" x14ac:dyDescent="0.25">
      <c r="C73" t="s">
        <v>36</v>
      </c>
      <c r="F73" t="s">
        <v>657</v>
      </c>
      <c r="J73" t="s">
        <v>13</v>
      </c>
    </row>
    <row r="74" spans="1:11" x14ac:dyDescent="0.25">
      <c r="D74" t="s">
        <v>14</v>
      </c>
      <c r="E74" t="s">
        <v>1</v>
      </c>
      <c r="F74" t="s">
        <v>3</v>
      </c>
      <c r="G74" t="s">
        <v>2</v>
      </c>
      <c r="I74" t="s">
        <v>1</v>
      </c>
      <c r="J74" t="s">
        <v>3</v>
      </c>
      <c r="K74" t="s">
        <v>2</v>
      </c>
    </row>
    <row r="75" spans="1:11" x14ac:dyDescent="0.25">
      <c r="C75" t="s">
        <v>320</v>
      </c>
    </row>
    <row r="79" spans="1:11" x14ac:dyDescent="0.25">
      <c r="A79" t="s">
        <v>4</v>
      </c>
      <c r="B79" t="s">
        <v>661</v>
      </c>
    </row>
    <row r="81" spans="2:11" x14ac:dyDescent="0.25">
      <c r="B81" t="s">
        <v>10</v>
      </c>
      <c r="C81" t="s">
        <v>686</v>
      </c>
    </row>
    <row r="83" spans="2:11" x14ac:dyDescent="0.25">
      <c r="C83" t="s">
        <v>11</v>
      </c>
      <c r="F83" t="s">
        <v>657</v>
      </c>
      <c r="J83" t="s">
        <v>13</v>
      </c>
    </row>
    <row r="84" spans="2:11" x14ac:dyDescent="0.25">
      <c r="D84" t="s">
        <v>14</v>
      </c>
      <c r="E84" t="s">
        <v>1</v>
      </c>
      <c r="F84" t="s">
        <v>3</v>
      </c>
      <c r="G84" t="s">
        <v>2</v>
      </c>
      <c r="I84" t="s">
        <v>1</v>
      </c>
      <c r="J84" t="s">
        <v>3</v>
      </c>
      <c r="K84" t="s">
        <v>2</v>
      </c>
    </row>
    <row r="85" spans="2:11" x14ac:dyDescent="0.25">
      <c r="C85" t="s">
        <v>687</v>
      </c>
      <c r="D85" t="s">
        <v>785</v>
      </c>
      <c r="E85">
        <v>10.02</v>
      </c>
      <c r="F85">
        <v>16.23</v>
      </c>
      <c r="G85">
        <v>21.41</v>
      </c>
      <c r="I85" t="str">
        <f>"109/605"</f>
        <v>109/605</v>
      </c>
      <c r="J85" t="str">
        <f>"92/503"</f>
        <v>92/503</v>
      </c>
      <c r="K85" t="str">
        <f>"117/342"</f>
        <v>117/342</v>
      </c>
    </row>
    <row r="86" spans="2:11" x14ac:dyDescent="0.25">
      <c r="C86" t="s">
        <v>689</v>
      </c>
      <c r="D86" t="s">
        <v>662</v>
      </c>
      <c r="E86">
        <v>9.98</v>
      </c>
      <c r="F86">
        <v>18.8</v>
      </c>
      <c r="G86">
        <v>17.59</v>
      </c>
      <c r="I86" t="str">
        <f>"184/469"</f>
        <v>184/469</v>
      </c>
      <c r="J86" t="str">
        <f>"170/625"</f>
        <v>170/625</v>
      </c>
      <c r="K86" t="str">
        <f>"303/688"</f>
        <v>303/688</v>
      </c>
    </row>
    <row r="87" spans="2:11" x14ac:dyDescent="0.25">
      <c r="C87" t="s">
        <v>691</v>
      </c>
      <c r="D87" t="s">
        <v>411</v>
      </c>
      <c r="E87">
        <v>9.0500000000000007</v>
      </c>
      <c r="F87">
        <v>21.2</v>
      </c>
      <c r="G87">
        <v>11.35</v>
      </c>
      <c r="I87" t="str">
        <f>"213/1714"</f>
        <v>213/1714</v>
      </c>
      <c r="J87" t="str">
        <f>"155/441"</f>
        <v>155/441</v>
      </c>
      <c r="K87" t="str">
        <f>"349/1611"</f>
        <v>349/1611</v>
      </c>
    </row>
    <row r="88" spans="2:11" x14ac:dyDescent="0.25">
      <c r="C88" t="s">
        <v>693</v>
      </c>
      <c r="D88" t="s">
        <v>167</v>
      </c>
      <c r="E88">
        <v>9.5500000000000007</v>
      </c>
      <c r="F88">
        <v>16.440000000000001</v>
      </c>
      <c r="G88">
        <v>15.17</v>
      </c>
      <c r="I88" t="str">
        <f>"223/604"</f>
        <v>223/604</v>
      </c>
      <c r="J88" t="str">
        <f>"192/709"</f>
        <v>192/709</v>
      </c>
      <c r="K88" t="str">
        <f>"347/948"</f>
        <v>347/948</v>
      </c>
    </row>
    <row r="89" spans="2:11" x14ac:dyDescent="0.25">
      <c r="C89" t="s">
        <v>694</v>
      </c>
      <c r="D89" t="s">
        <v>87</v>
      </c>
      <c r="E89">
        <v>9.0399999999999991</v>
      </c>
      <c r="F89">
        <v>14.4</v>
      </c>
      <c r="G89">
        <v>14.61</v>
      </c>
      <c r="I89" t="str">
        <f>"228/1084"</f>
        <v>228/1084</v>
      </c>
      <c r="J89" t="str">
        <f>"207/1086"</f>
        <v>207/1086</v>
      </c>
      <c r="K89" t="str">
        <f>"309/935"</f>
        <v>309/935</v>
      </c>
    </row>
    <row r="90" spans="2:11" x14ac:dyDescent="0.25">
      <c r="C90" t="s">
        <v>696</v>
      </c>
      <c r="D90" t="s">
        <v>86</v>
      </c>
      <c r="E90">
        <v>8.99</v>
      </c>
      <c r="F90">
        <v>14.53</v>
      </c>
      <c r="G90">
        <v>14.41</v>
      </c>
      <c r="I90" t="str">
        <f>"265/1251"</f>
        <v>265/1251</v>
      </c>
      <c r="J90" t="str">
        <f>"232/1220"</f>
        <v>232/1220</v>
      </c>
      <c r="K90" t="str">
        <f>"366/1042"</f>
        <v>366/1042</v>
      </c>
    </row>
    <row r="91" spans="2:11" x14ac:dyDescent="0.25">
      <c r="C91" t="s">
        <v>697</v>
      </c>
      <c r="D91" t="s">
        <v>407</v>
      </c>
      <c r="E91">
        <v>7.25</v>
      </c>
      <c r="F91">
        <v>15.72</v>
      </c>
      <c r="G91">
        <v>10.88</v>
      </c>
      <c r="I91" t="str">
        <f>"303/2188"</f>
        <v>303/2188</v>
      </c>
      <c r="J91" t="str">
        <f>"228/1264"</f>
        <v>228/1264</v>
      </c>
      <c r="K91" t="str">
        <f>"433/2342"</f>
        <v>433/2342</v>
      </c>
    </row>
    <row r="92" spans="2:11" x14ac:dyDescent="0.25">
      <c r="C92" t="s">
        <v>698</v>
      </c>
      <c r="D92" t="s">
        <v>663</v>
      </c>
      <c r="E92">
        <v>6.31</v>
      </c>
      <c r="F92">
        <v>15.69</v>
      </c>
      <c r="G92">
        <v>8.69</v>
      </c>
      <c r="I92" t="str">
        <f>"299/1876"</f>
        <v>299/1876</v>
      </c>
      <c r="J92" t="str">
        <f>"185/375"</f>
        <v>185/375</v>
      </c>
      <c r="K92" t="str">
        <f>"400/1980"</f>
        <v>400/1980</v>
      </c>
    </row>
    <row r="93" spans="2:11" x14ac:dyDescent="0.25">
      <c r="C93" t="s">
        <v>699</v>
      </c>
      <c r="D93" t="s">
        <v>665</v>
      </c>
      <c r="E93">
        <v>6.32</v>
      </c>
      <c r="F93">
        <v>15.42</v>
      </c>
      <c r="G93">
        <v>8.65</v>
      </c>
      <c r="I93" t="str">
        <f>"301/1880"</f>
        <v>301/1880</v>
      </c>
      <c r="J93" t="str">
        <f>"182/369"</f>
        <v>182/369</v>
      </c>
      <c r="K93" t="str">
        <f>"402/1980"</f>
        <v>402/1980</v>
      </c>
    </row>
    <row r="94" spans="2:11" x14ac:dyDescent="0.25">
      <c r="C94" t="s">
        <v>700</v>
      </c>
      <c r="D94" t="s">
        <v>175</v>
      </c>
      <c r="E94">
        <v>6.2</v>
      </c>
      <c r="F94">
        <v>15.82</v>
      </c>
      <c r="G94">
        <v>8.36</v>
      </c>
      <c r="I94" t="str">
        <f>"405/2328"</f>
        <v>405/2328</v>
      </c>
      <c r="J94" t="str">
        <f>"275/633"</f>
        <v>275/633</v>
      </c>
      <c r="K94" t="str">
        <f>"564/2712"</f>
        <v>564/2712</v>
      </c>
    </row>
    <row r="95" spans="2:11" x14ac:dyDescent="0.25">
      <c r="C95" t="s">
        <v>701</v>
      </c>
      <c r="D95" t="s">
        <v>172</v>
      </c>
      <c r="E95">
        <v>6.2</v>
      </c>
      <c r="F95">
        <v>15.82</v>
      </c>
      <c r="G95">
        <v>8.36</v>
      </c>
      <c r="I95" t="str">
        <f>"405/2328"</f>
        <v>405/2328</v>
      </c>
      <c r="J95" t="str">
        <f>"275/633"</f>
        <v>275/633</v>
      </c>
      <c r="K95" t="str">
        <f>"564/2712"</f>
        <v>564/2712</v>
      </c>
    </row>
    <row r="96" spans="2:11" x14ac:dyDescent="0.25">
      <c r="C96" t="s">
        <v>702</v>
      </c>
      <c r="D96" t="s">
        <v>664</v>
      </c>
      <c r="E96">
        <v>6.28</v>
      </c>
      <c r="F96">
        <v>15.42</v>
      </c>
      <c r="G96">
        <v>8.64</v>
      </c>
      <c r="I96" t="str">
        <f>"308/1908"</f>
        <v>308/1908</v>
      </c>
      <c r="J96" t="str">
        <f>"185/377"</f>
        <v>185/377</v>
      </c>
      <c r="K96" t="str">
        <f>"419/2060"</f>
        <v>419/2060</v>
      </c>
    </row>
    <row r="97" spans="3:11" x14ac:dyDescent="0.25">
      <c r="C97" t="s">
        <v>710</v>
      </c>
      <c r="D97" t="s">
        <v>666</v>
      </c>
      <c r="E97">
        <v>6.29</v>
      </c>
      <c r="F97">
        <v>15.31</v>
      </c>
      <c r="G97">
        <v>8.6300000000000008</v>
      </c>
      <c r="I97" t="str">
        <f>"297/1870"</f>
        <v>297/1870</v>
      </c>
      <c r="J97" t="str">
        <f>"181/369"</f>
        <v>181/369</v>
      </c>
      <c r="K97" t="str">
        <f>"392/1961"</f>
        <v>392/1961</v>
      </c>
    </row>
    <row r="98" spans="3:11" x14ac:dyDescent="0.25">
      <c r="C98" t="s">
        <v>711</v>
      </c>
      <c r="D98" t="s">
        <v>667</v>
      </c>
      <c r="E98">
        <v>6.27</v>
      </c>
      <c r="F98">
        <v>15.31</v>
      </c>
      <c r="G98">
        <v>8.6199999999999992</v>
      </c>
      <c r="I98" t="str">
        <f>"294/1861"</f>
        <v>294/1861</v>
      </c>
      <c r="J98" t="str">
        <f>"180/367"</f>
        <v>180/367</v>
      </c>
      <c r="K98" t="str">
        <f>"389/1949"</f>
        <v>389/1949</v>
      </c>
    </row>
    <row r="99" spans="3:11" x14ac:dyDescent="0.25">
      <c r="C99" t="s">
        <v>716</v>
      </c>
      <c r="D99" t="s">
        <v>668</v>
      </c>
      <c r="E99">
        <v>6.27</v>
      </c>
      <c r="F99">
        <v>15.31</v>
      </c>
      <c r="G99">
        <v>8.6199999999999992</v>
      </c>
      <c r="I99" t="str">
        <f>"294/1861"</f>
        <v>294/1861</v>
      </c>
      <c r="J99" t="str">
        <f>"180/367"</f>
        <v>180/367</v>
      </c>
      <c r="K99" t="str">
        <f>"388/1938"</f>
        <v>388/1938</v>
      </c>
    </row>
    <row r="100" spans="3:11" x14ac:dyDescent="0.25">
      <c r="C100" t="s">
        <v>717</v>
      </c>
      <c r="D100" t="s">
        <v>669</v>
      </c>
      <c r="E100">
        <v>6.27</v>
      </c>
      <c r="F100">
        <v>15.31</v>
      </c>
      <c r="G100">
        <v>8.59</v>
      </c>
      <c r="I100" t="str">
        <f>"296/1866"</f>
        <v>296/1866</v>
      </c>
      <c r="J100" t="str">
        <f>"180/367"</f>
        <v>180/367</v>
      </c>
      <c r="K100" t="str">
        <f>"392/1951"</f>
        <v>392/1951</v>
      </c>
    </row>
    <row r="101" spans="3:11" x14ac:dyDescent="0.25">
      <c r="C101" t="s">
        <v>718</v>
      </c>
      <c r="D101" t="s">
        <v>173</v>
      </c>
      <c r="E101">
        <v>6.13</v>
      </c>
      <c r="F101">
        <v>15.44</v>
      </c>
      <c r="G101">
        <v>8.01</v>
      </c>
      <c r="I101" t="str">
        <f>"417/2430"</f>
        <v>417/2430</v>
      </c>
      <c r="J101" t="str">
        <f>"282/708"</f>
        <v>282/708</v>
      </c>
      <c r="K101" t="str">
        <f>"596/3006"</f>
        <v>596/3006</v>
      </c>
    </row>
    <row r="102" spans="3:11" x14ac:dyDescent="0.25">
      <c r="C102" t="s">
        <v>719</v>
      </c>
      <c r="D102" t="s">
        <v>174</v>
      </c>
      <c r="E102">
        <v>6.13</v>
      </c>
      <c r="F102">
        <v>15.44</v>
      </c>
      <c r="G102">
        <v>8</v>
      </c>
      <c r="I102" t="str">
        <f>"414/2420"</f>
        <v>414/2420</v>
      </c>
      <c r="J102" t="str">
        <f>"282/708"</f>
        <v>282/708</v>
      </c>
      <c r="K102" t="str">
        <f>"591/2975"</f>
        <v>591/2975</v>
      </c>
    </row>
    <row r="103" spans="3:11" x14ac:dyDescent="0.25">
      <c r="C103" t="s">
        <v>786</v>
      </c>
    </row>
    <row r="105" spans="3:11" x14ac:dyDescent="0.25">
      <c r="C105" t="s">
        <v>17</v>
      </c>
      <c r="F105" t="s">
        <v>657</v>
      </c>
      <c r="J105" t="s">
        <v>13</v>
      </c>
    </row>
    <row r="106" spans="3:11" x14ac:dyDescent="0.25">
      <c r="D106" t="s">
        <v>14</v>
      </c>
      <c r="E106" t="s">
        <v>1</v>
      </c>
      <c r="F106" t="s">
        <v>3</v>
      </c>
      <c r="G106" t="s">
        <v>2</v>
      </c>
      <c r="I106" t="s">
        <v>1</v>
      </c>
      <c r="J106" t="s">
        <v>3</v>
      </c>
      <c r="K106" t="s">
        <v>2</v>
      </c>
    </row>
    <row r="107" spans="3:11" x14ac:dyDescent="0.25">
      <c r="C107" t="s">
        <v>687</v>
      </c>
      <c r="D107" t="s">
        <v>670</v>
      </c>
      <c r="E107">
        <v>10.050000000000001</v>
      </c>
      <c r="F107">
        <v>31.35</v>
      </c>
      <c r="G107">
        <v>21.25</v>
      </c>
      <c r="I107" t="str">
        <f>"136/1345"</f>
        <v>136/1345</v>
      </c>
      <c r="J107" t="str">
        <f>"86/237"</f>
        <v>86/237</v>
      </c>
      <c r="K107" t="str">
        <f>"155/809"</f>
        <v>155/809</v>
      </c>
    </row>
    <row r="108" spans="3:11" x14ac:dyDescent="0.25">
      <c r="C108" t="s">
        <v>689</v>
      </c>
      <c r="D108" t="s">
        <v>103</v>
      </c>
      <c r="E108">
        <v>10.06</v>
      </c>
      <c r="F108">
        <v>28.77</v>
      </c>
      <c r="G108">
        <v>16.260000000000002</v>
      </c>
      <c r="I108" t="str">
        <f>"323/3796"</f>
        <v>323/3796</v>
      </c>
      <c r="J108" t="str">
        <f>"182/633"</f>
        <v>182/633</v>
      </c>
      <c r="K108" t="str">
        <f>"369/2147"</f>
        <v>369/2147</v>
      </c>
    </row>
    <row r="109" spans="3:11" x14ac:dyDescent="0.25">
      <c r="C109" t="s">
        <v>691</v>
      </c>
      <c r="D109" t="s">
        <v>410</v>
      </c>
      <c r="E109">
        <v>9.58</v>
      </c>
      <c r="F109">
        <v>24.82</v>
      </c>
      <c r="G109">
        <v>12.76</v>
      </c>
      <c r="I109" t="str">
        <f>"196/1530"</f>
        <v>196/1530</v>
      </c>
      <c r="J109" t="str">
        <f>"135/357"</f>
        <v>135/357</v>
      </c>
      <c r="K109" t="str">
        <f>"310/1259"</f>
        <v>310/1259</v>
      </c>
    </row>
    <row r="110" spans="3:11" x14ac:dyDescent="0.25">
      <c r="C110" t="s">
        <v>693</v>
      </c>
      <c r="D110" t="s">
        <v>409</v>
      </c>
      <c r="E110">
        <v>6.64</v>
      </c>
      <c r="F110">
        <v>25.65</v>
      </c>
      <c r="G110">
        <v>14.74</v>
      </c>
      <c r="I110" t="str">
        <f>"339/6300"</f>
        <v>339/6300</v>
      </c>
      <c r="J110" t="str">
        <f>"172/883"</f>
        <v>172/883</v>
      </c>
      <c r="K110" t="str">
        <f>"369/2568"</f>
        <v>369/2568</v>
      </c>
    </row>
    <row r="111" spans="3:11" x14ac:dyDescent="0.25">
      <c r="C111" t="s">
        <v>694</v>
      </c>
      <c r="D111" t="s">
        <v>647</v>
      </c>
      <c r="E111">
        <v>6.96</v>
      </c>
      <c r="F111">
        <v>24.64</v>
      </c>
      <c r="G111">
        <v>14.52</v>
      </c>
      <c r="I111" t="str">
        <f>"344/6322"</f>
        <v>344/6322</v>
      </c>
      <c r="J111" t="str">
        <f>"184/897"</f>
        <v>184/897</v>
      </c>
      <c r="K111" t="str">
        <f>"381/2595"</f>
        <v>381/2595</v>
      </c>
    </row>
    <row r="112" spans="3:11" x14ac:dyDescent="0.25">
      <c r="C112" t="s">
        <v>696</v>
      </c>
      <c r="D112" t="s">
        <v>403</v>
      </c>
      <c r="E112">
        <v>7.63</v>
      </c>
      <c r="F112">
        <v>24.24</v>
      </c>
      <c r="G112">
        <v>10.050000000000001</v>
      </c>
      <c r="I112" t="str">
        <f>"243/1653"</f>
        <v>243/1653</v>
      </c>
      <c r="J112" t="str">
        <f>"150/373"</f>
        <v>150/373</v>
      </c>
      <c r="K112" t="str">
        <f>"392/1784"</f>
        <v>392/1784</v>
      </c>
    </row>
    <row r="113" spans="3:11" x14ac:dyDescent="0.25">
      <c r="C113" t="s">
        <v>787</v>
      </c>
    </row>
    <row r="115" spans="3:11" x14ac:dyDescent="0.25">
      <c r="C115" t="s">
        <v>18</v>
      </c>
      <c r="F115" t="s">
        <v>657</v>
      </c>
      <c r="J115" t="s">
        <v>13</v>
      </c>
    </row>
    <row r="116" spans="3:11" x14ac:dyDescent="0.25">
      <c r="D116" t="s">
        <v>14</v>
      </c>
      <c r="E116" t="s">
        <v>1</v>
      </c>
      <c r="F116" t="s">
        <v>3</v>
      </c>
      <c r="G116" t="s">
        <v>2</v>
      </c>
      <c r="I116" t="s">
        <v>1</v>
      </c>
      <c r="J116" t="s">
        <v>3</v>
      </c>
      <c r="K116" t="s">
        <v>2</v>
      </c>
    </row>
    <row r="117" spans="3:11" x14ac:dyDescent="0.25">
      <c r="C117" t="s">
        <v>687</v>
      </c>
      <c r="D117" t="s">
        <v>671</v>
      </c>
      <c r="E117">
        <v>9.84</v>
      </c>
      <c r="F117">
        <v>16.38</v>
      </c>
      <c r="G117">
        <v>23.11</v>
      </c>
      <c r="I117" t="str">
        <f>"88/518"</f>
        <v>88/518</v>
      </c>
      <c r="J117" t="str">
        <f>"77/439"</f>
        <v>77/439</v>
      </c>
      <c r="K117" t="str">
        <f>"93/269"</f>
        <v>93/269</v>
      </c>
    </row>
    <row r="118" spans="3:11" x14ac:dyDescent="0.25">
      <c r="C118" t="s">
        <v>689</v>
      </c>
      <c r="D118" t="s">
        <v>672</v>
      </c>
      <c r="E118">
        <v>9.84</v>
      </c>
      <c r="F118">
        <v>16.38</v>
      </c>
      <c r="G118">
        <v>23.11</v>
      </c>
      <c r="I118" t="str">
        <f>"88/518"</f>
        <v>88/518</v>
      </c>
      <c r="J118" t="str">
        <f>"77/439"</f>
        <v>77/439</v>
      </c>
      <c r="K118" t="str">
        <f>"93/269"</f>
        <v>93/269</v>
      </c>
    </row>
    <row r="119" spans="3:11" x14ac:dyDescent="0.25">
      <c r="C119" t="s">
        <v>788</v>
      </c>
    </row>
    <row r="121" spans="3:11" x14ac:dyDescent="0.25">
      <c r="C121" t="s">
        <v>36</v>
      </c>
      <c r="F121" t="s">
        <v>657</v>
      </c>
      <c r="J121" t="s">
        <v>13</v>
      </c>
    </row>
    <row r="122" spans="3:11" x14ac:dyDescent="0.25">
      <c r="D122" t="s">
        <v>14</v>
      </c>
      <c r="E122" t="s">
        <v>1</v>
      </c>
      <c r="F122" t="s">
        <v>3</v>
      </c>
      <c r="G122" t="s">
        <v>2</v>
      </c>
      <c r="I122" t="s">
        <v>1</v>
      </c>
      <c r="J122" t="s">
        <v>3</v>
      </c>
      <c r="K122" t="s">
        <v>2</v>
      </c>
    </row>
    <row r="123" spans="3:11" x14ac:dyDescent="0.25">
      <c r="C123" t="s">
        <v>687</v>
      </c>
      <c r="D123" t="s">
        <v>412</v>
      </c>
      <c r="E123">
        <v>11.74</v>
      </c>
      <c r="F123">
        <v>23</v>
      </c>
      <c r="G123">
        <v>18.98</v>
      </c>
      <c r="I123" t="str">
        <f>"101/423"</f>
        <v>101/423</v>
      </c>
      <c r="J123" t="str">
        <f>"108/588"</f>
        <v>108/588</v>
      </c>
      <c r="K123" t="str">
        <f>"215/792"</f>
        <v>215/792</v>
      </c>
    </row>
    <row r="124" spans="3:11" x14ac:dyDescent="0.25">
      <c r="C124" t="s">
        <v>689</v>
      </c>
      <c r="D124" t="s">
        <v>490</v>
      </c>
      <c r="E124">
        <v>11.02</v>
      </c>
      <c r="F124">
        <v>22.22</v>
      </c>
      <c r="G124">
        <v>15.42</v>
      </c>
      <c r="I124" t="str">
        <f>"256/2834"</f>
        <v>256/2834</v>
      </c>
      <c r="J124" t="str">
        <f>"190/660"</f>
        <v>190/660</v>
      </c>
      <c r="K124" t="str">
        <f>"364/2223"</f>
        <v>364/2223</v>
      </c>
    </row>
    <row r="125" spans="3:11" x14ac:dyDescent="0.25">
      <c r="C125" t="s">
        <v>691</v>
      </c>
      <c r="D125" t="s">
        <v>402</v>
      </c>
      <c r="E125">
        <v>11.4</v>
      </c>
      <c r="F125">
        <v>19.64</v>
      </c>
      <c r="G125">
        <v>16.5</v>
      </c>
      <c r="I125" t="str">
        <f>"275/1291"</f>
        <v>275/1291</v>
      </c>
      <c r="J125" t="str">
        <f>"181/1025"</f>
        <v>181/1025</v>
      </c>
      <c r="K125" t="str">
        <f>"375/1274"</f>
        <v>375/1274</v>
      </c>
    </row>
    <row r="126" spans="3:11" x14ac:dyDescent="0.25">
      <c r="C126" t="s">
        <v>693</v>
      </c>
      <c r="D126" t="s">
        <v>408</v>
      </c>
      <c r="E126">
        <v>10.96</v>
      </c>
      <c r="F126">
        <v>19.09</v>
      </c>
      <c r="G126">
        <v>15.93</v>
      </c>
      <c r="I126" t="str">
        <f>"210/756"</f>
        <v>210/756</v>
      </c>
      <c r="J126" t="str">
        <f>"230/1022"</f>
        <v>230/1022</v>
      </c>
      <c r="K126" t="str">
        <f>"398/1224"</f>
        <v>398/1224</v>
      </c>
    </row>
    <row r="127" spans="3:11" x14ac:dyDescent="0.25">
      <c r="C127" t="s">
        <v>694</v>
      </c>
      <c r="D127" t="s">
        <v>54</v>
      </c>
      <c r="E127">
        <v>11.52</v>
      </c>
      <c r="F127">
        <v>23.08</v>
      </c>
      <c r="G127">
        <v>11.03</v>
      </c>
      <c r="I127" t="str">
        <f>"190/495"</f>
        <v>190/495</v>
      </c>
      <c r="J127" t="str">
        <f>"131/271"</f>
        <v>131/271</v>
      </c>
      <c r="K127" t="str">
        <f>"345/1082"</f>
        <v>345/1082</v>
      </c>
    </row>
    <row r="128" spans="3:11" x14ac:dyDescent="0.25">
      <c r="C128" t="s">
        <v>789</v>
      </c>
    </row>
    <row r="130" spans="2:11" x14ac:dyDescent="0.25">
      <c r="B130" t="s">
        <v>37</v>
      </c>
      <c r="C130" t="s">
        <v>338</v>
      </c>
    </row>
    <row r="132" spans="2:11" x14ac:dyDescent="0.25">
      <c r="C132" t="s">
        <v>11</v>
      </c>
      <c r="F132" t="s">
        <v>657</v>
      </c>
      <c r="J132" t="s">
        <v>13</v>
      </c>
    </row>
    <row r="133" spans="2:11" x14ac:dyDescent="0.25">
      <c r="D133" t="s">
        <v>14</v>
      </c>
      <c r="E133" t="s">
        <v>1</v>
      </c>
      <c r="F133" t="s">
        <v>3</v>
      </c>
      <c r="G133" t="s">
        <v>2</v>
      </c>
      <c r="I133" t="s">
        <v>1</v>
      </c>
      <c r="J133" t="s">
        <v>3</v>
      </c>
      <c r="K133" t="s">
        <v>2</v>
      </c>
    </row>
    <row r="134" spans="2:11" x14ac:dyDescent="0.25">
      <c r="C134" t="s">
        <v>320</v>
      </c>
    </row>
    <row r="136" spans="2:11" x14ac:dyDescent="0.25">
      <c r="C136" t="s">
        <v>17</v>
      </c>
      <c r="F136" t="s">
        <v>657</v>
      </c>
      <c r="J136" t="s">
        <v>13</v>
      </c>
    </row>
    <row r="137" spans="2:11" x14ac:dyDescent="0.25">
      <c r="D137" t="s">
        <v>14</v>
      </c>
      <c r="E137" t="s">
        <v>1</v>
      </c>
      <c r="F137" t="s">
        <v>3</v>
      </c>
      <c r="G137" t="s">
        <v>2</v>
      </c>
      <c r="I137" t="s">
        <v>1</v>
      </c>
      <c r="J137" t="s">
        <v>3</v>
      </c>
      <c r="K137" t="s">
        <v>2</v>
      </c>
    </row>
    <row r="138" spans="2:11" x14ac:dyDescent="0.25">
      <c r="C138" t="s">
        <v>176</v>
      </c>
      <c r="D138" t="s">
        <v>413</v>
      </c>
      <c r="E138">
        <v>3.86</v>
      </c>
      <c r="F138">
        <v>7.48</v>
      </c>
      <c r="G138">
        <v>4.66</v>
      </c>
      <c r="I138" t="str">
        <f>"206/1361"</f>
        <v>206/1361</v>
      </c>
      <c r="J138" t="str">
        <f>"115/514"</f>
        <v>115/514</v>
      </c>
      <c r="K138" t="str">
        <f>"274/2107"</f>
        <v>274/2107</v>
      </c>
    </row>
    <row r="139" spans="2:11" x14ac:dyDescent="0.25">
      <c r="C139" t="s">
        <v>790</v>
      </c>
    </row>
    <row r="141" spans="2:11" x14ac:dyDescent="0.25">
      <c r="C141" t="s">
        <v>18</v>
      </c>
      <c r="F141" t="s">
        <v>657</v>
      </c>
      <c r="J141" t="s">
        <v>13</v>
      </c>
    </row>
    <row r="142" spans="2:11" x14ac:dyDescent="0.25">
      <c r="D142" t="s">
        <v>14</v>
      </c>
      <c r="E142" t="s">
        <v>1</v>
      </c>
      <c r="F142" t="s">
        <v>3</v>
      </c>
      <c r="G142" t="s">
        <v>2</v>
      </c>
      <c r="I142" t="s">
        <v>1</v>
      </c>
      <c r="J142" t="s">
        <v>3</v>
      </c>
      <c r="K142" t="s">
        <v>2</v>
      </c>
    </row>
    <row r="143" spans="2:11" x14ac:dyDescent="0.25">
      <c r="C143" t="s">
        <v>320</v>
      </c>
    </row>
    <row r="145" spans="2:11" x14ac:dyDescent="0.25">
      <c r="C145" t="s">
        <v>36</v>
      </c>
      <c r="F145" t="s">
        <v>657</v>
      </c>
      <c r="J145" t="s">
        <v>13</v>
      </c>
    </row>
    <row r="146" spans="2:11" x14ac:dyDescent="0.25">
      <c r="D146" t="s">
        <v>14</v>
      </c>
      <c r="E146" t="s">
        <v>1</v>
      </c>
      <c r="F146" t="s">
        <v>3</v>
      </c>
      <c r="G146" t="s">
        <v>2</v>
      </c>
      <c r="I146" t="s">
        <v>1</v>
      </c>
      <c r="J146" t="s">
        <v>3</v>
      </c>
      <c r="K146" t="s">
        <v>2</v>
      </c>
    </row>
    <row r="147" spans="2:11" x14ac:dyDescent="0.25">
      <c r="C147" t="s">
        <v>320</v>
      </c>
    </row>
    <row r="149" spans="2:11" x14ac:dyDescent="0.25">
      <c r="B149" t="s">
        <v>38</v>
      </c>
      <c r="C149" t="s">
        <v>339</v>
      </c>
    </row>
    <row r="151" spans="2:11" x14ac:dyDescent="0.25">
      <c r="C151" t="s">
        <v>11</v>
      </c>
      <c r="F151" t="s">
        <v>657</v>
      </c>
      <c r="J151" t="s">
        <v>13</v>
      </c>
    </row>
    <row r="152" spans="2:11" x14ac:dyDescent="0.25">
      <c r="D152" t="s">
        <v>14</v>
      </c>
      <c r="E152" t="s">
        <v>1</v>
      </c>
      <c r="F152" t="s">
        <v>3</v>
      </c>
      <c r="G152" t="s">
        <v>2</v>
      </c>
      <c r="I152" t="s">
        <v>1</v>
      </c>
      <c r="J152" t="s">
        <v>3</v>
      </c>
      <c r="K152" t="s">
        <v>2</v>
      </c>
    </row>
    <row r="153" spans="2:11" x14ac:dyDescent="0.25">
      <c r="C153" t="s">
        <v>320</v>
      </c>
    </row>
    <row r="155" spans="2:11" x14ac:dyDescent="0.25">
      <c r="C155" t="s">
        <v>17</v>
      </c>
      <c r="F155" t="s">
        <v>657</v>
      </c>
      <c r="J155" t="s">
        <v>13</v>
      </c>
    </row>
    <row r="156" spans="2:11" x14ac:dyDescent="0.25">
      <c r="D156" t="s">
        <v>14</v>
      </c>
      <c r="E156" t="s">
        <v>1</v>
      </c>
      <c r="F156" t="s">
        <v>3</v>
      </c>
      <c r="G156" t="s">
        <v>2</v>
      </c>
      <c r="I156" t="s">
        <v>1</v>
      </c>
      <c r="J156" t="s">
        <v>3</v>
      </c>
      <c r="K156" t="s">
        <v>2</v>
      </c>
    </row>
    <row r="157" spans="2:11" x14ac:dyDescent="0.25">
      <c r="C157" t="s">
        <v>320</v>
      </c>
    </row>
    <row r="159" spans="2:11" x14ac:dyDescent="0.25">
      <c r="C159" t="s">
        <v>18</v>
      </c>
      <c r="F159" t="s">
        <v>657</v>
      </c>
      <c r="J159" t="s">
        <v>13</v>
      </c>
    </row>
    <row r="160" spans="2:11" x14ac:dyDescent="0.25">
      <c r="D160" t="s">
        <v>14</v>
      </c>
      <c r="E160" t="s">
        <v>1</v>
      </c>
      <c r="F160" t="s">
        <v>3</v>
      </c>
      <c r="G160" t="s">
        <v>2</v>
      </c>
      <c r="I160" t="s">
        <v>1</v>
      </c>
      <c r="J160" t="s">
        <v>3</v>
      </c>
      <c r="K160" t="s">
        <v>2</v>
      </c>
    </row>
    <row r="161" spans="3:11" x14ac:dyDescent="0.25">
      <c r="C161" t="s">
        <v>320</v>
      </c>
    </row>
    <row r="163" spans="3:11" x14ac:dyDescent="0.25">
      <c r="C163" t="s">
        <v>36</v>
      </c>
      <c r="F163" t="s">
        <v>657</v>
      </c>
      <c r="J163" t="s">
        <v>13</v>
      </c>
    </row>
    <row r="164" spans="3:11" x14ac:dyDescent="0.25">
      <c r="D164" t="s">
        <v>14</v>
      </c>
      <c r="E164" t="s">
        <v>1</v>
      </c>
      <c r="F164" t="s">
        <v>3</v>
      </c>
      <c r="G164" t="s">
        <v>2</v>
      </c>
      <c r="I164" t="s">
        <v>1</v>
      </c>
      <c r="J164" t="s">
        <v>3</v>
      </c>
      <c r="K164" t="s">
        <v>2</v>
      </c>
    </row>
    <row r="165" spans="3:11" x14ac:dyDescent="0.25">
      <c r="C165" t="s">
        <v>320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4"/>
  <sheetViews>
    <sheetView workbookViewId="0">
      <selection activeCell="J10" sqref="J10"/>
    </sheetView>
  </sheetViews>
  <sheetFormatPr defaultRowHeight="15" x14ac:dyDescent="0.25"/>
  <cols>
    <col min="1" max="1" width="3.85546875" bestFit="1" customWidth="1"/>
    <col min="2" max="2" width="20.5703125" bestFit="1" customWidth="1"/>
    <col min="3" max="3" width="20.5703125" customWidth="1"/>
    <col min="4" max="4" width="64.42578125" bestFit="1" customWidth="1"/>
    <col min="5" max="5" width="7" bestFit="1" customWidth="1"/>
    <col min="6" max="6" width="15.7109375" bestFit="1" customWidth="1"/>
    <col min="7" max="7" width="7" bestFit="1" customWidth="1"/>
    <col min="9" max="9" width="7.85546875" bestFit="1" customWidth="1"/>
    <col min="10" max="10" width="14.7109375" bestFit="1" customWidth="1"/>
    <col min="11" max="11" width="7.85546875" bestFit="1" customWidth="1"/>
  </cols>
  <sheetData>
    <row r="1" spans="1:11" x14ac:dyDescent="0.25">
      <c r="A1" t="s">
        <v>4</v>
      </c>
      <c r="B1" t="s">
        <v>673</v>
      </c>
    </row>
    <row r="3" spans="1:11" x14ac:dyDescent="0.25">
      <c r="B3" t="s">
        <v>10</v>
      </c>
      <c r="C3" t="s">
        <v>686</v>
      </c>
    </row>
    <row r="5" spans="1:11" x14ac:dyDescent="0.25">
      <c r="C5" t="s">
        <v>11</v>
      </c>
      <c r="F5" t="s">
        <v>674</v>
      </c>
      <c r="J5" t="s">
        <v>13</v>
      </c>
    </row>
    <row r="6" spans="1:11" x14ac:dyDescent="0.25">
      <c r="D6" t="s">
        <v>14</v>
      </c>
      <c r="E6" t="s">
        <v>1</v>
      </c>
      <c r="F6" t="s">
        <v>3</v>
      </c>
      <c r="G6" t="s">
        <v>2</v>
      </c>
      <c r="I6" t="s">
        <v>1</v>
      </c>
      <c r="J6" t="s">
        <v>3</v>
      </c>
      <c r="K6" t="s">
        <v>2</v>
      </c>
    </row>
    <row r="7" spans="1:11" x14ac:dyDescent="0.25">
      <c r="C7" t="s">
        <v>687</v>
      </c>
      <c r="D7" t="s">
        <v>599</v>
      </c>
      <c r="E7">
        <v>106.26</v>
      </c>
      <c r="F7">
        <v>245.06</v>
      </c>
      <c r="G7">
        <v>175.32</v>
      </c>
      <c r="I7" t="str">
        <f>"39/70"</f>
        <v>39/70</v>
      </c>
      <c r="J7" t="str">
        <f>"19/25"</f>
        <v>19/25</v>
      </c>
      <c r="K7" t="str">
        <f>"52/131"</f>
        <v>52/131</v>
      </c>
    </row>
    <row r="8" spans="1:11" x14ac:dyDescent="0.25">
      <c r="C8" t="s">
        <v>689</v>
      </c>
      <c r="D8" t="s">
        <v>337</v>
      </c>
      <c r="E8">
        <v>120</v>
      </c>
      <c r="F8">
        <v>210.5</v>
      </c>
      <c r="G8">
        <v>184.42</v>
      </c>
      <c r="I8" t="str">
        <f>"16/26"</f>
        <v>16/26</v>
      </c>
      <c r="J8" t="str">
        <f>"10/20"</f>
        <v>10/20</v>
      </c>
      <c r="K8" t="str">
        <f>"12/37"</f>
        <v>12/37</v>
      </c>
    </row>
    <row r="9" spans="1:11" x14ac:dyDescent="0.25">
      <c r="C9" t="s">
        <v>691</v>
      </c>
      <c r="D9" t="s">
        <v>560</v>
      </c>
      <c r="E9">
        <v>160.71</v>
      </c>
      <c r="F9">
        <v>133.55000000000001</v>
      </c>
      <c r="G9">
        <v>162.79</v>
      </c>
      <c r="I9" t="str">
        <f>"17/19"</f>
        <v>17/19</v>
      </c>
      <c r="J9" t="str">
        <f>"14/12"</f>
        <v>14/12</v>
      </c>
      <c r="K9" t="str">
        <f>"34/34"</f>
        <v>34/34</v>
      </c>
    </row>
    <row r="10" spans="1:11" x14ac:dyDescent="0.25">
      <c r="C10" t="s">
        <v>693</v>
      </c>
      <c r="D10" t="s">
        <v>556</v>
      </c>
      <c r="E10">
        <v>150</v>
      </c>
      <c r="F10">
        <v>133.55000000000001</v>
      </c>
      <c r="G10">
        <v>147.53</v>
      </c>
      <c r="I10" t="str">
        <f>"18/21"</f>
        <v>18/21</v>
      </c>
      <c r="J10" t="str">
        <f>"14/12"</f>
        <v>14/12</v>
      </c>
      <c r="K10" t="str">
        <f>"37/38"</f>
        <v>37/38</v>
      </c>
    </row>
    <row r="11" spans="1:11" x14ac:dyDescent="0.25">
      <c r="C11" t="s">
        <v>694</v>
      </c>
      <c r="D11" t="s">
        <v>595</v>
      </c>
      <c r="E11">
        <v>109.58</v>
      </c>
      <c r="F11">
        <v>147.65</v>
      </c>
      <c r="G11">
        <v>160.47</v>
      </c>
      <c r="I11" t="str">
        <f>"21/40"</f>
        <v>21/40</v>
      </c>
      <c r="J11" t="str">
        <f>"21/45"</f>
        <v>21/45</v>
      </c>
      <c r="K11" t="str">
        <f>"32/92"</f>
        <v>32/92</v>
      </c>
    </row>
    <row r="12" spans="1:11" x14ac:dyDescent="0.25">
      <c r="C12" t="s">
        <v>696</v>
      </c>
      <c r="D12" t="s">
        <v>597</v>
      </c>
      <c r="E12">
        <v>107.24</v>
      </c>
      <c r="F12">
        <v>140.33000000000001</v>
      </c>
      <c r="G12">
        <v>147.94</v>
      </c>
      <c r="I12" t="str">
        <f>"19/34"</f>
        <v>19/34</v>
      </c>
      <c r="J12" t="str">
        <f>"17/27"</f>
        <v>17/27</v>
      </c>
      <c r="K12" t="str">
        <f>"18/55"</f>
        <v>18/55</v>
      </c>
    </row>
    <row r="13" spans="1:11" x14ac:dyDescent="0.25">
      <c r="C13" t="s">
        <v>697</v>
      </c>
      <c r="D13" t="s">
        <v>598</v>
      </c>
      <c r="E13">
        <v>107.24</v>
      </c>
      <c r="F13">
        <v>140.33000000000001</v>
      </c>
      <c r="G13">
        <v>147.94</v>
      </c>
      <c r="I13" t="str">
        <f>"19/34"</f>
        <v>19/34</v>
      </c>
      <c r="J13" t="str">
        <f>"17/27"</f>
        <v>17/27</v>
      </c>
      <c r="K13" t="str">
        <f>"18/55"</f>
        <v>18/55</v>
      </c>
    </row>
    <row r="14" spans="1:11" x14ac:dyDescent="0.25">
      <c r="C14" t="s">
        <v>698</v>
      </c>
      <c r="D14" t="s">
        <v>636</v>
      </c>
      <c r="E14">
        <v>78.08</v>
      </c>
      <c r="F14">
        <v>146.52000000000001</v>
      </c>
      <c r="G14">
        <v>145.96</v>
      </c>
      <c r="I14" t="str">
        <f>"27/30"</f>
        <v>27/30</v>
      </c>
      <c r="J14" t="str">
        <f>"21/64"</f>
        <v>21/64</v>
      </c>
      <c r="K14" t="str">
        <f>"30/69"</f>
        <v>30/69</v>
      </c>
    </row>
    <row r="15" spans="1:11" x14ac:dyDescent="0.25">
      <c r="C15" t="s">
        <v>699</v>
      </c>
      <c r="D15" t="s">
        <v>637</v>
      </c>
      <c r="E15">
        <v>78.12</v>
      </c>
      <c r="F15">
        <v>142.87</v>
      </c>
      <c r="G15">
        <v>147.83000000000001</v>
      </c>
      <c r="I15" t="str">
        <f>"27/30"</f>
        <v>27/30</v>
      </c>
      <c r="J15" t="str">
        <f>"24/66"</f>
        <v>24/66</v>
      </c>
      <c r="K15" t="str">
        <f>"32/70"</f>
        <v>32/70</v>
      </c>
    </row>
    <row r="16" spans="1:11" x14ac:dyDescent="0.25">
      <c r="C16" t="s">
        <v>514</v>
      </c>
    </row>
    <row r="18" spans="3:11" x14ac:dyDescent="0.25">
      <c r="C18" t="s">
        <v>17</v>
      </c>
      <c r="F18" t="s">
        <v>674</v>
      </c>
      <c r="J18" t="s">
        <v>13</v>
      </c>
    </row>
    <row r="19" spans="3:11" x14ac:dyDescent="0.25">
      <c r="D19" t="s">
        <v>14</v>
      </c>
      <c r="E19" t="s">
        <v>1</v>
      </c>
      <c r="F19" t="s">
        <v>3</v>
      </c>
      <c r="G19" t="s">
        <v>2</v>
      </c>
      <c r="I19" t="s">
        <v>1</v>
      </c>
      <c r="J19" t="s">
        <v>3</v>
      </c>
      <c r="K19" t="s">
        <v>2</v>
      </c>
    </row>
    <row r="20" spans="3:11" x14ac:dyDescent="0.25">
      <c r="C20" t="s">
        <v>642</v>
      </c>
    </row>
    <row r="22" spans="3:11" x14ac:dyDescent="0.25">
      <c r="C22" t="s">
        <v>18</v>
      </c>
      <c r="F22" t="s">
        <v>674</v>
      </c>
      <c r="J22" t="s">
        <v>13</v>
      </c>
    </row>
    <row r="23" spans="3:11" x14ac:dyDescent="0.25">
      <c r="D23" t="s">
        <v>14</v>
      </c>
      <c r="E23" t="s">
        <v>1</v>
      </c>
      <c r="F23" t="s">
        <v>3</v>
      </c>
      <c r="G23" t="s">
        <v>2</v>
      </c>
      <c r="I23" t="s">
        <v>1</v>
      </c>
      <c r="J23" t="s">
        <v>3</v>
      </c>
      <c r="K23" t="s">
        <v>2</v>
      </c>
    </row>
    <row r="24" spans="3:11" x14ac:dyDescent="0.25">
      <c r="C24" t="s">
        <v>687</v>
      </c>
      <c r="D24" t="s">
        <v>322</v>
      </c>
      <c r="E24">
        <v>90.81</v>
      </c>
      <c r="F24">
        <v>222.55</v>
      </c>
      <c r="G24">
        <v>121.17</v>
      </c>
      <c r="I24" t="str">
        <f>"17/75"</f>
        <v>17/75</v>
      </c>
      <c r="J24" t="str">
        <f>"13/13"</f>
        <v>13/13</v>
      </c>
      <c r="K24" t="str">
        <f>"20/61"</f>
        <v>20/61</v>
      </c>
    </row>
    <row r="25" spans="3:11" x14ac:dyDescent="0.25">
      <c r="C25" t="s">
        <v>689</v>
      </c>
      <c r="D25" t="s">
        <v>593</v>
      </c>
      <c r="E25">
        <v>144.69</v>
      </c>
      <c r="F25">
        <v>115.88</v>
      </c>
      <c r="G25">
        <v>135.81</v>
      </c>
      <c r="I25" t="str">
        <f>"18/21"</f>
        <v>18/21</v>
      </c>
      <c r="J25" t="str">
        <f>"16/23"</f>
        <v>16/23</v>
      </c>
      <c r="K25" t="str">
        <f>"38/50"</f>
        <v>38/50</v>
      </c>
    </row>
    <row r="26" spans="3:11" x14ac:dyDescent="0.25">
      <c r="C26" t="s">
        <v>691</v>
      </c>
      <c r="D26" t="s">
        <v>638</v>
      </c>
      <c r="E26">
        <v>113</v>
      </c>
      <c r="F26">
        <v>160.30000000000001</v>
      </c>
      <c r="G26">
        <v>107.36</v>
      </c>
      <c r="I26" t="str">
        <f>"25/40"</f>
        <v>25/40</v>
      </c>
      <c r="J26" t="str">
        <f>"13/23"</f>
        <v>13/23</v>
      </c>
      <c r="K26" t="str">
        <f>"44/121"</f>
        <v>44/121</v>
      </c>
    </row>
    <row r="27" spans="3:11" x14ac:dyDescent="0.25">
      <c r="C27" t="s">
        <v>693</v>
      </c>
      <c r="D27" t="s">
        <v>639</v>
      </c>
      <c r="E27">
        <v>113</v>
      </c>
      <c r="F27">
        <v>160.30000000000001</v>
      </c>
      <c r="G27">
        <v>107.36</v>
      </c>
      <c r="I27" t="str">
        <f>"25/40"</f>
        <v>25/40</v>
      </c>
      <c r="J27" t="str">
        <f>"13/23"</f>
        <v>13/23</v>
      </c>
      <c r="K27" t="str">
        <f>"44/121"</f>
        <v>44/121</v>
      </c>
    </row>
    <row r="28" spans="3:11" x14ac:dyDescent="0.25">
      <c r="C28" t="s">
        <v>694</v>
      </c>
      <c r="D28" t="s">
        <v>602</v>
      </c>
      <c r="E28">
        <v>88.26</v>
      </c>
      <c r="F28">
        <v>155.80000000000001</v>
      </c>
      <c r="G28">
        <v>129.94</v>
      </c>
      <c r="I28" t="str">
        <f>"29/30"</f>
        <v>29/30</v>
      </c>
      <c r="J28" t="str">
        <f>"11/17"</f>
        <v>11/17</v>
      </c>
      <c r="K28" t="str">
        <f>"34/43"</f>
        <v>34/43</v>
      </c>
    </row>
    <row r="29" spans="3:11" x14ac:dyDescent="0.25">
      <c r="C29" t="s">
        <v>696</v>
      </c>
      <c r="D29" t="s">
        <v>603</v>
      </c>
      <c r="E29">
        <v>88.26</v>
      </c>
      <c r="F29">
        <v>155.80000000000001</v>
      </c>
      <c r="G29">
        <v>129.94</v>
      </c>
      <c r="I29" t="str">
        <f>"29/30"</f>
        <v>29/30</v>
      </c>
      <c r="J29" t="str">
        <f>"11/17"</f>
        <v>11/17</v>
      </c>
      <c r="K29" t="str">
        <f>"34/43"</f>
        <v>34/43</v>
      </c>
    </row>
    <row r="30" spans="3:11" x14ac:dyDescent="0.25">
      <c r="C30" t="s">
        <v>697</v>
      </c>
      <c r="D30" t="s">
        <v>594</v>
      </c>
      <c r="E30">
        <v>111.86</v>
      </c>
      <c r="F30">
        <v>111.95</v>
      </c>
      <c r="G30">
        <v>138.02000000000001</v>
      </c>
      <c r="I30" t="str">
        <f>"18/16"</f>
        <v>18/16</v>
      </c>
      <c r="J30" t="str">
        <f>"24/40"</f>
        <v>24/40</v>
      </c>
      <c r="K30" t="str">
        <f>"48/106"</f>
        <v>48/106</v>
      </c>
    </row>
    <row r="31" spans="3:11" x14ac:dyDescent="0.25">
      <c r="C31" t="s">
        <v>698</v>
      </c>
      <c r="D31" t="s">
        <v>92</v>
      </c>
      <c r="E31">
        <v>82.12</v>
      </c>
      <c r="F31">
        <v>139.29</v>
      </c>
      <c r="G31">
        <v>91.03</v>
      </c>
      <c r="I31" t="str">
        <f>"55/109"</f>
        <v>55/109</v>
      </c>
      <c r="J31" t="str">
        <f>"40/65"</f>
        <v>40/65</v>
      </c>
      <c r="K31" t="str">
        <f>"81/224"</f>
        <v>81/224</v>
      </c>
    </row>
    <row r="32" spans="3:11" x14ac:dyDescent="0.25">
      <c r="C32" t="s">
        <v>699</v>
      </c>
      <c r="D32" t="s">
        <v>596</v>
      </c>
      <c r="E32">
        <v>98.36</v>
      </c>
      <c r="F32">
        <v>106.61</v>
      </c>
      <c r="G32">
        <v>100.93</v>
      </c>
      <c r="I32" t="str">
        <f>"13/17"</f>
        <v>13/17</v>
      </c>
      <c r="J32" t="str">
        <f>"21/20"</f>
        <v>21/20</v>
      </c>
      <c r="K32" t="str">
        <f>"31/53"</f>
        <v>31/53</v>
      </c>
    </row>
    <row r="33" spans="3:11" x14ac:dyDescent="0.25">
      <c r="C33" t="s">
        <v>700</v>
      </c>
      <c r="D33" t="s">
        <v>59</v>
      </c>
      <c r="E33">
        <v>92.52</v>
      </c>
      <c r="F33">
        <v>122.29</v>
      </c>
      <c r="G33">
        <v>79.040000000000006</v>
      </c>
      <c r="I33" t="str">
        <f>"27/31"</f>
        <v>27/31</v>
      </c>
      <c r="J33" t="str">
        <f>"19/18"</f>
        <v>19/18</v>
      </c>
      <c r="K33" t="str">
        <f>"59/60"</f>
        <v>59/60</v>
      </c>
    </row>
    <row r="34" spans="3:11" x14ac:dyDescent="0.25">
      <c r="C34" t="s">
        <v>701</v>
      </c>
      <c r="D34" t="s">
        <v>57</v>
      </c>
      <c r="E34">
        <v>92.52</v>
      </c>
      <c r="F34">
        <v>122.29</v>
      </c>
      <c r="G34">
        <v>79.040000000000006</v>
      </c>
      <c r="I34" t="str">
        <f>"27/31"</f>
        <v>27/31</v>
      </c>
      <c r="J34" t="str">
        <f>"19/18"</f>
        <v>19/18</v>
      </c>
      <c r="K34" t="str">
        <f>"59/60"</f>
        <v>59/60</v>
      </c>
    </row>
    <row r="35" spans="3:11" x14ac:dyDescent="0.25">
      <c r="C35" t="s">
        <v>702</v>
      </c>
      <c r="D35" t="s">
        <v>63</v>
      </c>
      <c r="E35">
        <v>92.52</v>
      </c>
      <c r="F35">
        <v>122.29</v>
      </c>
      <c r="G35">
        <v>79.040000000000006</v>
      </c>
      <c r="I35" t="str">
        <f>"27/31"</f>
        <v>27/31</v>
      </c>
      <c r="J35" t="str">
        <f>"19/18"</f>
        <v>19/18</v>
      </c>
      <c r="K35" t="str">
        <f>"59/60"</f>
        <v>59/60</v>
      </c>
    </row>
    <row r="36" spans="3:11" x14ac:dyDescent="0.25">
      <c r="C36" t="s">
        <v>710</v>
      </c>
      <c r="D36" t="s">
        <v>328</v>
      </c>
      <c r="E36">
        <v>100</v>
      </c>
      <c r="F36">
        <v>114.62</v>
      </c>
      <c r="G36">
        <v>64.209999999999994</v>
      </c>
      <c r="I36" t="str">
        <f>"12/11"</f>
        <v>12/11</v>
      </c>
      <c r="J36" t="str">
        <f>"10/10"</f>
        <v>10/10</v>
      </c>
      <c r="K36" t="str">
        <f>"24/34"</f>
        <v>24/34</v>
      </c>
    </row>
    <row r="37" spans="3:11" x14ac:dyDescent="0.25">
      <c r="C37" t="s">
        <v>711</v>
      </c>
      <c r="D37" t="s">
        <v>326</v>
      </c>
      <c r="E37">
        <v>94.91</v>
      </c>
      <c r="F37">
        <v>114.62</v>
      </c>
      <c r="G37">
        <v>67</v>
      </c>
      <c r="I37" t="str">
        <f>"12/11"</f>
        <v>12/11</v>
      </c>
      <c r="J37" t="str">
        <f>"10/10"</f>
        <v>10/10</v>
      </c>
      <c r="K37" t="str">
        <f>"23/33"</f>
        <v>23/33</v>
      </c>
    </row>
    <row r="38" spans="3:11" x14ac:dyDescent="0.25">
      <c r="C38" t="s">
        <v>716</v>
      </c>
      <c r="D38" t="s">
        <v>327</v>
      </c>
      <c r="E38">
        <v>94.91</v>
      </c>
      <c r="F38">
        <v>114.62</v>
      </c>
      <c r="G38">
        <v>67</v>
      </c>
      <c r="I38" t="str">
        <f>"12/11"</f>
        <v>12/11</v>
      </c>
      <c r="J38" t="str">
        <f>"10/10"</f>
        <v>10/10</v>
      </c>
      <c r="K38" t="str">
        <f>"23/33"</f>
        <v>23/33</v>
      </c>
    </row>
    <row r="39" spans="3:11" x14ac:dyDescent="0.25">
      <c r="C39" t="s">
        <v>717</v>
      </c>
      <c r="D39" t="s">
        <v>640</v>
      </c>
      <c r="E39">
        <v>74.930000000000007</v>
      </c>
      <c r="F39">
        <v>138</v>
      </c>
      <c r="G39">
        <v>55.64</v>
      </c>
      <c r="I39" t="str">
        <f>"32/42"</f>
        <v>32/42</v>
      </c>
      <c r="J39" t="str">
        <f>"19/16"</f>
        <v>19/16</v>
      </c>
      <c r="K39" t="str">
        <f>"46/55"</f>
        <v>46/55</v>
      </c>
    </row>
    <row r="40" spans="3:11" x14ac:dyDescent="0.25">
      <c r="C40" t="s">
        <v>641</v>
      </c>
    </row>
    <row r="42" spans="3:11" x14ac:dyDescent="0.25">
      <c r="C42" t="s">
        <v>36</v>
      </c>
      <c r="F42" t="s">
        <v>674</v>
      </c>
      <c r="J42" t="s">
        <v>13</v>
      </c>
    </row>
    <row r="43" spans="3:11" x14ac:dyDescent="0.25">
      <c r="D43" t="s">
        <v>14</v>
      </c>
      <c r="E43" t="s">
        <v>1</v>
      </c>
      <c r="F43" t="s">
        <v>3</v>
      </c>
      <c r="G43" t="s">
        <v>2</v>
      </c>
      <c r="I43" t="s">
        <v>1</v>
      </c>
      <c r="J43" t="s">
        <v>3</v>
      </c>
      <c r="K43" t="s">
        <v>2</v>
      </c>
    </row>
    <row r="44" spans="3:11" x14ac:dyDescent="0.25">
      <c r="C44" t="s">
        <v>687</v>
      </c>
      <c r="D44" t="s">
        <v>740</v>
      </c>
      <c r="E44">
        <v>59.58</v>
      </c>
      <c r="F44">
        <v>144.19999999999999</v>
      </c>
      <c r="G44">
        <v>169.17</v>
      </c>
      <c r="I44" t="str">
        <f>"38/94"</f>
        <v>38/94</v>
      </c>
      <c r="J44" t="str">
        <f>"13/11"</f>
        <v>13/11</v>
      </c>
      <c r="K44" t="str">
        <f>"23/25"</f>
        <v>23/25</v>
      </c>
    </row>
    <row r="45" spans="3:11" x14ac:dyDescent="0.25">
      <c r="C45" t="s">
        <v>689</v>
      </c>
      <c r="D45" t="s">
        <v>741</v>
      </c>
      <c r="E45">
        <v>59.58</v>
      </c>
      <c r="F45">
        <v>144.19999999999999</v>
      </c>
      <c r="G45">
        <v>169.17</v>
      </c>
      <c r="I45" t="str">
        <f>"38/94"</f>
        <v>38/94</v>
      </c>
      <c r="J45" t="str">
        <f>"13/11"</f>
        <v>13/11</v>
      </c>
      <c r="K45" t="str">
        <f>"23/25"</f>
        <v>23/25</v>
      </c>
    </row>
    <row r="46" spans="3:11" x14ac:dyDescent="0.25">
      <c r="C46" t="s">
        <v>691</v>
      </c>
      <c r="D46" t="s">
        <v>739</v>
      </c>
      <c r="E46">
        <v>59.58</v>
      </c>
      <c r="F46">
        <v>144.19999999999999</v>
      </c>
      <c r="G46">
        <v>160.26</v>
      </c>
      <c r="I46" t="str">
        <f>"38/94"</f>
        <v>38/94</v>
      </c>
      <c r="J46" t="str">
        <f>"13/11"</f>
        <v>13/11</v>
      </c>
      <c r="K46" t="str">
        <f>"24/26"</f>
        <v>24/26</v>
      </c>
    </row>
    <row r="47" spans="3:11" x14ac:dyDescent="0.25">
      <c r="C47" t="s">
        <v>791</v>
      </c>
    </row>
    <row r="49" spans="2:11" x14ac:dyDescent="0.25">
      <c r="B49" t="s">
        <v>37</v>
      </c>
      <c r="C49" t="s">
        <v>338</v>
      </c>
    </row>
    <row r="51" spans="2:11" x14ac:dyDescent="0.25">
      <c r="C51" t="s">
        <v>11</v>
      </c>
      <c r="F51" t="s">
        <v>674</v>
      </c>
      <c r="J51" t="s">
        <v>13</v>
      </c>
    </row>
    <row r="52" spans="2:11" x14ac:dyDescent="0.25">
      <c r="D52" t="s">
        <v>14</v>
      </c>
      <c r="E52" t="s">
        <v>1</v>
      </c>
      <c r="F52" t="s">
        <v>3</v>
      </c>
      <c r="G52" t="s">
        <v>2</v>
      </c>
      <c r="I52" t="s">
        <v>1</v>
      </c>
      <c r="J52" t="s">
        <v>3</v>
      </c>
      <c r="K52" t="s">
        <v>2</v>
      </c>
    </row>
    <row r="53" spans="2:11" x14ac:dyDescent="0.25">
      <c r="C53" t="s">
        <v>320</v>
      </c>
    </row>
    <row r="55" spans="2:11" x14ac:dyDescent="0.25">
      <c r="C55" t="s">
        <v>17</v>
      </c>
      <c r="F55" t="s">
        <v>674</v>
      </c>
      <c r="J55" t="s">
        <v>13</v>
      </c>
    </row>
    <row r="56" spans="2:11" x14ac:dyDescent="0.25">
      <c r="D56" t="s">
        <v>14</v>
      </c>
      <c r="E56" t="s">
        <v>1</v>
      </c>
      <c r="F56" t="s">
        <v>3</v>
      </c>
      <c r="G56" t="s">
        <v>2</v>
      </c>
      <c r="I56" t="s">
        <v>1</v>
      </c>
      <c r="J56" t="s">
        <v>3</v>
      </c>
      <c r="K56" t="s">
        <v>2</v>
      </c>
    </row>
    <row r="57" spans="2:11" x14ac:dyDescent="0.25">
      <c r="C57" t="s">
        <v>320</v>
      </c>
    </row>
    <row r="59" spans="2:11" x14ac:dyDescent="0.25">
      <c r="C59" t="s">
        <v>18</v>
      </c>
      <c r="F59" t="s">
        <v>674</v>
      </c>
      <c r="J59" t="s">
        <v>13</v>
      </c>
    </row>
    <row r="60" spans="2:11" x14ac:dyDescent="0.25">
      <c r="D60" t="s">
        <v>14</v>
      </c>
      <c r="E60" t="s">
        <v>1</v>
      </c>
      <c r="F60" t="s">
        <v>3</v>
      </c>
      <c r="G60" t="s">
        <v>2</v>
      </c>
      <c r="I60" t="s">
        <v>1</v>
      </c>
      <c r="J60" t="s">
        <v>3</v>
      </c>
      <c r="K60" t="s">
        <v>2</v>
      </c>
    </row>
    <row r="61" spans="2:11" x14ac:dyDescent="0.25">
      <c r="C61" t="s">
        <v>320</v>
      </c>
    </row>
    <row r="63" spans="2:11" x14ac:dyDescent="0.25">
      <c r="C63" t="s">
        <v>36</v>
      </c>
      <c r="F63" t="s">
        <v>674</v>
      </c>
      <c r="J63" t="s">
        <v>13</v>
      </c>
    </row>
    <row r="64" spans="2:11" x14ac:dyDescent="0.25">
      <c r="D64" t="s">
        <v>14</v>
      </c>
      <c r="E64" t="s">
        <v>1</v>
      </c>
      <c r="F64" t="s">
        <v>3</v>
      </c>
      <c r="G64" t="s">
        <v>2</v>
      </c>
      <c r="I64" t="s">
        <v>1</v>
      </c>
      <c r="J64" t="s">
        <v>3</v>
      </c>
      <c r="K64" t="s">
        <v>2</v>
      </c>
    </row>
    <row r="65" spans="2:11" x14ac:dyDescent="0.25">
      <c r="C65" t="s">
        <v>320</v>
      </c>
    </row>
    <row r="67" spans="2:11" x14ac:dyDescent="0.25">
      <c r="B67" t="s">
        <v>38</v>
      </c>
      <c r="C67" t="s">
        <v>339</v>
      </c>
    </row>
    <row r="69" spans="2:11" x14ac:dyDescent="0.25">
      <c r="C69" t="s">
        <v>11</v>
      </c>
      <c r="F69" t="s">
        <v>674</v>
      </c>
      <c r="J69" t="s">
        <v>13</v>
      </c>
    </row>
    <row r="70" spans="2:11" x14ac:dyDescent="0.25">
      <c r="D70" t="s">
        <v>14</v>
      </c>
      <c r="E70" t="s">
        <v>1</v>
      </c>
      <c r="F70" t="s">
        <v>3</v>
      </c>
      <c r="G70" t="s">
        <v>2</v>
      </c>
      <c r="I70" t="s">
        <v>1</v>
      </c>
      <c r="J70" t="s">
        <v>3</v>
      </c>
      <c r="K70" t="s">
        <v>2</v>
      </c>
    </row>
    <row r="71" spans="2:11" x14ac:dyDescent="0.25">
      <c r="C71" t="s">
        <v>320</v>
      </c>
    </row>
    <row r="73" spans="2:11" x14ac:dyDescent="0.25">
      <c r="C73" t="s">
        <v>17</v>
      </c>
      <c r="F73" t="s">
        <v>674</v>
      </c>
      <c r="J73" t="s">
        <v>13</v>
      </c>
    </row>
    <row r="74" spans="2:11" x14ac:dyDescent="0.25">
      <c r="D74" t="s">
        <v>14</v>
      </c>
      <c r="E74" t="s">
        <v>1</v>
      </c>
      <c r="F74" t="s">
        <v>3</v>
      </c>
      <c r="G74" t="s">
        <v>2</v>
      </c>
      <c r="I74" t="s">
        <v>1</v>
      </c>
      <c r="J74" t="s">
        <v>3</v>
      </c>
      <c r="K74" t="s">
        <v>2</v>
      </c>
    </row>
    <row r="75" spans="2:11" x14ac:dyDescent="0.25">
      <c r="C75" t="s">
        <v>320</v>
      </c>
    </row>
    <row r="77" spans="2:11" x14ac:dyDescent="0.25">
      <c r="C77" t="s">
        <v>18</v>
      </c>
      <c r="F77" t="s">
        <v>674</v>
      </c>
      <c r="J77" t="s">
        <v>13</v>
      </c>
    </row>
    <row r="78" spans="2:11" x14ac:dyDescent="0.25">
      <c r="D78" t="s">
        <v>14</v>
      </c>
      <c r="E78" t="s">
        <v>1</v>
      </c>
      <c r="F78" t="s">
        <v>3</v>
      </c>
      <c r="G78" t="s">
        <v>2</v>
      </c>
      <c r="I78" t="s">
        <v>1</v>
      </c>
      <c r="J78" t="s">
        <v>3</v>
      </c>
      <c r="K78" t="s">
        <v>2</v>
      </c>
    </row>
    <row r="79" spans="2:11" x14ac:dyDescent="0.25">
      <c r="C79" t="s">
        <v>320</v>
      </c>
    </row>
    <row r="81" spans="1:11" x14ac:dyDescent="0.25">
      <c r="C81" t="s">
        <v>36</v>
      </c>
      <c r="F81" t="s">
        <v>674</v>
      </c>
      <c r="J81" t="s">
        <v>13</v>
      </c>
    </row>
    <row r="82" spans="1:11" x14ac:dyDescent="0.25">
      <c r="D82" t="s">
        <v>14</v>
      </c>
      <c r="E82" t="s">
        <v>1</v>
      </c>
      <c r="F82" t="s">
        <v>3</v>
      </c>
      <c r="G82" t="s">
        <v>2</v>
      </c>
      <c r="I82" t="s">
        <v>1</v>
      </c>
      <c r="J82" t="s">
        <v>3</v>
      </c>
      <c r="K82" t="s">
        <v>2</v>
      </c>
    </row>
    <row r="83" spans="1:11" x14ac:dyDescent="0.25">
      <c r="C83" t="s">
        <v>320</v>
      </c>
    </row>
    <row r="87" spans="1:11" x14ac:dyDescent="0.25">
      <c r="A87" t="s">
        <v>4</v>
      </c>
      <c r="B87" t="s">
        <v>676</v>
      </c>
    </row>
    <row r="89" spans="1:11" x14ac:dyDescent="0.25">
      <c r="B89" t="s">
        <v>10</v>
      </c>
      <c r="C89" t="s">
        <v>686</v>
      </c>
    </row>
    <row r="91" spans="1:11" x14ac:dyDescent="0.25">
      <c r="C91" t="s">
        <v>11</v>
      </c>
      <c r="F91" t="s">
        <v>674</v>
      </c>
      <c r="J91" t="s">
        <v>13</v>
      </c>
    </row>
    <row r="92" spans="1:11" x14ac:dyDescent="0.25">
      <c r="D92" t="s">
        <v>14</v>
      </c>
      <c r="E92" t="s">
        <v>1</v>
      </c>
      <c r="F92" t="s">
        <v>3</v>
      </c>
      <c r="G92" t="s">
        <v>2</v>
      </c>
      <c r="I92" t="s">
        <v>1</v>
      </c>
      <c r="J92" t="s">
        <v>3</v>
      </c>
      <c r="K92" t="s">
        <v>2</v>
      </c>
    </row>
    <row r="93" spans="1:11" x14ac:dyDescent="0.25">
      <c r="C93" t="s">
        <v>687</v>
      </c>
      <c r="D93" t="s">
        <v>143</v>
      </c>
      <c r="E93">
        <v>6.98</v>
      </c>
      <c r="F93">
        <v>9.16</v>
      </c>
      <c r="G93">
        <v>14.35</v>
      </c>
      <c r="I93" t="str">
        <f>"295/393"</f>
        <v>295/393</v>
      </c>
      <c r="J93" t="str">
        <f>"165/206"</f>
        <v>165/206</v>
      </c>
      <c r="K93" t="str">
        <f>"265/413"</f>
        <v>265/413</v>
      </c>
    </row>
    <row r="94" spans="1:11" x14ac:dyDescent="0.25">
      <c r="C94" t="s">
        <v>689</v>
      </c>
      <c r="D94" t="s">
        <v>142</v>
      </c>
      <c r="E94">
        <v>6.98</v>
      </c>
      <c r="F94">
        <v>9.16</v>
      </c>
      <c r="G94">
        <v>14.29</v>
      </c>
      <c r="I94" t="str">
        <f>"295/393"</f>
        <v>295/393</v>
      </c>
      <c r="J94" t="str">
        <f>"165/206"</f>
        <v>165/206</v>
      </c>
      <c r="K94" t="str">
        <f>"266/415"</f>
        <v>266/415</v>
      </c>
    </row>
    <row r="95" spans="1:11" x14ac:dyDescent="0.25">
      <c r="C95" t="s">
        <v>691</v>
      </c>
      <c r="D95" t="s">
        <v>147</v>
      </c>
      <c r="E95">
        <v>7.34</v>
      </c>
      <c r="F95">
        <v>11.77</v>
      </c>
      <c r="G95">
        <v>10.73</v>
      </c>
      <c r="I95" t="str">
        <f>"287/553"</f>
        <v>287/553</v>
      </c>
      <c r="J95" t="str">
        <f>"174/179"</f>
        <v>174/179</v>
      </c>
      <c r="K95" t="str">
        <f>"271/462"</f>
        <v>271/462</v>
      </c>
    </row>
    <row r="96" spans="1:11" x14ac:dyDescent="0.25">
      <c r="C96" t="s">
        <v>693</v>
      </c>
      <c r="D96" t="s">
        <v>155</v>
      </c>
      <c r="E96">
        <v>7.25</v>
      </c>
      <c r="F96">
        <v>8.27</v>
      </c>
      <c r="G96">
        <v>12.48</v>
      </c>
      <c r="I96" t="str">
        <f>"245/368"</f>
        <v>245/368</v>
      </c>
      <c r="J96" t="str">
        <f>"134/132"</f>
        <v>134/132</v>
      </c>
      <c r="K96" t="str">
        <f>"155/154"</f>
        <v>155/154</v>
      </c>
    </row>
    <row r="97" spans="3:11" x14ac:dyDescent="0.25">
      <c r="C97" t="s">
        <v>694</v>
      </c>
      <c r="D97" t="s">
        <v>149</v>
      </c>
      <c r="E97">
        <v>7.25</v>
      </c>
      <c r="F97">
        <v>8.27</v>
      </c>
      <c r="G97">
        <v>12.48</v>
      </c>
      <c r="I97" t="str">
        <f>"245/368"</f>
        <v>245/368</v>
      </c>
      <c r="J97" t="str">
        <f>"134/132"</f>
        <v>134/132</v>
      </c>
      <c r="K97" t="str">
        <f>"155/154"</f>
        <v>155/154</v>
      </c>
    </row>
    <row r="98" spans="3:11" x14ac:dyDescent="0.25">
      <c r="C98" t="s">
        <v>696</v>
      </c>
      <c r="D98" t="s">
        <v>171</v>
      </c>
      <c r="E98">
        <v>6.97</v>
      </c>
      <c r="F98">
        <v>9.9600000000000009</v>
      </c>
      <c r="G98">
        <v>9.65</v>
      </c>
      <c r="I98" t="str">
        <f>"264/499"</f>
        <v>264/499</v>
      </c>
      <c r="J98" t="str">
        <f>"163/220"</f>
        <v>163/220</v>
      </c>
      <c r="K98" t="str">
        <f>"311/799"</f>
        <v>311/799</v>
      </c>
    </row>
    <row r="99" spans="3:11" x14ac:dyDescent="0.25">
      <c r="C99" t="s">
        <v>697</v>
      </c>
      <c r="D99" t="s">
        <v>148</v>
      </c>
      <c r="E99">
        <v>6.32</v>
      </c>
      <c r="F99">
        <v>8.93</v>
      </c>
      <c r="G99">
        <v>9.49</v>
      </c>
      <c r="I99" t="str">
        <f>"235/435"</f>
        <v>235/435</v>
      </c>
      <c r="J99" t="str">
        <f>"125/124"</f>
        <v>125/124</v>
      </c>
      <c r="K99" t="str">
        <f>"196/196"</f>
        <v>196/196</v>
      </c>
    </row>
    <row r="100" spans="3:11" x14ac:dyDescent="0.25">
      <c r="C100" t="s">
        <v>677</v>
      </c>
    </row>
    <row r="102" spans="3:11" x14ac:dyDescent="0.25">
      <c r="C102" t="s">
        <v>17</v>
      </c>
      <c r="F102" t="s">
        <v>674</v>
      </c>
      <c r="J102" t="s">
        <v>13</v>
      </c>
    </row>
    <row r="103" spans="3:11" x14ac:dyDescent="0.25">
      <c r="D103" t="s">
        <v>14</v>
      </c>
      <c r="E103" t="s">
        <v>1</v>
      </c>
      <c r="F103" t="s">
        <v>3</v>
      </c>
      <c r="G103" t="s">
        <v>2</v>
      </c>
      <c r="I103" t="s">
        <v>1</v>
      </c>
      <c r="J103" t="s">
        <v>3</v>
      </c>
      <c r="K103" t="s">
        <v>2</v>
      </c>
    </row>
    <row r="104" spans="3:11" x14ac:dyDescent="0.25">
      <c r="C104" t="s">
        <v>687</v>
      </c>
      <c r="D104" t="s">
        <v>449</v>
      </c>
      <c r="E104">
        <v>7.16</v>
      </c>
      <c r="F104">
        <v>21.87</v>
      </c>
      <c r="G104">
        <v>16</v>
      </c>
      <c r="I104" t="str">
        <f>"245/586"</f>
        <v>245/586</v>
      </c>
      <c r="J104" t="str">
        <f>"118/147"</f>
        <v>118/147</v>
      </c>
      <c r="K104" t="str">
        <f>"255/787"</f>
        <v>255/787</v>
      </c>
    </row>
    <row r="105" spans="3:11" x14ac:dyDescent="0.25">
      <c r="C105" t="s">
        <v>689</v>
      </c>
      <c r="D105" t="s">
        <v>276</v>
      </c>
      <c r="E105">
        <v>5.98</v>
      </c>
      <c r="F105">
        <v>21.39</v>
      </c>
      <c r="G105">
        <v>12.14</v>
      </c>
      <c r="I105" t="str">
        <f>"94/216"</f>
        <v>94/216</v>
      </c>
      <c r="J105" t="str">
        <f>"62/106"</f>
        <v>62/106</v>
      </c>
      <c r="K105" t="str">
        <f>"89/219"</f>
        <v>89/219</v>
      </c>
    </row>
    <row r="106" spans="3:11" x14ac:dyDescent="0.25">
      <c r="C106" t="s">
        <v>691</v>
      </c>
      <c r="D106" t="s">
        <v>649</v>
      </c>
      <c r="E106">
        <v>5.7</v>
      </c>
      <c r="F106">
        <v>20.07</v>
      </c>
      <c r="G106">
        <v>12.37</v>
      </c>
      <c r="I106" t="str">
        <f>"120/277"</f>
        <v>120/277</v>
      </c>
      <c r="J106" t="str">
        <f>"82/137"</f>
        <v>82/137</v>
      </c>
      <c r="K106" t="str">
        <f>"127/295"</f>
        <v>127/295</v>
      </c>
    </row>
    <row r="107" spans="3:11" x14ac:dyDescent="0.25">
      <c r="C107" t="s">
        <v>693</v>
      </c>
      <c r="D107" t="s">
        <v>491</v>
      </c>
      <c r="E107">
        <v>5.56</v>
      </c>
      <c r="F107">
        <v>19.829999999999998</v>
      </c>
      <c r="G107">
        <v>12.17</v>
      </c>
      <c r="I107" t="str">
        <f>"123/281"</f>
        <v>123/281</v>
      </c>
      <c r="J107" t="str">
        <f>"83/139"</f>
        <v>83/139</v>
      </c>
      <c r="K107" t="str">
        <f>"129/299"</f>
        <v>129/299</v>
      </c>
    </row>
    <row r="108" spans="3:11" x14ac:dyDescent="0.25">
      <c r="C108" t="s">
        <v>694</v>
      </c>
      <c r="D108" t="s">
        <v>534</v>
      </c>
      <c r="E108">
        <v>5.26</v>
      </c>
      <c r="F108">
        <v>18.46</v>
      </c>
      <c r="G108">
        <v>11.79</v>
      </c>
      <c r="I108" t="str">
        <f>"130/292"</f>
        <v>130/292</v>
      </c>
      <c r="J108" t="str">
        <f>"89/147"</f>
        <v>89/147</v>
      </c>
      <c r="K108" t="str">
        <f>"133/308"</f>
        <v>133/308</v>
      </c>
    </row>
    <row r="109" spans="3:11" x14ac:dyDescent="0.25">
      <c r="C109" t="s">
        <v>696</v>
      </c>
      <c r="D109" t="s">
        <v>509</v>
      </c>
      <c r="E109">
        <v>7.07</v>
      </c>
      <c r="F109">
        <v>13.95</v>
      </c>
      <c r="G109">
        <v>13.21</v>
      </c>
      <c r="I109" t="str">
        <f>"170/467"</f>
        <v>170/467</v>
      </c>
      <c r="J109" t="str">
        <f>"175/423"</f>
        <v>175/423</v>
      </c>
      <c r="K109" t="str">
        <f>"302/799"</f>
        <v>302/799</v>
      </c>
    </row>
    <row r="110" spans="3:11" x14ac:dyDescent="0.25">
      <c r="C110" t="s">
        <v>697</v>
      </c>
      <c r="D110" t="s">
        <v>462</v>
      </c>
      <c r="E110">
        <v>4.5599999999999996</v>
      </c>
      <c r="F110">
        <v>16.989999999999998</v>
      </c>
      <c r="G110">
        <v>12.54</v>
      </c>
      <c r="I110" t="str">
        <f>"97/128"</f>
        <v>97/128</v>
      </c>
      <c r="J110" t="str">
        <f>"86/117"</f>
        <v>86/117</v>
      </c>
      <c r="K110" t="str">
        <f>"48/46"</f>
        <v>48/46</v>
      </c>
    </row>
    <row r="111" spans="3:11" x14ac:dyDescent="0.25">
      <c r="C111" t="s">
        <v>698</v>
      </c>
      <c r="D111" t="s">
        <v>471</v>
      </c>
      <c r="E111">
        <v>4.25</v>
      </c>
      <c r="F111">
        <v>16.21</v>
      </c>
      <c r="G111">
        <v>12.54</v>
      </c>
      <c r="I111" t="str">
        <f>"104/136"</f>
        <v>104/136</v>
      </c>
      <c r="J111" t="str">
        <f>"90/122"</f>
        <v>90/122</v>
      </c>
      <c r="K111" t="str">
        <f>"48/46"</f>
        <v>48/46</v>
      </c>
    </row>
    <row r="112" spans="3:11" x14ac:dyDescent="0.25">
      <c r="C112" t="s">
        <v>699</v>
      </c>
      <c r="D112" t="s">
        <v>650</v>
      </c>
      <c r="E112">
        <v>5.6</v>
      </c>
      <c r="F112">
        <v>14.66</v>
      </c>
      <c r="G112">
        <v>9.24</v>
      </c>
      <c r="I112" t="str">
        <f>"125/264"</f>
        <v>125/264</v>
      </c>
      <c r="J112" t="str">
        <f>"90/141"</f>
        <v>90/141</v>
      </c>
      <c r="K112" t="str">
        <f>"116/256"</f>
        <v>116/256</v>
      </c>
    </row>
    <row r="113" spans="3:11" x14ac:dyDescent="0.25">
      <c r="C113" t="s">
        <v>792</v>
      </c>
    </row>
    <row r="115" spans="3:11" x14ac:dyDescent="0.25">
      <c r="C115" t="s">
        <v>18</v>
      </c>
      <c r="F115" t="s">
        <v>674</v>
      </c>
      <c r="J115" t="s">
        <v>13</v>
      </c>
    </row>
    <row r="116" spans="3:11" x14ac:dyDescent="0.25">
      <c r="D116" t="s">
        <v>14</v>
      </c>
      <c r="E116" t="s">
        <v>1</v>
      </c>
      <c r="F116" t="s">
        <v>3</v>
      </c>
      <c r="G116" t="s">
        <v>2</v>
      </c>
      <c r="I116" t="s">
        <v>1</v>
      </c>
      <c r="J116" t="s">
        <v>3</v>
      </c>
      <c r="K116" t="s">
        <v>2</v>
      </c>
    </row>
    <row r="117" spans="3:11" x14ac:dyDescent="0.25">
      <c r="C117" t="s">
        <v>687</v>
      </c>
      <c r="D117" t="s">
        <v>437</v>
      </c>
      <c r="E117">
        <v>6.86</v>
      </c>
      <c r="F117">
        <v>6.67</v>
      </c>
      <c r="G117">
        <v>42.67</v>
      </c>
      <c r="I117" t="str">
        <f>"85/84"</f>
        <v>85/84</v>
      </c>
      <c r="J117" t="str">
        <f>"50/49"</f>
        <v>50/49</v>
      </c>
      <c r="K117" t="str">
        <f>"24/25"</f>
        <v>24/25</v>
      </c>
    </row>
    <row r="118" spans="3:11" x14ac:dyDescent="0.25">
      <c r="C118" t="s">
        <v>689</v>
      </c>
      <c r="D118" t="s">
        <v>653</v>
      </c>
      <c r="E118">
        <v>6.86</v>
      </c>
      <c r="F118">
        <v>6.67</v>
      </c>
      <c r="G118">
        <v>42.67</v>
      </c>
      <c r="I118" t="str">
        <f>"85/84"</f>
        <v>85/84</v>
      </c>
      <c r="J118" t="str">
        <f>"50/49"</f>
        <v>50/49</v>
      </c>
      <c r="K118" t="str">
        <f>"24/25"</f>
        <v>24/25</v>
      </c>
    </row>
    <row r="119" spans="3:11" x14ac:dyDescent="0.25">
      <c r="C119" t="s">
        <v>691</v>
      </c>
      <c r="D119" t="s">
        <v>651</v>
      </c>
      <c r="E119">
        <v>6.86</v>
      </c>
      <c r="F119">
        <v>6.67</v>
      </c>
      <c r="G119">
        <v>42.67</v>
      </c>
      <c r="I119" t="str">
        <f>"85/84"</f>
        <v>85/84</v>
      </c>
      <c r="J119" t="str">
        <f>"50/49"</f>
        <v>50/49</v>
      </c>
      <c r="K119" t="str">
        <f>"24/25"</f>
        <v>24/25</v>
      </c>
    </row>
    <row r="120" spans="3:11" x14ac:dyDescent="0.25">
      <c r="C120" t="s">
        <v>693</v>
      </c>
      <c r="D120" t="s">
        <v>655</v>
      </c>
      <c r="E120">
        <v>6.86</v>
      </c>
      <c r="F120">
        <v>6.67</v>
      </c>
      <c r="G120">
        <v>42.67</v>
      </c>
      <c r="I120" t="str">
        <f>"85/84"</f>
        <v>85/84</v>
      </c>
      <c r="J120" t="str">
        <f>"50/49"</f>
        <v>50/49</v>
      </c>
      <c r="K120" t="str">
        <f>"24/25"</f>
        <v>24/25</v>
      </c>
    </row>
    <row r="121" spans="3:11" x14ac:dyDescent="0.25">
      <c r="C121" t="s">
        <v>694</v>
      </c>
      <c r="D121" t="s">
        <v>654</v>
      </c>
      <c r="E121">
        <v>6.78</v>
      </c>
      <c r="F121">
        <v>6.54</v>
      </c>
      <c r="G121">
        <v>42.67</v>
      </c>
      <c r="I121" t="str">
        <f>"86/85"</f>
        <v>86/85</v>
      </c>
      <c r="J121" t="str">
        <f>"51/50"</f>
        <v>51/50</v>
      </c>
      <c r="K121" t="str">
        <f>"24/25"</f>
        <v>24/25</v>
      </c>
    </row>
    <row r="122" spans="3:11" x14ac:dyDescent="0.25">
      <c r="C122" t="s">
        <v>696</v>
      </c>
      <c r="D122" t="s">
        <v>652</v>
      </c>
      <c r="E122">
        <v>6.78</v>
      </c>
      <c r="F122">
        <v>6.54</v>
      </c>
      <c r="G122">
        <v>40.729999999999997</v>
      </c>
      <c r="I122" t="str">
        <f>"86/85"</f>
        <v>86/85</v>
      </c>
      <c r="J122" t="str">
        <f>"51/50"</f>
        <v>51/50</v>
      </c>
      <c r="K122" t="str">
        <f>"25/26"</f>
        <v>25/26</v>
      </c>
    </row>
    <row r="123" spans="3:11" x14ac:dyDescent="0.25">
      <c r="C123" t="s">
        <v>697</v>
      </c>
      <c r="D123" t="s">
        <v>659</v>
      </c>
      <c r="E123">
        <v>6.55</v>
      </c>
      <c r="F123">
        <v>6.67</v>
      </c>
      <c r="G123">
        <v>37.33</v>
      </c>
      <c r="I123" t="str">
        <f>"89/88"</f>
        <v>89/88</v>
      </c>
      <c r="J123" t="str">
        <f>"50/49"</f>
        <v>50/49</v>
      </c>
      <c r="K123" t="str">
        <f>"27/28"</f>
        <v>27/28</v>
      </c>
    </row>
    <row r="124" spans="3:11" x14ac:dyDescent="0.25">
      <c r="C124" t="s">
        <v>698</v>
      </c>
      <c r="D124" t="s">
        <v>660</v>
      </c>
      <c r="E124">
        <v>6.55</v>
      </c>
      <c r="F124">
        <v>6.67</v>
      </c>
      <c r="G124">
        <v>37.33</v>
      </c>
      <c r="I124" t="str">
        <f>"89/88"</f>
        <v>89/88</v>
      </c>
      <c r="J124" t="str">
        <f>"50/49"</f>
        <v>50/49</v>
      </c>
      <c r="K124" t="str">
        <f>"27/28"</f>
        <v>27/28</v>
      </c>
    </row>
    <row r="125" spans="3:11" x14ac:dyDescent="0.25">
      <c r="C125" t="s">
        <v>699</v>
      </c>
      <c r="D125" t="s">
        <v>658</v>
      </c>
      <c r="E125">
        <v>6.5</v>
      </c>
      <c r="F125">
        <v>6.67</v>
      </c>
      <c r="G125">
        <v>35.840000000000003</v>
      </c>
      <c r="I125" t="str">
        <f>"92/90"</f>
        <v>92/90</v>
      </c>
      <c r="J125" t="str">
        <f>"50/49"</f>
        <v>50/49</v>
      </c>
      <c r="K125" t="str">
        <f>"28/29"</f>
        <v>28/29</v>
      </c>
    </row>
    <row r="126" spans="3:11" x14ac:dyDescent="0.25">
      <c r="C126" t="s">
        <v>700</v>
      </c>
      <c r="D126" t="s">
        <v>438</v>
      </c>
      <c r="E126">
        <v>6.5</v>
      </c>
      <c r="F126">
        <v>6.67</v>
      </c>
      <c r="G126">
        <v>35.840000000000003</v>
      </c>
      <c r="I126" t="str">
        <f>"92/90"</f>
        <v>92/90</v>
      </c>
      <c r="J126" t="str">
        <f>"50/49"</f>
        <v>50/49</v>
      </c>
      <c r="K126" t="str">
        <f>"28/29"</f>
        <v>28/29</v>
      </c>
    </row>
    <row r="127" spans="3:11" x14ac:dyDescent="0.25">
      <c r="C127" t="s">
        <v>701</v>
      </c>
      <c r="D127" t="s">
        <v>535</v>
      </c>
      <c r="E127">
        <v>5.4</v>
      </c>
      <c r="F127">
        <v>8.07</v>
      </c>
      <c r="G127">
        <v>28.7</v>
      </c>
      <c r="I127" t="str">
        <f>"125/124"</f>
        <v>125/124</v>
      </c>
      <c r="J127" t="str">
        <f>"70/69"</f>
        <v>70/69</v>
      </c>
      <c r="K127" t="str">
        <f>"79/95"</f>
        <v>79/95</v>
      </c>
    </row>
    <row r="128" spans="3:11" x14ac:dyDescent="0.25">
      <c r="C128" t="s">
        <v>702</v>
      </c>
      <c r="D128" t="s">
        <v>536</v>
      </c>
      <c r="E128">
        <v>5.4</v>
      </c>
      <c r="F128">
        <v>8.07</v>
      </c>
      <c r="G128">
        <v>28.7</v>
      </c>
      <c r="I128" t="str">
        <f>"125/124"</f>
        <v>125/124</v>
      </c>
      <c r="J128" t="str">
        <f>"70/69"</f>
        <v>70/69</v>
      </c>
      <c r="K128" t="str">
        <f>"79/95"</f>
        <v>79/95</v>
      </c>
    </row>
    <row r="129" spans="3:11" x14ac:dyDescent="0.25">
      <c r="C129" t="s">
        <v>710</v>
      </c>
      <c r="D129" t="s">
        <v>458</v>
      </c>
      <c r="E129">
        <v>7.29</v>
      </c>
      <c r="F129">
        <v>10.1</v>
      </c>
      <c r="G129">
        <v>22.32</v>
      </c>
      <c r="I129" t="str">
        <f>"249/439"</f>
        <v>249/439</v>
      </c>
      <c r="J129" t="str">
        <f>"86/84"</f>
        <v>86/84</v>
      </c>
      <c r="K129" t="str">
        <f>"106/106"</f>
        <v>106/106</v>
      </c>
    </row>
    <row r="130" spans="3:11" x14ac:dyDescent="0.25">
      <c r="C130" t="s">
        <v>711</v>
      </c>
      <c r="D130" t="s">
        <v>156</v>
      </c>
      <c r="E130">
        <v>4.7699999999999996</v>
      </c>
      <c r="F130">
        <v>11.89</v>
      </c>
      <c r="G130">
        <v>21.78</v>
      </c>
      <c r="I130" t="str">
        <f>"302/447"</f>
        <v>302/447</v>
      </c>
      <c r="J130" t="str">
        <f>"215/336"</f>
        <v>215/336</v>
      </c>
      <c r="K130" t="str">
        <f>"258/313"</f>
        <v>258/313</v>
      </c>
    </row>
    <row r="131" spans="3:11" x14ac:dyDescent="0.25">
      <c r="C131" t="s">
        <v>716</v>
      </c>
      <c r="D131" t="s">
        <v>151</v>
      </c>
      <c r="E131">
        <v>4.76</v>
      </c>
      <c r="F131">
        <v>11.83</v>
      </c>
      <c r="G131">
        <v>21.35</v>
      </c>
      <c r="I131" t="str">
        <f>"303/448"</f>
        <v>303/448</v>
      </c>
      <c r="J131" t="str">
        <f>"216/337"</f>
        <v>216/337</v>
      </c>
      <c r="K131" t="str">
        <f>"263/320"</f>
        <v>263/320</v>
      </c>
    </row>
    <row r="132" spans="3:11" x14ac:dyDescent="0.25">
      <c r="C132" t="s">
        <v>717</v>
      </c>
      <c r="D132" t="s">
        <v>281</v>
      </c>
      <c r="E132">
        <v>4.1900000000000004</v>
      </c>
      <c r="F132">
        <v>4.04</v>
      </c>
      <c r="G132">
        <v>19.71</v>
      </c>
      <c r="I132" t="str">
        <f>"145/160"</f>
        <v>145/160</v>
      </c>
      <c r="J132" t="str">
        <f>"82/81"</f>
        <v>82/81</v>
      </c>
      <c r="K132" t="str">
        <f>"40/39"</f>
        <v>40/39</v>
      </c>
    </row>
    <row r="133" spans="3:11" x14ac:dyDescent="0.25">
      <c r="C133" t="s">
        <v>641</v>
      </c>
    </row>
    <row r="135" spans="3:11" x14ac:dyDescent="0.25">
      <c r="C135" t="s">
        <v>36</v>
      </c>
      <c r="F135" t="s">
        <v>674</v>
      </c>
      <c r="J135" t="s">
        <v>13</v>
      </c>
    </row>
    <row r="136" spans="3:11" x14ac:dyDescent="0.25">
      <c r="D136" t="s">
        <v>14</v>
      </c>
      <c r="E136" t="s">
        <v>1</v>
      </c>
      <c r="F136" t="s">
        <v>3</v>
      </c>
      <c r="G136" t="s">
        <v>2</v>
      </c>
      <c r="I136" t="s">
        <v>1</v>
      </c>
      <c r="J136" t="s">
        <v>3</v>
      </c>
      <c r="K136" t="s">
        <v>2</v>
      </c>
    </row>
    <row r="137" spans="3:11" x14ac:dyDescent="0.25">
      <c r="C137" t="s">
        <v>687</v>
      </c>
      <c r="D137" t="s">
        <v>286</v>
      </c>
      <c r="E137">
        <v>10.52</v>
      </c>
      <c r="F137">
        <v>10.7</v>
      </c>
      <c r="G137">
        <v>14.94</v>
      </c>
      <c r="I137" t="str">
        <f>"169/284"</f>
        <v>169/284</v>
      </c>
      <c r="J137" t="str">
        <f>"104/102"</f>
        <v>104/102</v>
      </c>
      <c r="K137" t="str">
        <f>"130/127"</f>
        <v>130/127</v>
      </c>
    </row>
    <row r="138" spans="3:11" x14ac:dyDescent="0.25">
      <c r="C138" t="s">
        <v>689</v>
      </c>
      <c r="D138" t="s">
        <v>285</v>
      </c>
      <c r="E138">
        <v>10.52</v>
      </c>
      <c r="F138">
        <v>10.7</v>
      </c>
      <c r="G138">
        <v>14.94</v>
      </c>
      <c r="I138" t="str">
        <f>"169/284"</f>
        <v>169/284</v>
      </c>
      <c r="J138" t="str">
        <f>"104/102"</f>
        <v>104/102</v>
      </c>
      <c r="K138" t="str">
        <f>"130/127"</f>
        <v>130/127</v>
      </c>
    </row>
    <row r="139" spans="3:11" x14ac:dyDescent="0.25">
      <c r="C139" t="s">
        <v>691</v>
      </c>
      <c r="D139" t="s">
        <v>152</v>
      </c>
      <c r="E139">
        <v>10.220000000000001</v>
      </c>
      <c r="F139">
        <v>10.32</v>
      </c>
      <c r="G139">
        <v>14.26</v>
      </c>
      <c r="I139" t="str">
        <f>"174/289"</f>
        <v>174/289</v>
      </c>
      <c r="J139" t="str">
        <f>"116/119"</f>
        <v>116/119</v>
      </c>
      <c r="K139" t="str">
        <f>"136/133"</f>
        <v>136/133</v>
      </c>
    </row>
    <row r="140" spans="3:11" x14ac:dyDescent="0.25">
      <c r="C140" t="s">
        <v>693</v>
      </c>
      <c r="D140" t="s">
        <v>23</v>
      </c>
      <c r="E140">
        <v>9.42</v>
      </c>
      <c r="F140">
        <v>11.4</v>
      </c>
      <c r="G140">
        <v>10.93</v>
      </c>
      <c r="I140" t="str">
        <f>"127/239"</f>
        <v>127/239</v>
      </c>
      <c r="J140" t="str">
        <f>"68/67"</f>
        <v>68/67</v>
      </c>
      <c r="K140" t="str">
        <f>"106/105"</f>
        <v>106/105</v>
      </c>
    </row>
    <row r="141" spans="3:11" x14ac:dyDescent="0.25">
      <c r="C141" t="s">
        <v>694</v>
      </c>
      <c r="D141" t="s">
        <v>271</v>
      </c>
      <c r="E141">
        <v>8.8800000000000008</v>
      </c>
      <c r="F141">
        <v>11.61</v>
      </c>
      <c r="G141">
        <v>10.23</v>
      </c>
      <c r="I141" t="str">
        <f>"154/251"</f>
        <v>154/251</v>
      </c>
      <c r="J141" t="str">
        <f>"81/122"</f>
        <v>81/122</v>
      </c>
      <c r="K141" t="str">
        <f>"155/278"</f>
        <v>155/278</v>
      </c>
    </row>
    <row r="142" spans="3:11" x14ac:dyDescent="0.25">
      <c r="C142" t="s">
        <v>696</v>
      </c>
      <c r="D142" t="s">
        <v>154</v>
      </c>
      <c r="E142">
        <v>9.02</v>
      </c>
      <c r="F142">
        <v>8.6999999999999993</v>
      </c>
      <c r="G142">
        <v>12.16</v>
      </c>
      <c r="I142" t="str">
        <f>"197/328"</f>
        <v>197/328</v>
      </c>
      <c r="J142" t="str">
        <f>"137/143"</f>
        <v>137/143</v>
      </c>
      <c r="K142" t="str">
        <f>"159/156"</f>
        <v>159/156</v>
      </c>
    </row>
    <row r="143" spans="3:11" x14ac:dyDescent="0.25">
      <c r="C143" t="s">
        <v>697</v>
      </c>
      <c r="D143" t="s">
        <v>497</v>
      </c>
      <c r="E143">
        <v>8.73</v>
      </c>
      <c r="F143">
        <v>10.61</v>
      </c>
      <c r="G143">
        <v>9.41</v>
      </c>
      <c r="I143" t="str">
        <f>"137/257"</f>
        <v>137/257</v>
      </c>
      <c r="J143" t="str">
        <f>"73/72"</f>
        <v>73/72</v>
      </c>
      <c r="K143" t="str">
        <f>"123/122"</f>
        <v>123/122</v>
      </c>
    </row>
    <row r="144" spans="3:11" x14ac:dyDescent="0.25">
      <c r="C144" t="s">
        <v>698</v>
      </c>
      <c r="D144" t="s">
        <v>457</v>
      </c>
      <c r="E144">
        <v>8.23</v>
      </c>
      <c r="F144">
        <v>10.79</v>
      </c>
      <c r="G144">
        <v>9.43</v>
      </c>
      <c r="I144" t="str">
        <f>"166/268"</f>
        <v>166/268</v>
      </c>
      <c r="J144" t="str">
        <f>"87/129"</f>
        <v>87/129</v>
      </c>
      <c r="K144" t="str">
        <f>"168/296"</f>
        <v>168/296</v>
      </c>
    </row>
    <row r="145" spans="2:11" x14ac:dyDescent="0.25">
      <c r="C145" t="s">
        <v>699</v>
      </c>
      <c r="D145" t="s">
        <v>500</v>
      </c>
      <c r="E145">
        <v>8.73</v>
      </c>
      <c r="F145">
        <v>10.32</v>
      </c>
      <c r="G145">
        <v>9.26</v>
      </c>
      <c r="I145" t="str">
        <f>"137/257"</f>
        <v>137/257</v>
      </c>
      <c r="J145" t="str">
        <f>"75/74"</f>
        <v>75/74</v>
      </c>
      <c r="K145" t="str">
        <f>"125/124"</f>
        <v>125/124</v>
      </c>
    </row>
    <row r="146" spans="2:11" x14ac:dyDescent="0.25">
      <c r="C146" t="s">
        <v>700</v>
      </c>
      <c r="D146" t="s">
        <v>499</v>
      </c>
      <c r="E146">
        <v>8.73</v>
      </c>
      <c r="F146">
        <v>10.32</v>
      </c>
      <c r="G146">
        <v>9.26</v>
      </c>
      <c r="I146" t="str">
        <f>"137/257"</f>
        <v>137/257</v>
      </c>
      <c r="J146" t="str">
        <f>"75/74"</f>
        <v>75/74</v>
      </c>
      <c r="K146" t="str">
        <f>"125/124"</f>
        <v>125/124</v>
      </c>
    </row>
    <row r="147" spans="2:11" x14ac:dyDescent="0.25">
      <c r="C147" t="s">
        <v>701</v>
      </c>
      <c r="D147" t="s">
        <v>447</v>
      </c>
      <c r="E147">
        <v>8.73</v>
      </c>
      <c r="F147">
        <v>10.050000000000001</v>
      </c>
      <c r="G147">
        <v>9.18</v>
      </c>
      <c r="I147" t="str">
        <f>"137/257"</f>
        <v>137/257</v>
      </c>
      <c r="J147" t="str">
        <f>"77/76"</f>
        <v>77/76</v>
      </c>
      <c r="K147" t="str">
        <f>"126/125"</f>
        <v>126/125</v>
      </c>
    </row>
    <row r="148" spans="2:11" x14ac:dyDescent="0.25">
      <c r="C148" t="s">
        <v>678</v>
      </c>
    </row>
    <row r="150" spans="2:11" x14ac:dyDescent="0.25">
      <c r="B150" t="s">
        <v>37</v>
      </c>
      <c r="C150" t="s">
        <v>338</v>
      </c>
    </row>
    <row r="152" spans="2:11" x14ac:dyDescent="0.25">
      <c r="C152" t="s">
        <v>11</v>
      </c>
      <c r="F152" t="s">
        <v>674</v>
      </c>
      <c r="J152" t="s">
        <v>13</v>
      </c>
    </row>
    <row r="153" spans="2:11" x14ac:dyDescent="0.25">
      <c r="D153" t="s">
        <v>14</v>
      </c>
      <c r="E153" t="s">
        <v>1</v>
      </c>
      <c r="F153" t="s">
        <v>3</v>
      </c>
      <c r="G153" t="s">
        <v>2</v>
      </c>
      <c r="I153" t="s">
        <v>1</v>
      </c>
      <c r="J153" t="s">
        <v>3</v>
      </c>
      <c r="K153" t="s">
        <v>2</v>
      </c>
    </row>
    <row r="154" spans="2:11" x14ac:dyDescent="0.25">
      <c r="C154" t="s">
        <v>320</v>
      </c>
    </row>
    <row r="156" spans="2:11" x14ac:dyDescent="0.25">
      <c r="C156" t="s">
        <v>17</v>
      </c>
      <c r="F156" t="s">
        <v>674</v>
      </c>
      <c r="J156" t="s">
        <v>13</v>
      </c>
    </row>
    <row r="157" spans="2:11" x14ac:dyDescent="0.25">
      <c r="D157" t="s">
        <v>14</v>
      </c>
      <c r="E157" t="s">
        <v>1</v>
      </c>
      <c r="F157" t="s">
        <v>3</v>
      </c>
      <c r="G157" t="s">
        <v>2</v>
      </c>
      <c r="I157" t="s">
        <v>1</v>
      </c>
      <c r="J157" t="s">
        <v>3</v>
      </c>
      <c r="K157" t="s">
        <v>2</v>
      </c>
    </row>
    <row r="158" spans="2:11" x14ac:dyDescent="0.25">
      <c r="C158" t="s">
        <v>320</v>
      </c>
    </row>
    <row r="160" spans="2:11" x14ac:dyDescent="0.25">
      <c r="C160" t="s">
        <v>18</v>
      </c>
      <c r="F160" t="s">
        <v>674</v>
      </c>
      <c r="J160" t="s">
        <v>13</v>
      </c>
    </row>
    <row r="161" spans="2:11" x14ac:dyDescent="0.25">
      <c r="D161" t="s">
        <v>14</v>
      </c>
      <c r="E161" t="s">
        <v>1</v>
      </c>
      <c r="F161" t="s">
        <v>3</v>
      </c>
      <c r="G161" t="s">
        <v>2</v>
      </c>
      <c r="I161" t="s">
        <v>1</v>
      </c>
      <c r="J161" t="s">
        <v>3</v>
      </c>
      <c r="K161" t="s">
        <v>2</v>
      </c>
    </row>
    <row r="162" spans="2:11" x14ac:dyDescent="0.25">
      <c r="C162" t="s">
        <v>320</v>
      </c>
    </row>
    <row r="164" spans="2:11" x14ac:dyDescent="0.25">
      <c r="C164" t="s">
        <v>36</v>
      </c>
      <c r="F164" t="s">
        <v>674</v>
      </c>
      <c r="J164" t="s">
        <v>13</v>
      </c>
    </row>
    <row r="165" spans="2:11" x14ac:dyDescent="0.25">
      <c r="D165" t="s">
        <v>14</v>
      </c>
      <c r="E165" t="s">
        <v>1</v>
      </c>
      <c r="F165" t="s">
        <v>3</v>
      </c>
      <c r="G165" t="s">
        <v>2</v>
      </c>
      <c r="I165" t="s">
        <v>1</v>
      </c>
      <c r="J165" t="s">
        <v>3</v>
      </c>
      <c r="K165" t="s">
        <v>2</v>
      </c>
    </row>
    <row r="166" spans="2:11" x14ac:dyDescent="0.25">
      <c r="C166" t="s">
        <v>320</v>
      </c>
    </row>
    <row r="168" spans="2:11" x14ac:dyDescent="0.25">
      <c r="B168" t="s">
        <v>38</v>
      </c>
      <c r="C168" t="s">
        <v>339</v>
      </c>
    </row>
    <row r="170" spans="2:11" x14ac:dyDescent="0.25">
      <c r="C170" t="s">
        <v>11</v>
      </c>
      <c r="F170" t="s">
        <v>674</v>
      </c>
      <c r="J170" t="s">
        <v>13</v>
      </c>
    </row>
    <row r="171" spans="2:11" x14ac:dyDescent="0.25">
      <c r="D171" t="s">
        <v>14</v>
      </c>
      <c r="E171" t="s">
        <v>1</v>
      </c>
      <c r="F171" t="s">
        <v>3</v>
      </c>
      <c r="G171" t="s">
        <v>2</v>
      </c>
      <c r="I171" t="s">
        <v>1</v>
      </c>
      <c r="J171" t="s">
        <v>3</v>
      </c>
      <c r="K171" t="s">
        <v>2</v>
      </c>
    </row>
    <row r="172" spans="2:11" x14ac:dyDescent="0.25">
      <c r="C172" t="s">
        <v>320</v>
      </c>
    </row>
    <row r="174" spans="2:11" x14ac:dyDescent="0.25">
      <c r="C174" t="s">
        <v>17</v>
      </c>
      <c r="F174" t="s">
        <v>674</v>
      </c>
      <c r="J174" t="s">
        <v>13</v>
      </c>
    </row>
    <row r="175" spans="2:11" x14ac:dyDescent="0.25">
      <c r="D175" t="s">
        <v>14</v>
      </c>
      <c r="E175" t="s">
        <v>1</v>
      </c>
      <c r="F175" t="s">
        <v>3</v>
      </c>
      <c r="G175" t="s">
        <v>2</v>
      </c>
      <c r="I175" t="s">
        <v>1</v>
      </c>
      <c r="J175" t="s">
        <v>3</v>
      </c>
      <c r="K175" t="s">
        <v>2</v>
      </c>
    </row>
    <row r="176" spans="2:11" x14ac:dyDescent="0.25">
      <c r="C176" t="s">
        <v>320</v>
      </c>
    </row>
    <row r="178" spans="3:11" x14ac:dyDescent="0.25">
      <c r="C178" t="s">
        <v>18</v>
      </c>
      <c r="F178" t="s">
        <v>674</v>
      </c>
      <c r="J178" t="s">
        <v>13</v>
      </c>
    </row>
    <row r="179" spans="3:11" x14ac:dyDescent="0.25">
      <c r="D179" t="s">
        <v>14</v>
      </c>
      <c r="E179" t="s">
        <v>1</v>
      </c>
      <c r="F179" t="s">
        <v>3</v>
      </c>
      <c r="G179" t="s">
        <v>2</v>
      </c>
      <c r="I179" t="s">
        <v>1</v>
      </c>
      <c r="J179" t="s">
        <v>3</v>
      </c>
      <c r="K179" t="s">
        <v>2</v>
      </c>
    </row>
    <row r="180" spans="3:11" x14ac:dyDescent="0.25">
      <c r="C180" t="s">
        <v>320</v>
      </c>
    </row>
    <row r="182" spans="3:11" x14ac:dyDescent="0.25">
      <c r="C182" t="s">
        <v>36</v>
      </c>
      <c r="F182" t="s">
        <v>674</v>
      </c>
      <c r="J182" t="s">
        <v>13</v>
      </c>
    </row>
    <row r="183" spans="3:11" x14ac:dyDescent="0.25">
      <c r="D183" t="s">
        <v>14</v>
      </c>
      <c r="E183" t="s">
        <v>1</v>
      </c>
      <c r="F183" t="s">
        <v>3</v>
      </c>
      <c r="G183" t="s">
        <v>2</v>
      </c>
      <c r="I183" t="s">
        <v>1</v>
      </c>
      <c r="J183" t="s">
        <v>3</v>
      </c>
      <c r="K183" t="s">
        <v>2</v>
      </c>
    </row>
    <row r="184" spans="3:11" x14ac:dyDescent="0.25">
      <c r="C184" t="s">
        <v>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Density</vt:lpstr>
      <vt:lpstr>Avnn</vt:lpstr>
      <vt:lpstr>Avpath</vt:lpstr>
      <vt:lpstr>Connectivity</vt:lpstr>
      <vt:lpstr>Connectivity in</vt:lpstr>
      <vt:lpstr>Connectivity out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Torgeir</dc:creator>
  <cp:lastModifiedBy>Real, Francis Frank</cp:lastModifiedBy>
  <dcterms:created xsi:type="dcterms:W3CDTF">2013-09-10T11:02:36Z</dcterms:created>
  <dcterms:modified xsi:type="dcterms:W3CDTF">2014-02-14T15:01:06Z</dcterms:modified>
</cp:coreProperties>
</file>