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1400"/>
  </bookViews>
  <sheets>
    <sheet name="Legend" sheetId="1" r:id="rId1"/>
    <sheet name="Motif3_6" sheetId="2" r:id="rId2"/>
    <sheet name="Motif3_13" sheetId="3" r:id="rId3"/>
    <sheet name="Motif4_19" sheetId="4" r:id="rId4"/>
    <sheet name="Motif4_56" sheetId="5" r:id="rId5"/>
    <sheet name="Motif4_76" sheetId="6" r:id="rId6"/>
    <sheet name="Motif4_103" sheetId="7" r:id="rId7"/>
    <sheet name="Motif4_117" sheetId="8" r:id="rId8"/>
    <sheet name="Motif4_176" sheetId="9" r:id="rId9"/>
    <sheet name="Motif4_199" sheetId="10" r:id="rId10"/>
  </sheets>
  <calcPr calcId="145621"/>
</workbook>
</file>

<file path=xl/calcChain.xml><?xml version="1.0" encoding="utf-8"?>
<calcChain xmlns="http://schemas.openxmlformats.org/spreadsheetml/2006/main">
  <c r="K22" i="1" l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31" i="10" l="1"/>
  <c r="J131" i="10"/>
  <c r="I131" i="10"/>
  <c r="K130" i="10"/>
  <c r="J130" i="10"/>
  <c r="I130" i="10"/>
  <c r="K129" i="10"/>
  <c r="J129" i="10"/>
  <c r="I129" i="10"/>
  <c r="K128" i="10"/>
  <c r="J128" i="10"/>
  <c r="I128" i="10"/>
  <c r="K127" i="10"/>
  <c r="J127" i="10"/>
  <c r="I127" i="10"/>
  <c r="K122" i="10"/>
  <c r="J122" i="10"/>
  <c r="I122" i="10"/>
  <c r="K121" i="10"/>
  <c r="J121" i="10"/>
  <c r="I121" i="10"/>
  <c r="K116" i="10"/>
  <c r="J116" i="10"/>
  <c r="I116" i="10"/>
  <c r="K115" i="10"/>
  <c r="J115" i="10"/>
  <c r="I115" i="10"/>
  <c r="K114" i="10"/>
  <c r="J114" i="10"/>
  <c r="I114" i="10"/>
  <c r="K113" i="10"/>
  <c r="J113" i="10"/>
  <c r="I113" i="10"/>
  <c r="K112" i="10"/>
  <c r="J112" i="10"/>
  <c r="I112" i="10"/>
  <c r="K107" i="10"/>
  <c r="J107" i="10"/>
  <c r="I107" i="10"/>
  <c r="K60" i="10"/>
  <c r="J60" i="10"/>
  <c r="I60" i="10"/>
  <c r="K59" i="10"/>
  <c r="J59" i="10"/>
  <c r="I59" i="10"/>
  <c r="K58" i="10"/>
  <c r="J58" i="10"/>
  <c r="I58" i="10"/>
  <c r="K57" i="10"/>
  <c r="J57" i="10"/>
  <c r="I57" i="10"/>
  <c r="K56" i="10"/>
  <c r="J56" i="10"/>
  <c r="I56" i="10"/>
  <c r="K55" i="10"/>
  <c r="J55" i="10"/>
  <c r="I55" i="10"/>
  <c r="K54" i="10"/>
  <c r="J54" i="10"/>
  <c r="I54" i="10"/>
  <c r="K53" i="10"/>
  <c r="J53" i="10"/>
  <c r="I53" i="10"/>
  <c r="K52" i="10"/>
  <c r="J52" i="10"/>
  <c r="I52" i="10"/>
  <c r="K51" i="10"/>
  <c r="J51" i="10"/>
  <c r="I51" i="10"/>
  <c r="K50" i="10"/>
  <c r="J50" i="10"/>
  <c r="I50" i="10"/>
  <c r="K49" i="10"/>
  <c r="J49" i="10"/>
  <c r="I49" i="10"/>
  <c r="K48" i="10"/>
  <c r="J48" i="10"/>
  <c r="I48" i="10"/>
  <c r="K47" i="10"/>
  <c r="J47" i="10"/>
  <c r="I47" i="10"/>
  <c r="K46" i="10"/>
  <c r="J46" i="10"/>
  <c r="I46" i="10"/>
  <c r="K45" i="10"/>
  <c r="J45" i="10"/>
  <c r="I45" i="10"/>
  <c r="K44" i="10"/>
  <c r="J44" i="10"/>
  <c r="I44" i="10"/>
  <c r="K43" i="10"/>
  <c r="J43" i="10"/>
  <c r="I43" i="10"/>
  <c r="K42" i="10"/>
  <c r="J42" i="10"/>
  <c r="I42" i="10"/>
  <c r="K37" i="10"/>
  <c r="J37" i="10"/>
  <c r="I37" i="10"/>
  <c r="K36" i="10"/>
  <c r="J36" i="10"/>
  <c r="I36" i="10"/>
  <c r="K31" i="10"/>
  <c r="J31" i="10"/>
  <c r="I31" i="10"/>
  <c r="K30" i="10"/>
  <c r="J30" i="10"/>
  <c r="I30" i="10"/>
  <c r="K29" i="10"/>
  <c r="J29" i="10"/>
  <c r="I29" i="10"/>
  <c r="K28" i="10"/>
  <c r="J28" i="10"/>
  <c r="I28" i="10"/>
  <c r="K27" i="10"/>
  <c r="J27" i="10"/>
  <c r="I27" i="10"/>
  <c r="K26" i="10"/>
  <c r="J26" i="10"/>
  <c r="I26" i="10"/>
  <c r="K25" i="10"/>
  <c r="J25" i="10"/>
  <c r="I25" i="10"/>
  <c r="K24" i="10"/>
  <c r="J24" i="10"/>
  <c r="I24" i="10"/>
  <c r="K23" i="10"/>
  <c r="J23" i="10"/>
  <c r="I23" i="10"/>
  <c r="K22" i="10"/>
  <c r="J22" i="10"/>
  <c r="I22" i="10"/>
  <c r="K21" i="10"/>
  <c r="J21" i="10"/>
  <c r="I21" i="10"/>
  <c r="K20" i="10"/>
  <c r="J20" i="10"/>
  <c r="I20" i="10"/>
  <c r="K19" i="10"/>
  <c r="J19" i="10"/>
  <c r="I19" i="10"/>
  <c r="K14" i="10"/>
  <c r="J14" i="10"/>
  <c r="I14" i="10"/>
  <c r="K13" i="10"/>
  <c r="J13" i="10"/>
  <c r="I13" i="10"/>
  <c r="K12" i="10"/>
  <c r="J12" i="10"/>
  <c r="I12" i="10"/>
  <c r="K11" i="10"/>
  <c r="J11" i="10"/>
  <c r="I11" i="10"/>
  <c r="K10" i="10"/>
  <c r="J10" i="10"/>
  <c r="I10" i="10"/>
  <c r="K9" i="10"/>
  <c r="J9" i="10"/>
  <c r="I9" i="10"/>
  <c r="K8" i="10"/>
  <c r="J8" i="10"/>
  <c r="I8" i="10"/>
  <c r="K7" i="10"/>
  <c r="J7" i="10"/>
  <c r="I7" i="10"/>
  <c r="K134" i="9"/>
  <c r="J134" i="9"/>
  <c r="I134" i="9"/>
  <c r="K129" i="9"/>
  <c r="J129" i="9"/>
  <c r="I129" i="9"/>
  <c r="K128" i="9"/>
  <c r="J128" i="9"/>
  <c r="I128" i="9"/>
  <c r="K127" i="9"/>
  <c r="J127" i="9"/>
  <c r="I127" i="9"/>
  <c r="K126" i="9"/>
  <c r="J126" i="9"/>
  <c r="I126" i="9"/>
  <c r="K125" i="9"/>
  <c r="J125" i="9"/>
  <c r="I125" i="9"/>
  <c r="K70" i="9"/>
  <c r="J70" i="9"/>
  <c r="I70" i="9"/>
  <c r="K69" i="9"/>
  <c r="J69" i="9"/>
  <c r="I69" i="9"/>
  <c r="K68" i="9"/>
  <c r="J68" i="9"/>
  <c r="I68" i="9"/>
  <c r="K67" i="9"/>
  <c r="J67" i="9"/>
  <c r="I67" i="9"/>
  <c r="K62" i="9"/>
  <c r="J62" i="9"/>
  <c r="I62" i="9"/>
  <c r="K61" i="9"/>
  <c r="J61" i="9"/>
  <c r="I61" i="9"/>
  <c r="K56" i="9"/>
  <c r="J56" i="9"/>
  <c r="I56" i="9"/>
  <c r="K55" i="9"/>
  <c r="J55" i="9"/>
  <c r="I55" i="9"/>
  <c r="K54" i="9"/>
  <c r="J54" i="9"/>
  <c r="I54" i="9"/>
  <c r="K53" i="9"/>
  <c r="J53" i="9"/>
  <c r="I53" i="9"/>
  <c r="K52" i="9"/>
  <c r="J52" i="9"/>
  <c r="I52" i="9"/>
  <c r="K51" i="9"/>
  <c r="J51" i="9"/>
  <c r="I51" i="9"/>
  <c r="K50" i="9"/>
  <c r="J50" i="9"/>
  <c r="I50" i="9"/>
  <c r="K49" i="9"/>
  <c r="J49" i="9"/>
  <c r="I49" i="9"/>
  <c r="K48" i="9"/>
  <c r="J48" i="9"/>
  <c r="I48" i="9"/>
  <c r="K47" i="9"/>
  <c r="J47" i="9"/>
  <c r="I47" i="9"/>
  <c r="K46" i="9"/>
  <c r="J46" i="9"/>
  <c r="I46" i="9"/>
  <c r="K45" i="9"/>
  <c r="J45" i="9"/>
  <c r="I45" i="9"/>
  <c r="K44" i="9"/>
  <c r="J44" i="9"/>
  <c r="I44" i="9"/>
  <c r="K43" i="9"/>
  <c r="J43" i="9"/>
  <c r="I43" i="9"/>
  <c r="K38" i="9"/>
  <c r="J38" i="9"/>
  <c r="I38" i="9"/>
  <c r="K37" i="9"/>
  <c r="J37" i="9"/>
  <c r="I37" i="9"/>
  <c r="K36" i="9"/>
  <c r="J36" i="9"/>
  <c r="I36" i="9"/>
  <c r="K35" i="9"/>
  <c r="J35" i="9"/>
  <c r="I35" i="9"/>
  <c r="K34" i="9"/>
  <c r="J34" i="9"/>
  <c r="I34" i="9"/>
  <c r="K33" i="9"/>
  <c r="J33" i="9"/>
  <c r="I33" i="9"/>
  <c r="K32" i="9"/>
  <c r="J32" i="9"/>
  <c r="I32" i="9"/>
  <c r="K31" i="9"/>
  <c r="J31" i="9"/>
  <c r="I31" i="9"/>
  <c r="K30" i="9"/>
  <c r="J30" i="9"/>
  <c r="I30" i="9"/>
  <c r="K29" i="9"/>
  <c r="J29" i="9"/>
  <c r="I29" i="9"/>
  <c r="K28" i="9"/>
  <c r="J28" i="9"/>
  <c r="I28" i="9"/>
  <c r="K27" i="9"/>
  <c r="J27" i="9"/>
  <c r="I27" i="9"/>
  <c r="K26" i="9"/>
  <c r="J26" i="9"/>
  <c r="I26" i="9"/>
  <c r="K25" i="9"/>
  <c r="J25" i="9"/>
  <c r="I25" i="9"/>
  <c r="K24" i="9"/>
  <c r="J24" i="9"/>
  <c r="I24" i="9"/>
  <c r="K23" i="9"/>
  <c r="J23" i="9"/>
  <c r="I23" i="9"/>
  <c r="K22" i="9"/>
  <c r="J22" i="9"/>
  <c r="I22" i="9"/>
  <c r="K21" i="9"/>
  <c r="J21" i="9"/>
  <c r="I21" i="9"/>
  <c r="K20" i="9"/>
  <c r="J20" i="9"/>
  <c r="I20" i="9"/>
  <c r="K19" i="9"/>
  <c r="J19" i="9"/>
  <c r="I19" i="9"/>
  <c r="K18" i="9"/>
  <c r="J18" i="9"/>
  <c r="I18" i="9"/>
  <c r="K17" i="9"/>
  <c r="J17" i="9"/>
  <c r="I17" i="9"/>
  <c r="K16" i="9"/>
  <c r="J16" i="9"/>
  <c r="I16" i="9"/>
  <c r="K15" i="9"/>
  <c r="J15" i="9"/>
  <c r="I15" i="9"/>
  <c r="K14" i="9"/>
  <c r="J14" i="9"/>
  <c r="I14" i="9"/>
  <c r="K13" i="9"/>
  <c r="J13" i="9"/>
  <c r="I13" i="9"/>
  <c r="K12" i="9"/>
  <c r="J12" i="9"/>
  <c r="I12" i="9"/>
  <c r="K11" i="9"/>
  <c r="J11" i="9"/>
  <c r="I11" i="9"/>
  <c r="K10" i="9"/>
  <c r="J10" i="9"/>
  <c r="I10" i="9"/>
  <c r="K9" i="9"/>
  <c r="J9" i="9"/>
  <c r="I9" i="9"/>
  <c r="K8" i="9"/>
  <c r="J8" i="9"/>
  <c r="I8" i="9"/>
  <c r="K7" i="9"/>
  <c r="J7" i="9"/>
  <c r="I7" i="9"/>
  <c r="K140" i="8"/>
  <c r="J140" i="8"/>
  <c r="I140" i="8"/>
  <c r="K139" i="8"/>
  <c r="J139" i="8"/>
  <c r="I139" i="8"/>
  <c r="K138" i="8"/>
  <c r="J138" i="8"/>
  <c r="I138" i="8"/>
  <c r="K137" i="8"/>
  <c r="J137" i="8"/>
  <c r="I137" i="8"/>
  <c r="K136" i="8"/>
  <c r="J136" i="8"/>
  <c r="I136" i="8"/>
  <c r="K131" i="8"/>
  <c r="J131" i="8"/>
  <c r="I131" i="8"/>
  <c r="K130" i="8"/>
  <c r="J130" i="8"/>
  <c r="I130" i="8"/>
  <c r="K129" i="8"/>
  <c r="J129" i="8"/>
  <c r="I129" i="8"/>
  <c r="K128" i="8"/>
  <c r="J128" i="8"/>
  <c r="I128" i="8"/>
  <c r="K127" i="8"/>
  <c r="J127" i="8"/>
  <c r="I127" i="8"/>
  <c r="K126" i="8"/>
  <c r="J126" i="8"/>
  <c r="I126" i="8"/>
  <c r="K121" i="8"/>
  <c r="J121" i="8"/>
  <c r="I121" i="8"/>
  <c r="K120" i="8"/>
  <c r="J120" i="8"/>
  <c r="I120" i="8"/>
  <c r="K119" i="8"/>
  <c r="J119" i="8"/>
  <c r="I119" i="8"/>
  <c r="K114" i="8"/>
  <c r="J114" i="8"/>
  <c r="I114" i="8"/>
  <c r="K67" i="8"/>
  <c r="J67" i="8"/>
  <c r="I67" i="8"/>
  <c r="K66" i="8"/>
  <c r="J66" i="8"/>
  <c r="I66" i="8"/>
  <c r="K65" i="8"/>
  <c r="J65" i="8"/>
  <c r="I65" i="8"/>
  <c r="K64" i="8"/>
  <c r="J64" i="8"/>
  <c r="I64" i="8"/>
  <c r="K63" i="8"/>
  <c r="J63" i="8"/>
  <c r="I63" i="8"/>
  <c r="K58" i="8"/>
  <c r="J58" i="8"/>
  <c r="I58" i="8"/>
  <c r="K57" i="8"/>
  <c r="J57" i="8"/>
  <c r="I57" i="8"/>
  <c r="K52" i="8"/>
  <c r="J52" i="8"/>
  <c r="I52" i="8"/>
  <c r="K51" i="8"/>
  <c r="J51" i="8"/>
  <c r="I51" i="8"/>
  <c r="K50" i="8"/>
  <c r="J50" i="8"/>
  <c r="I50" i="8"/>
  <c r="K49" i="8"/>
  <c r="J49" i="8"/>
  <c r="I49" i="8"/>
  <c r="K48" i="8"/>
  <c r="J48" i="8"/>
  <c r="I48" i="8"/>
  <c r="K47" i="8"/>
  <c r="J47" i="8"/>
  <c r="I47" i="8"/>
  <c r="K46" i="8"/>
  <c r="J46" i="8"/>
  <c r="I46" i="8"/>
  <c r="K45" i="8"/>
  <c r="J45" i="8"/>
  <c r="I45" i="8"/>
  <c r="K44" i="8"/>
  <c r="J44" i="8"/>
  <c r="I44" i="8"/>
  <c r="K43" i="8"/>
  <c r="J43" i="8"/>
  <c r="I43" i="8"/>
  <c r="K42" i="8"/>
  <c r="J42" i="8"/>
  <c r="I42" i="8"/>
  <c r="K41" i="8"/>
  <c r="J41" i="8"/>
  <c r="I41" i="8"/>
  <c r="K40" i="8"/>
  <c r="J40" i="8"/>
  <c r="I40" i="8"/>
  <c r="K39" i="8"/>
  <c r="J39" i="8"/>
  <c r="I39" i="8"/>
  <c r="K38" i="8"/>
  <c r="J38" i="8"/>
  <c r="I38" i="8"/>
  <c r="K37" i="8"/>
  <c r="J37" i="8"/>
  <c r="I37" i="8"/>
  <c r="K36" i="8"/>
  <c r="J36" i="8"/>
  <c r="I36" i="8"/>
  <c r="K35" i="8"/>
  <c r="J35" i="8"/>
  <c r="I35" i="8"/>
  <c r="K34" i="8"/>
  <c r="J34" i="8"/>
  <c r="I34" i="8"/>
  <c r="K33" i="8"/>
  <c r="J33" i="8"/>
  <c r="I33" i="8"/>
  <c r="K32" i="8"/>
  <c r="J32" i="8"/>
  <c r="I32" i="8"/>
  <c r="K27" i="8"/>
  <c r="J27" i="8"/>
  <c r="I27" i="8"/>
  <c r="K26" i="8"/>
  <c r="J26" i="8"/>
  <c r="I26" i="8"/>
  <c r="K25" i="8"/>
  <c r="J25" i="8"/>
  <c r="I25" i="8"/>
  <c r="K24" i="8"/>
  <c r="J24" i="8"/>
  <c r="I24" i="8"/>
  <c r="K23" i="8"/>
  <c r="J23" i="8"/>
  <c r="I23" i="8"/>
  <c r="K22" i="8"/>
  <c r="J22" i="8"/>
  <c r="I22" i="8"/>
  <c r="K21" i="8"/>
  <c r="J21" i="8"/>
  <c r="I21" i="8"/>
  <c r="K20" i="8"/>
  <c r="J20" i="8"/>
  <c r="I20" i="8"/>
  <c r="K19" i="8"/>
  <c r="J19" i="8"/>
  <c r="I19" i="8"/>
  <c r="K18" i="8"/>
  <c r="J18" i="8"/>
  <c r="I18" i="8"/>
  <c r="K17" i="8"/>
  <c r="J17" i="8"/>
  <c r="I17" i="8"/>
  <c r="K16" i="8"/>
  <c r="J16" i="8"/>
  <c r="I16" i="8"/>
  <c r="K15" i="8"/>
  <c r="J15" i="8"/>
  <c r="I15" i="8"/>
  <c r="K14" i="8"/>
  <c r="J14" i="8"/>
  <c r="I14" i="8"/>
  <c r="K13" i="8"/>
  <c r="J13" i="8"/>
  <c r="I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  <c r="K151" i="7"/>
  <c r="J151" i="7"/>
  <c r="I151" i="7"/>
  <c r="K150" i="7"/>
  <c r="J150" i="7"/>
  <c r="I150" i="7"/>
  <c r="K149" i="7"/>
  <c r="J149" i="7"/>
  <c r="I149" i="7"/>
  <c r="K148" i="7"/>
  <c r="J148" i="7"/>
  <c r="I148" i="7"/>
  <c r="K147" i="7"/>
  <c r="J147" i="7"/>
  <c r="I147" i="7"/>
  <c r="K146" i="7"/>
  <c r="J146" i="7"/>
  <c r="I146" i="7"/>
  <c r="K141" i="7"/>
  <c r="J141" i="7"/>
  <c r="I141" i="7"/>
  <c r="K140" i="7"/>
  <c r="J140" i="7"/>
  <c r="I140" i="7"/>
  <c r="K139" i="7"/>
  <c r="J139" i="7"/>
  <c r="I139" i="7"/>
  <c r="K134" i="7"/>
  <c r="J134" i="7"/>
  <c r="I134" i="7"/>
  <c r="K133" i="7"/>
  <c r="J133" i="7"/>
  <c r="I133" i="7"/>
  <c r="K132" i="7"/>
  <c r="J132" i="7"/>
  <c r="I132" i="7"/>
  <c r="K131" i="7"/>
  <c r="J131" i="7"/>
  <c r="I131" i="7"/>
  <c r="K130" i="7"/>
  <c r="J130" i="7"/>
  <c r="I130" i="7"/>
  <c r="K125" i="7"/>
  <c r="J125" i="7"/>
  <c r="I125" i="7"/>
  <c r="K124" i="7"/>
  <c r="J124" i="7"/>
  <c r="I124" i="7"/>
  <c r="K123" i="7"/>
  <c r="J123" i="7"/>
  <c r="I123" i="7"/>
  <c r="K122" i="7"/>
  <c r="J122" i="7"/>
  <c r="I122" i="7"/>
  <c r="K75" i="7"/>
  <c r="J75" i="7"/>
  <c r="I75" i="7"/>
  <c r="K74" i="7"/>
  <c r="J74" i="7"/>
  <c r="I74" i="7"/>
  <c r="K73" i="7"/>
  <c r="J73" i="7"/>
  <c r="I73" i="7"/>
  <c r="K72" i="7"/>
  <c r="J72" i="7"/>
  <c r="I72" i="7"/>
  <c r="K71" i="7"/>
  <c r="J71" i="7"/>
  <c r="I71" i="7"/>
  <c r="K70" i="7"/>
  <c r="J70" i="7"/>
  <c r="I70" i="7"/>
  <c r="K69" i="7"/>
  <c r="J69" i="7"/>
  <c r="I69" i="7"/>
  <c r="K68" i="7"/>
  <c r="J68" i="7"/>
  <c r="I68" i="7"/>
  <c r="K67" i="7"/>
  <c r="J67" i="7"/>
  <c r="I67" i="7"/>
  <c r="K66" i="7"/>
  <c r="J66" i="7"/>
  <c r="I66" i="7"/>
  <c r="K61" i="7"/>
  <c r="J61" i="7"/>
  <c r="I61" i="7"/>
  <c r="K60" i="7"/>
  <c r="J60" i="7"/>
  <c r="I60" i="7"/>
  <c r="K59" i="7"/>
  <c r="J59" i="7"/>
  <c r="I59" i="7"/>
  <c r="K58" i="7"/>
  <c r="J58" i="7"/>
  <c r="I58" i="7"/>
  <c r="K57" i="7"/>
  <c r="J57" i="7"/>
  <c r="I57" i="7"/>
  <c r="K52" i="7"/>
  <c r="J52" i="7"/>
  <c r="I52" i="7"/>
  <c r="K51" i="7"/>
  <c r="J51" i="7"/>
  <c r="I51" i="7"/>
  <c r="K50" i="7"/>
  <c r="J50" i="7"/>
  <c r="I50" i="7"/>
  <c r="K49" i="7"/>
  <c r="J49" i="7"/>
  <c r="I49" i="7"/>
  <c r="K48" i="7"/>
  <c r="J48" i="7"/>
  <c r="I48" i="7"/>
  <c r="K47" i="7"/>
  <c r="J47" i="7"/>
  <c r="I47" i="7"/>
  <c r="K46" i="7"/>
  <c r="J46" i="7"/>
  <c r="I46" i="7"/>
  <c r="K45" i="7"/>
  <c r="J45" i="7"/>
  <c r="I45" i="7"/>
  <c r="K44" i="7"/>
  <c r="J44" i="7"/>
  <c r="I44" i="7"/>
  <c r="K39" i="7"/>
  <c r="J39" i="7"/>
  <c r="I39" i="7"/>
  <c r="K38" i="7"/>
  <c r="J38" i="7"/>
  <c r="I38" i="7"/>
  <c r="K37" i="7"/>
  <c r="J37" i="7"/>
  <c r="I37" i="7"/>
  <c r="K36" i="7"/>
  <c r="J36" i="7"/>
  <c r="I36" i="7"/>
  <c r="K35" i="7"/>
  <c r="J35" i="7"/>
  <c r="I35" i="7"/>
  <c r="K34" i="7"/>
  <c r="J34" i="7"/>
  <c r="I34" i="7"/>
  <c r="K33" i="7"/>
  <c r="J33" i="7"/>
  <c r="I33" i="7"/>
  <c r="K32" i="7"/>
  <c r="J32" i="7"/>
  <c r="I32" i="7"/>
  <c r="K31" i="7"/>
  <c r="J31" i="7"/>
  <c r="I31" i="7"/>
  <c r="K30" i="7"/>
  <c r="J30" i="7"/>
  <c r="I30" i="7"/>
  <c r="K29" i="7"/>
  <c r="J29" i="7"/>
  <c r="I29" i="7"/>
  <c r="K28" i="7"/>
  <c r="J28" i="7"/>
  <c r="I28" i="7"/>
  <c r="K27" i="7"/>
  <c r="J27" i="7"/>
  <c r="I27" i="7"/>
  <c r="K26" i="7"/>
  <c r="J26" i="7"/>
  <c r="I26" i="7"/>
  <c r="K25" i="7"/>
  <c r="J25" i="7"/>
  <c r="I25" i="7"/>
  <c r="K24" i="7"/>
  <c r="J24" i="7"/>
  <c r="I24" i="7"/>
  <c r="K23" i="7"/>
  <c r="J23" i="7"/>
  <c r="I23" i="7"/>
  <c r="K22" i="7"/>
  <c r="J22" i="7"/>
  <c r="I22" i="7"/>
  <c r="K21" i="7"/>
  <c r="J21" i="7"/>
  <c r="I21" i="7"/>
  <c r="K20" i="7"/>
  <c r="J20" i="7"/>
  <c r="I20" i="7"/>
  <c r="K19" i="7"/>
  <c r="J19" i="7"/>
  <c r="I19" i="7"/>
  <c r="K18" i="7"/>
  <c r="J18" i="7"/>
  <c r="I18" i="7"/>
  <c r="K17" i="7"/>
  <c r="J17" i="7"/>
  <c r="I17" i="7"/>
  <c r="K16" i="7"/>
  <c r="J16" i="7"/>
  <c r="I16" i="7"/>
  <c r="K15" i="7"/>
  <c r="J15" i="7"/>
  <c r="I15" i="7"/>
  <c r="K14" i="7"/>
  <c r="J14" i="7"/>
  <c r="I14" i="7"/>
  <c r="K13" i="7"/>
  <c r="J13" i="7"/>
  <c r="I13" i="7"/>
  <c r="K12" i="7"/>
  <c r="J12" i="7"/>
  <c r="I12" i="7"/>
  <c r="K11" i="7"/>
  <c r="J11" i="7"/>
  <c r="I11" i="7"/>
  <c r="K10" i="7"/>
  <c r="J10" i="7"/>
  <c r="I10" i="7"/>
  <c r="K9" i="7"/>
  <c r="J9" i="7"/>
  <c r="I9" i="7"/>
  <c r="K8" i="7"/>
  <c r="J8" i="7"/>
  <c r="I8" i="7"/>
  <c r="K7" i="7"/>
  <c r="J7" i="7"/>
  <c r="I7" i="7"/>
  <c r="K175" i="6"/>
  <c r="J175" i="6"/>
  <c r="I175" i="6"/>
  <c r="K174" i="6"/>
  <c r="J174" i="6"/>
  <c r="I174" i="6"/>
  <c r="K173" i="6"/>
  <c r="J173" i="6"/>
  <c r="I173" i="6"/>
  <c r="K172" i="6"/>
  <c r="J172" i="6"/>
  <c r="I172" i="6"/>
  <c r="K171" i="6"/>
  <c r="J171" i="6"/>
  <c r="I171" i="6"/>
  <c r="K170" i="6"/>
  <c r="J170" i="6"/>
  <c r="I170" i="6"/>
  <c r="K169" i="6"/>
  <c r="J169" i="6"/>
  <c r="I169" i="6"/>
  <c r="K168" i="6"/>
  <c r="J168" i="6"/>
  <c r="I168" i="6"/>
  <c r="K163" i="6"/>
  <c r="J163" i="6"/>
  <c r="I163" i="6"/>
  <c r="K162" i="6"/>
  <c r="J162" i="6"/>
  <c r="I162" i="6"/>
  <c r="K161" i="6"/>
  <c r="J161" i="6"/>
  <c r="I161" i="6"/>
  <c r="K160" i="6"/>
  <c r="J160" i="6"/>
  <c r="I160" i="6"/>
  <c r="K159" i="6"/>
  <c r="J159" i="6"/>
  <c r="I159" i="6"/>
  <c r="K158" i="6"/>
  <c r="J158" i="6"/>
  <c r="I158" i="6"/>
  <c r="K157" i="6"/>
  <c r="J157" i="6"/>
  <c r="I157" i="6"/>
  <c r="K156" i="6"/>
  <c r="J156" i="6"/>
  <c r="I156" i="6"/>
  <c r="K155" i="6"/>
  <c r="J155" i="6"/>
  <c r="I155" i="6"/>
  <c r="K154" i="6"/>
  <c r="J154" i="6"/>
  <c r="I154" i="6"/>
  <c r="K149" i="6"/>
  <c r="J149" i="6"/>
  <c r="I149" i="6"/>
  <c r="K148" i="6"/>
  <c r="J148" i="6"/>
  <c r="I148" i="6"/>
  <c r="K147" i="6"/>
  <c r="J147" i="6"/>
  <c r="I147" i="6"/>
  <c r="K142" i="6"/>
  <c r="J142" i="6"/>
  <c r="I142" i="6"/>
  <c r="K141" i="6"/>
  <c r="J141" i="6"/>
  <c r="I141" i="6"/>
  <c r="K140" i="6"/>
  <c r="J140" i="6"/>
  <c r="I140" i="6"/>
  <c r="K139" i="6"/>
  <c r="J139" i="6"/>
  <c r="I139" i="6"/>
  <c r="K138" i="6"/>
  <c r="J138" i="6"/>
  <c r="I138" i="6"/>
  <c r="K137" i="6"/>
  <c r="J137" i="6"/>
  <c r="I137" i="6"/>
  <c r="K90" i="6"/>
  <c r="J90" i="6"/>
  <c r="I90" i="6"/>
  <c r="K89" i="6"/>
  <c r="J89" i="6"/>
  <c r="I89" i="6"/>
  <c r="K88" i="6"/>
  <c r="J88" i="6"/>
  <c r="I88" i="6"/>
  <c r="K87" i="6"/>
  <c r="J87" i="6"/>
  <c r="I87" i="6"/>
  <c r="K86" i="6"/>
  <c r="J86" i="6"/>
  <c r="I86" i="6"/>
  <c r="K85" i="6"/>
  <c r="J85" i="6"/>
  <c r="I85" i="6"/>
  <c r="K84" i="6"/>
  <c r="J84" i="6"/>
  <c r="I84" i="6"/>
  <c r="K83" i="6"/>
  <c r="J83" i="6"/>
  <c r="I83" i="6"/>
  <c r="K82" i="6"/>
  <c r="J82" i="6"/>
  <c r="I82" i="6"/>
  <c r="K81" i="6"/>
  <c r="J81" i="6"/>
  <c r="I81" i="6"/>
  <c r="K80" i="6"/>
  <c r="J80" i="6"/>
  <c r="I80" i="6"/>
  <c r="K79" i="6"/>
  <c r="J79" i="6"/>
  <c r="I79" i="6"/>
  <c r="K78" i="6"/>
  <c r="J78" i="6"/>
  <c r="I78" i="6"/>
  <c r="K77" i="6"/>
  <c r="J77" i="6"/>
  <c r="I77" i="6"/>
  <c r="K76" i="6"/>
  <c r="J76" i="6"/>
  <c r="I76" i="6"/>
  <c r="K75" i="6"/>
  <c r="J75" i="6"/>
  <c r="I75" i="6"/>
  <c r="K74" i="6"/>
  <c r="J74" i="6"/>
  <c r="I74" i="6"/>
  <c r="K73" i="6"/>
  <c r="J73" i="6"/>
  <c r="I73" i="6"/>
  <c r="K68" i="6"/>
  <c r="J68" i="6"/>
  <c r="I68" i="6"/>
  <c r="K67" i="6"/>
  <c r="J67" i="6"/>
  <c r="I67" i="6"/>
  <c r="K66" i="6"/>
  <c r="J66" i="6"/>
  <c r="I66" i="6"/>
  <c r="K65" i="6"/>
  <c r="J65" i="6"/>
  <c r="I65" i="6"/>
  <c r="K64" i="6"/>
  <c r="J64" i="6"/>
  <c r="I64" i="6"/>
  <c r="K63" i="6"/>
  <c r="J63" i="6"/>
  <c r="I63" i="6"/>
  <c r="K62" i="6"/>
  <c r="J62" i="6"/>
  <c r="I62" i="6"/>
  <c r="K57" i="6"/>
  <c r="J57" i="6"/>
  <c r="I57" i="6"/>
  <c r="K56" i="6"/>
  <c r="J56" i="6"/>
  <c r="I56" i="6"/>
  <c r="K55" i="6"/>
  <c r="J55" i="6"/>
  <c r="I55" i="6"/>
  <c r="K54" i="6"/>
  <c r="J54" i="6"/>
  <c r="I54" i="6"/>
  <c r="K53" i="6"/>
  <c r="J53" i="6"/>
  <c r="I53" i="6"/>
  <c r="K52" i="6"/>
  <c r="J52" i="6"/>
  <c r="I52" i="6"/>
  <c r="K51" i="6"/>
  <c r="J51" i="6"/>
  <c r="I51" i="6"/>
  <c r="K50" i="6"/>
  <c r="J50" i="6"/>
  <c r="I50" i="6"/>
  <c r="K49" i="6"/>
  <c r="J49" i="6"/>
  <c r="I49" i="6"/>
  <c r="K48" i="6"/>
  <c r="J48" i="6"/>
  <c r="I48" i="6"/>
  <c r="K47" i="6"/>
  <c r="J47" i="6"/>
  <c r="I47" i="6"/>
  <c r="K46" i="6"/>
  <c r="J46" i="6"/>
  <c r="I46" i="6"/>
  <c r="K45" i="6"/>
  <c r="J45" i="6"/>
  <c r="I45" i="6"/>
  <c r="K44" i="6"/>
  <c r="J44" i="6"/>
  <c r="I44" i="6"/>
  <c r="K43" i="6"/>
  <c r="J43" i="6"/>
  <c r="I43" i="6"/>
  <c r="K42" i="6"/>
  <c r="J42" i="6"/>
  <c r="I42" i="6"/>
  <c r="K41" i="6"/>
  <c r="J41" i="6"/>
  <c r="I41" i="6"/>
  <c r="K40" i="6"/>
  <c r="J40" i="6"/>
  <c r="I40" i="6"/>
  <c r="K39" i="6"/>
  <c r="J39" i="6"/>
  <c r="I39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K22" i="6"/>
  <c r="J22" i="6"/>
  <c r="I22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K9" i="6"/>
  <c r="J9" i="6"/>
  <c r="I9" i="6"/>
  <c r="K8" i="6"/>
  <c r="J8" i="6"/>
  <c r="I8" i="6"/>
  <c r="K7" i="6"/>
  <c r="J7" i="6"/>
  <c r="I7" i="6"/>
  <c r="K121" i="5"/>
  <c r="J121" i="5"/>
  <c r="I121" i="5"/>
  <c r="K120" i="5"/>
  <c r="J120" i="5"/>
  <c r="I120" i="5"/>
  <c r="K119" i="5"/>
  <c r="J119" i="5"/>
  <c r="I119" i="5"/>
  <c r="K118" i="5"/>
  <c r="J118" i="5"/>
  <c r="I118" i="5"/>
  <c r="K117" i="5"/>
  <c r="J117" i="5"/>
  <c r="I117" i="5"/>
  <c r="K116" i="5"/>
  <c r="J116" i="5"/>
  <c r="I116" i="5"/>
  <c r="K115" i="5"/>
  <c r="J115" i="5"/>
  <c r="I115" i="5"/>
  <c r="K114" i="5"/>
  <c r="J114" i="5"/>
  <c r="I114" i="5"/>
  <c r="K105" i="5"/>
  <c r="J105" i="5"/>
  <c r="I105" i="5"/>
  <c r="K104" i="5"/>
  <c r="J104" i="5"/>
  <c r="I104" i="5"/>
  <c r="K53" i="5"/>
  <c r="J53" i="5"/>
  <c r="I53" i="5"/>
  <c r="K52" i="5"/>
  <c r="J52" i="5"/>
  <c r="I52" i="5"/>
  <c r="K51" i="5"/>
  <c r="J51" i="5"/>
  <c r="I51" i="5"/>
  <c r="K50" i="5"/>
  <c r="J50" i="5"/>
  <c r="I50" i="5"/>
  <c r="K49" i="5"/>
  <c r="J49" i="5"/>
  <c r="I49" i="5"/>
  <c r="K48" i="5"/>
  <c r="J48" i="5"/>
  <c r="I48" i="5"/>
  <c r="K47" i="5"/>
  <c r="J47" i="5"/>
  <c r="I47" i="5"/>
  <c r="K46" i="5"/>
  <c r="J46" i="5"/>
  <c r="I46" i="5"/>
  <c r="K45" i="5"/>
  <c r="J45" i="5"/>
  <c r="I45" i="5"/>
  <c r="K44" i="5"/>
  <c r="J44" i="5"/>
  <c r="I44" i="5"/>
  <c r="K43" i="5"/>
  <c r="J43" i="5"/>
  <c r="I43" i="5"/>
  <c r="K42" i="5"/>
  <c r="J42" i="5"/>
  <c r="I42" i="5"/>
  <c r="K41" i="5"/>
  <c r="J41" i="5"/>
  <c r="I41" i="5"/>
  <c r="K40" i="5"/>
  <c r="J40" i="5"/>
  <c r="I40" i="5"/>
  <c r="K39" i="5"/>
  <c r="J39" i="5"/>
  <c r="I39" i="5"/>
  <c r="K38" i="5"/>
  <c r="J38" i="5"/>
  <c r="I38" i="5"/>
  <c r="K37" i="5"/>
  <c r="J37" i="5"/>
  <c r="I37" i="5"/>
  <c r="K36" i="5"/>
  <c r="J36" i="5"/>
  <c r="I36" i="5"/>
  <c r="K35" i="5"/>
  <c r="J35" i="5"/>
  <c r="I35" i="5"/>
  <c r="K34" i="5"/>
  <c r="J34" i="5"/>
  <c r="I34" i="5"/>
  <c r="K29" i="5"/>
  <c r="J29" i="5"/>
  <c r="I29" i="5"/>
  <c r="K28" i="5"/>
  <c r="J28" i="5"/>
  <c r="I28" i="5"/>
  <c r="K23" i="5"/>
  <c r="J23" i="5"/>
  <c r="I23" i="5"/>
  <c r="K22" i="5"/>
  <c r="J22" i="5"/>
  <c r="I22" i="5"/>
  <c r="K21" i="5"/>
  <c r="J21" i="5"/>
  <c r="I21" i="5"/>
  <c r="K20" i="5"/>
  <c r="J20" i="5"/>
  <c r="I20" i="5"/>
  <c r="K19" i="5"/>
  <c r="J19" i="5"/>
  <c r="I19" i="5"/>
  <c r="K18" i="5"/>
  <c r="J18" i="5"/>
  <c r="I18" i="5"/>
  <c r="K13" i="5"/>
  <c r="J13" i="5"/>
  <c r="I13" i="5"/>
  <c r="K12" i="5"/>
  <c r="J12" i="5"/>
  <c r="I12" i="5"/>
  <c r="K11" i="5"/>
  <c r="J11" i="5"/>
  <c r="I11" i="5"/>
  <c r="K10" i="5"/>
  <c r="J10" i="5"/>
  <c r="I10" i="5"/>
  <c r="K9" i="5"/>
  <c r="J9" i="5"/>
  <c r="I9" i="5"/>
  <c r="K8" i="5"/>
  <c r="J8" i="5"/>
  <c r="I8" i="5"/>
  <c r="K7" i="5"/>
  <c r="J7" i="5"/>
  <c r="I7" i="5"/>
  <c r="K163" i="4"/>
  <c r="J163" i="4"/>
  <c r="I163" i="4"/>
  <c r="K162" i="4"/>
  <c r="J162" i="4"/>
  <c r="I162" i="4"/>
  <c r="K161" i="4"/>
  <c r="J161" i="4"/>
  <c r="I161" i="4"/>
  <c r="K160" i="4"/>
  <c r="J160" i="4"/>
  <c r="I160" i="4"/>
  <c r="K159" i="4"/>
  <c r="J159" i="4"/>
  <c r="I159" i="4"/>
  <c r="K158" i="4"/>
  <c r="J158" i="4"/>
  <c r="I158" i="4"/>
  <c r="K157" i="4"/>
  <c r="J157" i="4"/>
  <c r="I157" i="4"/>
  <c r="K156" i="4"/>
  <c r="J156" i="4"/>
  <c r="I156" i="4"/>
  <c r="K155" i="4"/>
  <c r="J155" i="4"/>
  <c r="I155" i="4"/>
  <c r="K154" i="4"/>
  <c r="J154" i="4"/>
  <c r="I154" i="4"/>
  <c r="K149" i="4"/>
  <c r="J149" i="4"/>
  <c r="I149" i="4"/>
  <c r="K148" i="4"/>
  <c r="J148" i="4"/>
  <c r="I148" i="4"/>
  <c r="K147" i="4"/>
  <c r="J147" i="4"/>
  <c r="I147" i="4"/>
  <c r="K142" i="4"/>
  <c r="J142" i="4"/>
  <c r="I142" i="4"/>
  <c r="K141" i="4"/>
  <c r="J141" i="4"/>
  <c r="I141" i="4"/>
  <c r="K140" i="4"/>
  <c r="J140" i="4"/>
  <c r="I140" i="4"/>
  <c r="K139" i="4"/>
  <c r="J139" i="4"/>
  <c r="I139" i="4"/>
  <c r="K138" i="4"/>
  <c r="J138" i="4"/>
  <c r="I138" i="4"/>
  <c r="K137" i="4"/>
  <c r="J137" i="4"/>
  <c r="I137" i="4"/>
  <c r="K136" i="4"/>
  <c r="J136" i="4"/>
  <c r="I136" i="4"/>
  <c r="K135" i="4"/>
  <c r="J135" i="4"/>
  <c r="I135" i="4"/>
  <c r="K134" i="4"/>
  <c r="J134" i="4"/>
  <c r="I134" i="4"/>
  <c r="K133" i="4"/>
  <c r="J133" i="4"/>
  <c r="I133" i="4"/>
  <c r="K132" i="4"/>
  <c r="J132" i="4"/>
  <c r="I132" i="4"/>
  <c r="K131" i="4"/>
  <c r="J131" i="4"/>
  <c r="I131" i="4"/>
  <c r="K130" i="4"/>
  <c r="J130" i="4"/>
  <c r="I130" i="4"/>
  <c r="K129" i="4"/>
  <c r="J129" i="4"/>
  <c r="I129" i="4"/>
  <c r="K128" i="4"/>
  <c r="J128" i="4"/>
  <c r="I128" i="4"/>
  <c r="K123" i="4"/>
  <c r="J123" i="4"/>
  <c r="I123" i="4"/>
  <c r="K122" i="4"/>
  <c r="J122" i="4"/>
  <c r="I122" i="4"/>
  <c r="K121" i="4"/>
  <c r="J121" i="4"/>
  <c r="I121" i="4"/>
  <c r="K120" i="4"/>
  <c r="J120" i="4"/>
  <c r="I120" i="4"/>
  <c r="K119" i="4"/>
  <c r="J119" i="4"/>
  <c r="I119" i="4"/>
  <c r="K118" i="4"/>
  <c r="J118" i="4"/>
  <c r="I118" i="4"/>
  <c r="K71" i="4"/>
  <c r="J71" i="4"/>
  <c r="I71" i="4"/>
  <c r="K70" i="4"/>
  <c r="J70" i="4"/>
  <c r="I70" i="4"/>
  <c r="K69" i="4"/>
  <c r="J69" i="4"/>
  <c r="I69" i="4"/>
  <c r="K64" i="4"/>
  <c r="J64" i="4"/>
  <c r="I64" i="4"/>
  <c r="K63" i="4"/>
  <c r="J63" i="4"/>
  <c r="I63" i="4"/>
  <c r="K62" i="4"/>
  <c r="J62" i="4"/>
  <c r="I62" i="4"/>
  <c r="K61" i="4"/>
  <c r="J61" i="4"/>
  <c r="I61" i="4"/>
  <c r="K60" i="4"/>
  <c r="J60" i="4"/>
  <c r="I60" i="4"/>
  <c r="K59" i="4"/>
  <c r="J59" i="4"/>
  <c r="I59" i="4"/>
  <c r="K58" i="4"/>
  <c r="J58" i="4"/>
  <c r="I58" i="4"/>
  <c r="K57" i="4"/>
  <c r="J57" i="4"/>
  <c r="I57" i="4"/>
  <c r="K52" i="4"/>
  <c r="J52" i="4"/>
  <c r="I52" i="4"/>
  <c r="K51" i="4"/>
  <c r="J51" i="4"/>
  <c r="I51" i="4"/>
  <c r="K50" i="4"/>
  <c r="J50" i="4"/>
  <c r="I50" i="4"/>
  <c r="K49" i="4"/>
  <c r="J49" i="4"/>
  <c r="I49" i="4"/>
  <c r="K48" i="4"/>
  <c r="J48" i="4"/>
  <c r="I48" i="4"/>
  <c r="K47" i="4"/>
  <c r="J47" i="4"/>
  <c r="I47" i="4"/>
  <c r="K46" i="4"/>
  <c r="J46" i="4"/>
  <c r="I46" i="4"/>
  <c r="K45" i="4"/>
  <c r="J45" i="4"/>
  <c r="I45" i="4"/>
  <c r="K44" i="4"/>
  <c r="J44" i="4"/>
  <c r="I44" i="4"/>
  <c r="K43" i="4"/>
  <c r="J43" i="4"/>
  <c r="I43" i="4"/>
  <c r="K38" i="4"/>
  <c r="J38" i="4"/>
  <c r="I38" i="4"/>
  <c r="K37" i="4"/>
  <c r="J37" i="4"/>
  <c r="I37" i="4"/>
  <c r="K36" i="4"/>
  <c r="J36" i="4"/>
  <c r="I36" i="4"/>
  <c r="K35" i="4"/>
  <c r="J35" i="4"/>
  <c r="I35" i="4"/>
  <c r="K34" i="4"/>
  <c r="J34" i="4"/>
  <c r="I34" i="4"/>
  <c r="K33" i="4"/>
  <c r="J33" i="4"/>
  <c r="I33" i="4"/>
  <c r="K32" i="4"/>
  <c r="J32" i="4"/>
  <c r="I32" i="4"/>
  <c r="K31" i="4"/>
  <c r="J31" i="4"/>
  <c r="I31" i="4"/>
  <c r="K30" i="4"/>
  <c r="J30" i="4"/>
  <c r="I30" i="4"/>
  <c r="K29" i="4"/>
  <c r="J29" i="4"/>
  <c r="I29" i="4"/>
  <c r="K28" i="4"/>
  <c r="J28" i="4"/>
  <c r="I28" i="4"/>
  <c r="K27" i="4"/>
  <c r="J27" i="4"/>
  <c r="I27" i="4"/>
  <c r="K26" i="4"/>
  <c r="J26" i="4"/>
  <c r="I26" i="4"/>
  <c r="K25" i="4"/>
  <c r="J25" i="4"/>
  <c r="I25" i="4"/>
  <c r="K24" i="4"/>
  <c r="J24" i="4"/>
  <c r="I24" i="4"/>
  <c r="K23" i="4"/>
  <c r="J23" i="4"/>
  <c r="I23" i="4"/>
  <c r="K22" i="4"/>
  <c r="J22" i="4"/>
  <c r="I22" i="4"/>
  <c r="K21" i="4"/>
  <c r="J21" i="4"/>
  <c r="I21" i="4"/>
  <c r="K20" i="4"/>
  <c r="J20" i="4"/>
  <c r="I20" i="4"/>
  <c r="K19" i="4"/>
  <c r="J19" i="4"/>
  <c r="I19" i="4"/>
  <c r="K18" i="4"/>
  <c r="J18" i="4"/>
  <c r="I18" i="4"/>
  <c r="K17" i="4"/>
  <c r="J17" i="4"/>
  <c r="I17" i="4"/>
  <c r="K16" i="4"/>
  <c r="J16" i="4"/>
  <c r="I16" i="4"/>
  <c r="K15" i="4"/>
  <c r="J15" i="4"/>
  <c r="I15" i="4"/>
  <c r="K14" i="4"/>
  <c r="J14" i="4"/>
  <c r="I14" i="4"/>
  <c r="K13" i="4"/>
  <c r="J13" i="4"/>
  <c r="I13" i="4"/>
  <c r="K12" i="4"/>
  <c r="J12" i="4"/>
  <c r="I12" i="4"/>
  <c r="K11" i="4"/>
  <c r="J11" i="4"/>
  <c r="I11" i="4"/>
  <c r="K10" i="4"/>
  <c r="J10" i="4"/>
  <c r="I10" i="4"/>
  <c r="K9" i="4"/>
  <c r="J9" i="4"/>
  <c r="I9" i="4"/>
  <c r="K8" i="4"/>
  <c r="J8" i="4"/>
  <c r="I8" i="4"/>
  <c r="K7" i="4"/>
  <c r="J7" i="4"/>
  <c r="I7" i="4"/>
  <c r="K168" i="3"/>
  <c r="J168" i="3"/>
  <c r="I168" i="3"/>
  <c r="K167" i="3"/>
  <c r="J167" i="3"/>
  <c r="I167" i="3"/>
  <c r="K166" i="3"/>
  <c r="J166" i="3"/>
  <c r="I166" i="3"/>
  <c r="K165" i="3"/>
  <c r="J165" i="3"/>
  <c r="I165" i="3"/>
  <c r="K164" i="3"/>
  <c r="J164" i="3"/>
  <c r="I164" i="3"/>
  <c r="K159" i="3"/>
  <c r="J159" i="3"/>
  <c r="I159" i="3"/>
  <c r="K158" i="3"/>
  <c r="J158" i="3"/>
  <c r="I158" i="3"/>
  <c r="K157" i="3"/>
  <c r="J157" i="3"/>
  <c r="I157" i="3"/>
  <c r="K156" i="3"/>
  <c r="J156" i="3"/>
  <c r="I156" i="3"/>
  <c r="K155" i="3"/>
  <c r="J155" i="3"/>
  <c r="I155" i="3"/>
  <c r="K154" i="3"/>
  <c r="J154" i="3"/>
  <c r="I154" i="3"/>
  <c r="K153" i="3"/>
  <c r="J153" i="3"/>
  <c r="I153" i="3"/>
  <c r="K152" i="3"/>
  <c r="J152" i="3"/>
  <c r="I152" i="3"/>
  <c r="K151" i="3"/>
  <c r="J151" i="3"/>
  <c r="I151" i="3"/>
  <c r="K150" i="3"/>
  <c r="J150" i="3"/>
  <c r="I150" i="3"/>
  <c r="K145" i="3"/>
  <c r="J145" i="3"/>
  <c r="I145" i="3"/>
  <c r="K144" i="3"/>
  <c r="J144" i="3"/>
  <c r="I144" i="3"/>
  <c r="K143" i="3"/>
  <c r="J143" i="3"/>
  <c r="I143" i="3"/>
  <c r="K138" i="3"/>
  <c r="J138" i="3"/>
  <c r="I138" i="3"/>
  <c r="K137" i="3"/>
  <c r="J137" i="3"/>
  <c r="I137" i="3"/>
  <c r="K136" i="3"/>
  <c r="J136" i="3"/>
  <c r="I136" i="3"/>
  <c r="K135" i="3"/>
  <c r="J135" i="3"/>
  <c r="I135" i="3"/>
  <c r="K134" i="3"/>
  <c r="J134" i="3"/>
  <c r="I134" i="3"/>
  <c r="K133" i="3"/>
  <c r="J133" i="3"/>
  <c r="I133" i="3"/>
  <c r="K132" i="3"/>
  <c r="J132" i="3"/>
  <c r="I132" i="3"/>
  <c r="K121" i="3"/>
  <c r="J121" i="3"/>
  <c r="I121" i="3"/>
  <c r="K94" i="3"/>
  <c r="J94" i="3"/>
  <c r="I94" i="3"/>
  <c r="K83" i="3"/>
  <c r="J83" i="3"/>
  <c r="I83" i="3"/>
  <c r="K82" i="3"/>
  <c r="J82" i="3"/>
  <c r="I82" i="3"/>
  <c r="K81" i="3"/>
  <c r="J81" i="3"/>
  <c r="I81" i="3"/>
  <c r="K80" i="3"/>
  <c r="J80" i="3"/>
  <c r="I80" i="3"/>
  <c r="K79" i="3"/>
  <c r="J79" i="3"/>
  <c r="I79" i="3"/>
  <c r="K78" i="3"/>
  <c r="J78" i="3"/>
  <c r="I78" i="3"/>
  <c r="K73" i="3"/>
  <c r="J73" i="3"/>
  <c r="I73" i="3"/>
  <c r="K68" i="3"/>
  <c r="J68" i="3"/>
  <c r="I68" i="3"/>
  <c r="K67" i="3"/>
  <c r="J67" i="3"/>
  <c r="I67" i="3"/>
  <c r="K66" i="3"/>
  <c r="J66" i="3"/>
  <c r="I66" i="3"/>
  <c r="K65" i="3"/>
  <c r="J65" i="3"/>
  <c r="I65" i="3"/>
  <c r="K64" i="3"/>
  <c r="J64" i="3"/>
  <c r="I64" i="3"/>
  <c r="K63" i="3"/>
  <c r="J63" i="3"/>
  <c r="I63" i="3"/>
  <c r="K62" i="3"/>
  <c r="J62" i="3"/>
  <c r="I62" i="3"/>
  <c r="K61" i="3"/>
  <c r="J61" i="3"/>
  <c r="I61" i="3"/>
  <c r="K60" i="3"/>
  <c r="J60" i="3"/>
  <c r="I60" i="3"/>
  <c r="K59" i="3"/>
  <c r="J59" i="3"/>
  <c r="I59" i="3"/>
  <c r="K58" i="3"/>
  <c r="J58" i="3"/>
  <c r="I58" i="3"/>
  <c r="K57" i="3"/>
  <c r="J57" i="3"/>
  <c r="I57" i="3"/>
  <c r="K56" i="3"/>
  <c r="J56" i="3"/>
  <c r="I56" i="3"/>
  <c r="K55" i="3"/>
  <c r="J55" i="3"/>
  <c r="I55" i="3"/>
  <c r="K54" i="3"/>
  <c r="J54" i="3"/>
  <c r="I54" i="3"/>
  <c r="K53" i="3"/>
  <c r="J53" i="3"/>
  <c r="I53" i="3"/>
  <c r="K52" i="3"/>
  <c r="J52" i="3"/>
  <c r="I52" i="3"/>
  <c r="K51" i="3"/>
  <c r="J51" i="3"/>
  <c r="I51" i="3"/>
  <c r="K50" i="3"/>
  <c r="J50" i="3"/>
  <c r="I50" i="3"/>
  <c r="K49" i="3"/>
  <c r="J49" i="3"/>
  <c r="I49" i="3"/>
  <c r="K44" i="3"/>
  <c r="J44" i="3"/>
  <c r="I44" i="3"/>
  <c r="K43" i="3"/>
  <c r="J43" i="3"/>
  <c r="I43" i="3"/>
  <c r="K42" i="3"/>
  <c r="J42" i="3"/>
  <c r="I42" i="3"/>
  <c r="K41" i="3"/>
  <c r="J41" i="3"/>
  <c r="I41" i="3"/>
  <c r="K40" i="3"/>
  <c r="J40" i="3"/>
  <c r="I40" i="3"/>
  <c r="K39" i="3"/>
  <c r="J39" i="3"/>
  <c r="I39" i="3"/>
  <c r="K38" i="3"/>
  <c r="J38" i="3"/>
  <c r="I38" i="3"/>
  <c r="K37" i="3"/>
  <c r="J37" i="3"/>
  <c r="I37" i="3"/>
  <c r="K36" i="3"/>
  <c r="J36" i="3"/>
  <c r="I36" i="3"/>
  <c r="K35" i="3"/>
  <c r="J35" i="3"/>
  <c r="I35" i="3"/>
  <c r="K34" i="3"/>
  <c r="J34" i="3"/>
  <c r="I34" i="3"/>
  <c r="K33" i="3"/>
  <c r="J33" i="3"/>
  <c r="I33" i="3"/>
  <c r="K32" i="3"/>
  <c r="J32" i="3"/>
  <c r="I32" i="3"/>
  <c r="K31" i="3"/>
  <c r="J31" i="3"/>
  <c r="I31" i="3"/>
  <c r="K30" i="3"/>
  <c r="J30" i="3"/>
  <c r="I30" i="3"/>
  <c r="K29" i="3"/>
  <c r="J29" i="3"/>
  <c r="I29" i="3"/>
  <c r="K28" i="3"/>
  <c r="J28" i="3"/>
  <c r="I28" i="3"/>
  <c r="K27" i="3"/>
  <c r="J27" i="3"/>
  <c r="I27" i="3"/>
  <c r="K26" i="3"/>
  <c r="J26" i="3"/>
  <c r="I26" i="3"/>
  <c r="K25" i="3"/>
  <c r="J25" i="3"/>
  <c r="I25" i="3"/>
  <c r="K24" i="3"/>
  <c r="J24" i="3"/>
  <c r="I24" i="3"/>
  <c r="K23" i="3"/>
  <c r="J23" i="3"/>
  <c r="I23" i="3"/>
  <c r="K22" i="3"/>
  <c r="J22" i="3"/>
  <c r="I22" i="3"/>
  <c r="K21" i="3"/>
  <c r="J21" i="3"/>
  <c r="I21" i="3"/>
  <c r="K20" i="3"/>
  <c r="J20" i="3"/>
  <c r="I20" i="3"/>
  <c r="K19" i="3"/>
  <c r="J19" i="3"/>
  <c r="I19" i="3"/>
  <c r="K18" i="3"/>
  <c r="J18" i="3"/>
  <c r="I18" i="3"/>
  <c r="K17" i="3"/>
  <c r="J17" i="3"/>
  <c r="I17" i="3"/>
  <c r="K16" i="3"/>
  <c r="J16" i="3"/>
  <c r="I16" i="3"/>
  <c r="K15" i="3"/>
  <c r="J15" i="3"/>
  <c r="I15" i="3"/>
  <c r="K14" i="3"/>
  <c r="J14" i="3"/>
  <c r="I14" i="3"/>
  <c r="K13" i="3"/>
  <c r="J13" i="3"/>
  <c r="I13" i="3"/>
  <c r="K12" i="3"/>
  <c r="J12" i="3"/>
  <c r="I12" i="3"/>
  <c r="K11" i="3"/>
  <c r="J11" i="3"/>
  <c r="I11" i="3"/>
  <c r="K10" i="3"/>
  <c r="J10" i="3"/>
  <c r="I10" i="3"/>
  <c r="K9" i="3"/>
  <c r="J9" i="3"/>
  <c r="I9" i="3"/>
  <c r="K8" i="3"/>
  <c r="J8" i="3"/>
  <c r="I8" i="3"/>
  <c r="K7" i="3"/>
  <c r="J7" i="3"/>
  <c r="I7" i="3"/>
  <c r="K215" i="2"/>
  <c r="J215" i="2"/>
  <c r="I215" i="2"/>
  <c r="K188" i="2"/>
  <c r="J188" i="2"/>
  <c r="I188" i="2"/>
  <c r="K181" i="2"/>
  <c r="J181" i="2"/>
  <c r="I181" i="2"/>
  <c r="K180" i="2"/>
  <c r="J180" i="2"/>
  <c r="I180" i="2"/>
  <c r="K179" i="2"/>
  <c r="J179" i="2"/>
  <c r="I179" i="2"/>
  <c r="K178" i="2"/>
  <c r="J178" i="2"/>
  <c r="I178" i="2"/>
  <c r="K177" i="2"/>
  <c r="J177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172" i="2"/>
  <c r="J172" i="2"/>
  <c r="I172" i="2"/>
  <c r="K167" i="2"/>
  <c r="J167" i="2"/>
  <c r="I167" i="2"/>
  <c r="K166" i="2"/>
  <c r="J166" i="2"/>
  <c r="I166" i="2"/>
  <c r="K165" i="2"/>
  <c r="J165" i="2"/>
  <c r="I165" i="2"/>
  <c r="K164" i="2"/>
  <c r="J164" i="2"/>
  <c r="I164" i="2"/>
  <c r="K163" i="2"/>
  <c r="J163" i="2"/>
  <c r="I163" i="2"/>
  <c r="K158" i="2"/>
  <c r="J158" i="2"/>
  <c r="I158" i="2"/>
  <c r="K157" i="2"/>
  <c r="J157" i="2"/>
  <c r="I157" i="2"/>
  <c r="K156" i="2"/>
  <c r="J156" i="2"/>
  <c r="I156" i="2"/>
  <c r="K155" i="2"/>
  <c r="J155" i="2"/>
  <c r="I155" i="2"/>
  <c r="K150" i="2"/>
  <c r="J150" i="2"/>
  <c r="I150" i="2"/>
  <c r="K149" i="2"/>
  <c r="J149" i="2"/>
  <c r="I149" i="2"/>
  <c r="K148" i="2"/>
  <c r="J148" i="2"/>
  <c r="I148" i="2"/>
  <c r="K147" i="2"/>
  <c r="J147" i="2"/>
  <c r="I147" i="2"/>
  <c r="K146" i="2"/>
  <c r="J146" i="2"/>
  <c r="I146" i="2"/>
  <c r="K145" i="2"/>
  <c r="J145" i="2"/>
  <c r="I145" i="2"/>
  <c r="K144" i="2"/>
  <c r="J144" i="2"/>
  <c r="I144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</calcChain>
</file>

<file path=xl/sharedStrings.xml><?xml version="1.0" encoding="utf-8"?>
<sst xmlns="http://schemas.openxmlformats.org/spreadsheetml/2006/main" count="4347" uniqueCount="621">
  <si>
    <t>TFs</t>
  </si>
  <si>
    <t>High Motif3 6</t>
  </si>
  <si>
    <t>Biological process</t>
  </si>
  <si>
    <t>610 common terms</t>
  </si>
  <si>
    <t>Subset at os pt</t>
  </si>
  <si>
    <t>Motif3 6</t>
  </si>
  <si>
    <t>#nodes/#edges</t>
  </si>
  <si>
    <t>GO term</t>
  </si>
  <si>
    <t>At</t>
  </si>
  <si>
    <t>Os</t>
  </si>
  <si>
    <t>Pt</t>
  </si>
  <si>
    <t>1 of 122</t>
  </si>
  <si>
    <t>P: GO:0009657: plastid organization</t>
  </si>
  <si>
    <t>2 of 122</t>
  </si>
  <si>
    <t>P: GO:0010200: response to chitin</t>
  </si>
  <si>
    <t>3 of 122</t>
  </si>
  <si>
    <t>P: GO:0010243: response to organic nitrogen</t>
  </si>
  <si>
    <t>4 of 122</t>
  </si>
  <si>
    <t>P: GO:0022621: shoot system development</t>
  </si>
  <si>
    <t>5 of 122</t>
  </si>
  <si>
    <t>P: GO:1901698: response to nitrogen compound</t>
  </si>
  <si>
    <t>6 of 122</t>
  </si>
  <si>
    <t>P: GO:0009887: organ morphogenesis</t>
  </si>
  <si>
    <t>7 of 122</t>
  </si>
  <si>
    <t>P: GO:0048367: shoot development</t>
  </si>
  <si>
    <t>8 of 122</t>
  </si>
  <si>
    <t>P: GO:0050793: regulation of developmental process</t>
  </si>
  <si>
    <t>9 of 122</t>
  </si>
  <si>
    <t>P: GO:0010016: shoot morphogenesis</t>
  </si>
  <si>
    <t>10 of 122</t>
  </si>
  <si>
    <t>P: GO:0035304: regulation of protein dephosphorylation</t>
  </si>
  <si>
    <t>11 of 122</t>
  </si>
  <si>
    <t>P: GO:0044085: cellular component biogenesis</t>
  </si>
  <si>
    <t>12 of 122</t>
  </si>
  <si>
    <t>P: GO:0002376: immune system process</t>
  </si>
  <si>
    <t>13 of 122</t>
  </si>
  <si>
    <t>P: GO:0051246: regulation of protein metabolic process</t>
  </si>
  <si>
    <t>14 of 122</t>
  </si>
  <si>
    <t>P: GO:0035303: regulation of dephosphorylation</t>
  </si>
  <si>
    <t>15 of 122</t>
  </si>
  <si>
    <t>P: GO:0009620: response to fungus</t>
  </si>
  <si>
    <t>16 of 122</t>
  </si>
  <si>
    <t>P: GO:0009814: defense response, incompatible interaction</t>
  </si>
  <si>
    <t>17 of 122</t>
  </si>
  <si>
    <t>P: GO:0072330: monocarboxylic acid biosynthetic process</t>
  </si>
  <si>
    <t>Conserved:</t>
  </si>
  <si>
    <t xml:space="preserve"> 17 terms P = 0.0000 (0/10000) Rand. median: 5</t>
  </si>
  <si>
    <t>High at os pt</t>
  </si>
  <si>
    <t>Subset at pt</t>
  </si>
  <si>
    <t>P: GO:0010628: positive regulation of gene expression</t>
  </si>
  <si>
    <t>P: GO:0032268: regulation of cellular protein metabolic process</t>
  </si>
  <si>
    <t>P: GO:0045935: positive regulation of nucleobase-containing compound metabolic process</t>
  </si>
  <si>
    <t>P: GO:0051254: positive regulation of RNA metabolic process</t>
  </si>
  <si>
    <t>P: GO:0051173: positive regulation of nitrogen compound metabolic process</t>
  </si>
  <si>
    <t>P: GO:1901701: cellular response to oxygen-containing compound</t>
  </si>
  <si>
    <t>P: GO:0010604: positive regulation of macromolecule metabolic process</t>
  </si>
  <si>
    <t>P: GO:0010557: positive regulation of macromolecule biosynthetic process</t>
  </si>
  <si>
    <t>P: GO:0045893: positive regulation of transcription, DNA-dependent</t>
  </si>
  <si>
    <t>P: GO:0035556: intracellular signal transduction</t>
  </si>
  <si>
    <t>P: GO:0009965: leaf morphogenesis</t>
  </si>
  <si>
    <t>P: GO:0009668: plastid membrane organization</t>
  </si>
  <si>
    <t>P: GO:0022607: cellular component assembly</t>
  </si>
  <si>
    <t>P: GO:0045087: innate immune response</t>
  </si>
  <si>
    <t>P: GO:0014070: response to organic cyclic compound</t>
  </si>
  <si>
    <t>P: GO:0002679: respiratory burst involved in defense response</t>
  </si>
  <si>
    <t>P: GO:0048366: leaf development</t>
  </si>
  <si>
    <t>18 of 122</t>
  </si>
  <si>
    <t>P: GO:0048522: positive regulation of cellular process</t>
  </si>
  <si>
    <t>19 of 122</t>
  </si>
  <si>
    <t>P: GO:0010035: response to inorganic substance</t>
  </si>
  <si>
    <t>20 of 122</t>
  </si>
  <si>
    <t>P: GO:0009617: response to bacterium</t>
  </si>
  <si>
    <t>21 of 122</t>
  </si>
  <si>
    <t>P: GO:0010027: thylakoid membrane organization</t>
  </si>
  <si>
    <t>22 of 122</t>
  </si>
  <si>
    <t>P: GO:0031328: positive regulation of cellular biosynthetic process</t>
  </si>
  <si>
    <t>23 of 122</t>
  </si>
  <si>
    <t>P: GO:0032870: cellular response to hormone stimulus</t>
  </si>
  <si>
    <t>24 of 122</t>
  </si>
  <si>
    <t>P: GO:0009891: positive regulation of biosynthetic process</t>
  </si>
  <si>
    <t>25 of 122</t>
  </si>
  <si>
    <t>P: GO:0045088: regulation of innate immune response</t>
  </si>
  <si>
    <t>26 of 122</t>
  </si>
  <si>
    <t>P: GO:0071495: cellular response to endogenous stimulus</t>
  </si>
  <si>
    <t>27 of 122</t>
  </si>
  <si>
    <t>P: GO:0010363: regulation of plant-type hypersensitive response</t>
  </si>
  <si>
    <t>28 of 122</t>
  </si>
  <si>
    <t>P: GO:0016044: cellular membrane organization</t>
  </si>
  <si>
    <t>29 of 122</t>
  </si>
  <si>
    <t>P: GO:0048827: phyllome development</t>
  </si>
  <si>
    <t>30 of 122</t>
  </si>
  <si>
    <t>P: GO:0045184: establishment of protein localization</t>
  </si>
  <si>
    <t>31 of 122</t>
  </si>
  <si>
    <t>P: GO:0009863: salicylic acid mediated signaling pathway</t>
  </si>
  <si>
    <t>32 of 122</t>
  </si>
  <si>
    <t>P: GO:0009753: response to jasmonic acid stimulus</t>
  </si>
  <si>
    <t>33 of 122</t>
  </si>
  <si>
    <t>P: GO:0048585: negative regulation of response to stimulus</t>
  </si>
  <si>
    <t>34 of 122</t>
  </si>
  <si>
    <t>P: GO:0009893: positive regulation of metabolic process</t>
  </si>
  <si>
    <t>35 of 122</t>
  </si>
  <si>
    <t>P: GO:0006886: intracellular protein transport</t>
  </si>
  <si>
    <t>36 of 122</t>
  </si>
  <si>
    <t>P: GO:0061024: membrane organization</t>
  </si>
  <si>
    <t>37 of 122</t>
  </si>
  <si>
    <t>P: GO:0033036: macromolecule localization</t>
  </si>
  <si>
    <t>38 of 122</t>
  </si>
  <si>
    <t>P: GO:0007243: intracellular protein kinase cascade</t>
  </si>
  <si>
    <t xml:space="preserve"> 38 terms P = 0.0000 (0/10000) Rand. median: 14</t>
  </si>
  <si>
    <t>High at pt</t>
  </si>
  <si>
    <t>Subset at os</t>
  </si>
  <si>
    <t>P: GO:0009908: flower development</t>
  </si>
  <si>
    <t>P: GO:2000026: regulation of multicellular organismal development</t>
  </si>
  <si>
    <t>P: GO:0051239: regulation of multicellular organismal process</t>
  </si>
  <si>
    <t>P: GO:0009751: response to salicylic acid stimulus</t>
  </si>
  <si>
    <t>P: GO:0031347: regulation of defense response</t>
  </si>
  <si>
    <t>P: GO:0009909: regulation of flower development</t>
  </si>
  <si>
    <t xml:space="preserve"> 6 terms P = 0.9991 (9991/10000) Rand. median: 14</t>
  </si>
  <si>
    <t>High at os</t>
  </si>
  <si>
    <t>Subset os pt</t>
  </si>
  <si>
    <t>P: GO:0051301: cell division</t>
  </si>
  <si>
    <t>P: GO:0048437: floral organ development</t>
  </si>
  <si>
    <t>P: GO:0030154: cell differentiation</t>
  </si>
  <si>
    <t>P: GO:0048507: meristem development</t>
  </si>
  <si>
    <t>P: GO:0048869: cellular developmental process</t>
  </si>
  <si>
    <t>P: GO:0019438: aromatic compound biosynthetic process</t>
  </si>
  <si>
    <t>P: GO:1901362: organic cyclic compound biosynthetic process</t>
  </si>
  <si>
    <t>P: GO:0009888: tissue development</t>
  </si>
  <si>
    <t>P: GO:0051186: cofactor metabolic process</t>
  </si>
  <si>
    <t>P: GO:0007049: cell cycle</t>
  </si>
  <si>
    <t>P: GO:0051276: chromosome organization</t>
  </si>
  <si>
    <t>P: GO:0031399: regulation of protein modification process</t>
  </si>
  <si>
    <t>P: GO:0006091: generation of precursor metabolites and energy</t>
  </si>
  <si>
    <t>P: GO:0046148: pigment biosynthetic process</t>
  </si>
  <si>
    <t>P: GO:0048438: floral whorl development</t>
  </si>
  <si>
    <t>P: GO:0048449: floral organ formation</t>
  </si>
  <si>
    <t>P: GO:0010073: meristem maintenance</t>
  </si>
  <si>
    <t>P: GO:0000910: cytokinesis</t>
  </si>
  <si>
    <t xml:space="preserve"> 18 terms P = 0.1780 (1780/10000) Rand. median: 14</t>
  </si>
  <si>
    <t>High os pt</t>
  </si>
  <si>
    <t>Molecular function</t>
  </si>
  <si>
    <t>11 common terms</t>
  </si>
  <si>
    <t xml:space="preserve"> 0 terms P = 1.0000 (10000/10000) Rand. median: 0</t>
  </si>
  <si>
    <t>Cellular compartment</t>
  </si>
  <si>
    <t>19 common terms</t>
  </si>
  <si>
    <t>Low Motif3 6</t>
  </si>
  <si>
    <t>P: GO:0009699: phenylpropanoid biosynthetic process</t>
  </si>
  <si>
    <t>P: GO:0009615: response to virus</t>
  </si>
  <si>
    <t>P: GO:0009741: response to brassinosteroid stimulus</t>
  </si>
  <si>
    <t>P: GO:0009812: flavonoid metabolic process</t>
  </si>
  <si>
    <t>P: GO:0009813: flavonoid biosynthetic process</t>
  </si>
  <si>
    <t>P: GO:0071368: cellular response to cytokinin stimulus</t>
  </si>
  <si>
    <t>P: GO:0009736: cytokinin mediated signaling pathway</t>
  </si>
  <si>
    <t xml:space="preserve"> 7 terms P = 0.2120 (2120/10000) Rand. median: 5</t>
  </si>
  <si>
    <t>Low at os pt</t>
  </si>
  <si>
    <t>P: GO:0072329: monocarboxylic acid catabolic process</t>
  </si>
  <si>
    <t>P: GO:0016042: lipid catabolic process</t>
  </si>
  <si>
    <t>P: GO:0044242: cellular lipid catabolic process</t>
  </si>
  <si>
    <t>P: GO:0009062: fatty acid catabolic process</t>
  </si>
  <si>
    <t xml:space="preserve"> 4 terms P = 1.0000 (10000/10000) Rand. median: 17</t>
  </si>
  <si>
    <t>Low at pt</t>
  </si>
  <si>
    <t>P: GO:0048767: root hair elongation</t>
  </si>
  <si>
    <t>P: GO:0048193: Golgi vesicle transport</t>
  </si>
  <si>
    <t>P: GO:0000303: response to superoxide</t>
  </si>
  <si>
    <t>P: GO:0010029: regulation of seed germination</t>
  </si>
  <si>
    <t>P: GO:1900140: regulation of seedling development</t>
  </si>
  <si>
    <t xml:space="preserve"> 5 terms P = 1.0000 (10000/10000) Rand. median: 17</t>
  </si>
  <si>
    <t>Low at os</t>
  </si>
  <si>
    <t>P: GO:0048229: gametophyte development</t>
  </si>
  <si>
    <t>P: GO:2000762: regulation of phenylpropanoid metabolic process</t>
  </si>
  <si>
    <t>P: GO:0051093: negative regulation of developmental process</t>
  </si>
  <si>
    <t>P: GO:0007267: cell-cell signaling</t>
  </si>
  <si>
    <t>P: GO:0051817: modification of morphology or physiology of other organism involved in symbiotic interaction</t>
  </si>
  <si>
    <t>P: GO:0044403: symbiosis, encompassing mutualism through parasitism</t>
  </si>
  <si>
    <t>P: GO:0009740: gibberellic acid mediated signaling pathway</t>
  </si>
  <si>
    <t>P: GO:0009739: response to gibberellin stimulus</t>
  </si>
  <si>
    <t>P: GO:0010476: gibberellin mediated signaling pathway</t>
  </si>
  <si>
    <t>P: GO:0071370: cellular response to gibberellin stimulus</t>
  </si>
  <si>
    <t xml:space="preserve"> 10 terms P = 0.9911 (9911/10000) Rand. median: 17</t>
  </si>
  <si>
    <t>Low os pt</t>
  </si>
  <si>
    <t>1 of 2</t>
  </si>
  <si>
    <t>M: GO:0042803: protein homodimerization activity</t>
  </si>
  <si>
    <t xml:space="preserve"> 1 terms P = 0.0649 (649/10000) Rand. median: 0</t>
  </si>
  <si>
    <t>1 of 3</t>
  </si>
  <si>
    <t>C: GO:0005654: nucleoplasm</t>
  </si>
  <si>
    <t xml:space="preserve"> 1 terms P = 0.3420 (3420/10000) Rand. median: 0</t>
  </si>
  <si>
    <t>High Motif3 13</t>
  </si>
  <si>
    <t>461 common terms</t>
  </si>
  <si>
    <t>Motif3 13</t>
  </si>
  <si>
    <t>1 of 92</t>
  </si>
  <si>
    <t>2 of 92</t>
  </si>
  <si>
    <t>P: GO:0048518: positive regulation of biological process</t>
  </si>
  <si>
    <t>3 of 92</t>
  </si>
  <si>
    <t>4 of 92</t>
  </si>
  <si>
    <t>P: GO:0033993: response to lipid</t>
  </si>
  <si>
    <t>5 of 92</t>
  </si>
  <si>
    <t>6 of 92</t>
  </si>
  <si>
    <t>7 of 92</t>
  </si>
  <si>
    <t>P: GO:0009755: hormone-mediated signaling pathway</t>
  </si>
  <si>
    <t>8 of 92</t>
  </si>
  <si>
    <t>9 of 92</t>
  </si>
  <si>
    <t>10 of 92</t>
  </si>
  <si>
    <t>11 of 92</t>
  </si>
  <si>
    <t>12 of 92</t>
  </si>
  <si>
    <t>P: GO:0048583: regulation of response to stimulus</t>
  </si>
  <si>
    <t>13 of 92</t>
  </si>
  <si>
    <t>P: GO:0031325: positive regulation of cellular metabolic process</t>
  </si>
  <si>
    <t>14 of 92</t>
  </si>
  <si>
    <t>15 of 92</t>
  </si>
  <si>
    <t>16 of 92</t>
  </si>
  <si>
    <t>17 of 92</t>
  </si>
  <si>
    <t>P: GO:0097305: response to alcohol</t>
  </si>
  <si>
    <t>18 of 92</t>
  </si>
  <si>
    <t>19 of 92</t>
  </si>
  <si>
    <t>20 of 92</t>
  </si>
  <si>
    <t>21 of 92</t>
  </si>
  <si>
    <t>22 of 92</t>
  </si>
  <si>
    <t>23 of 92</t>
  </si>
  <si>
    <t>P: GO:0009605: response to external stimulus</t>
  </si>
  <si>
    <t>24 of 92</t>
  </si>
  <si>
    <t>P: GO:0009651: response to salt stress</t>
  </si>
  <si>
    <t>25 of 92</t>
  </si>
  <si>
    <t>P: GO:0009266: response to temperature stimulus</t>
  </si>
  <si>
    <t>26 of 92</t>
  </si>
  <si>
    <t>27 of 92</t>
  </si>
  <si>
    <t>28 of 92</t>
  </si>
  <si>
    <t>P: GO:0046907: intracellular transport</t>
  </si>
  <si>
    <t>29 of 92</t>
  </si>
  <si>
    <t>P: GO:0006955: immune response</t>
  </si>
  <si>
    <t>30 of 92</t>
  </si>
  <si>
    <t>P: GO:0009737: response to abscisic acid stimulus</t>
  </si>
  <si>
    <t>31 of 92</t>
  </si>
  <si>
    <t>32 of 92</t>
  </si>
  <si>
    <t>P: GO:0006605: protein targeting</t>
  </si>
  <si>
    <t>33 of 92</t>
  </si>
  <si>
    <t>P: GO:0034613: cellular protein localization</t>
  </si>
  <si>
    <t>34 of 92</t>
  </si>
  <si>
    <t>P: GO:0048569: post-embryonic organ development</t>
  </si>
  <si>
    <t>35 of 92</t>
  </si>
  <si>
    <t>36 of 92</t>
  </si>
  <si>
    <t>P: GO:0015031: protein transport</t>
  </si>
  <si>
    <t>37 of 92</t>
  </si>
  <si>
    <t>P: GO:0006970: response to osmotic stress</t>
  </si>
  <si>
    <t>38 of 92</t>
  </si>
  <si>
    <t>P: GO:0002682: regulation of immune system process</t>
  </si>
  <si>
    <t xml:space="preserve"> 38 terms P = 0.0000 (0/10000) Rand. median: 4</t>
  </si>
  <si>
    <t>P: GO:0070727: cellular macromolecule localization</t>
  </si>
  <si>
    <t>P: GO:0050776: regulation of immune response</t>
  </si>
  <si>
    <t xml:space="preserve"> 20 terms P = 0.0000 (0/10000) Rand. median: 5</t>
  </si>
  <si>
    <t xml:space="preserve"> 1 terms P = 0.9962 (9962/10000) Rand. median: 5</t>
  </si>
  <si>
    <t>P: GO:0048523: negative regulation of cellular process</t>
  </si>
  <si>
    <t>P: GO:0071407: cellular response to organic cyclic compound</t>
  </si>
  <si>
    <t>P: GO:0048316: seed development</t>
  </si>
  <si>
    <t>P: GO:0005975: carbohydrate metabolic process</t>
  </si>
  <si>
    <t xml:space="preserve"> 6 terms P = 0.3783 (3783/10000) Rand. median: 5</t>
  </si>
  <si>
    <t>5 common terms</t>
  </si>
  <si>
    <t>1 of 1</t>
  </si>
  <si>
    <t>M: GO:0008270: zinc ion binding</t>
  </si>
  <si>
    <t xml:space="preserve"> 1 terms P = 0.1616 (1616/10000) Rand. median: 0</t>
  </si>
  <si>
    <t>12 common terms</t>
  </si>
  <si>
    <t>C: GO:0005829: cytosol</t>
  </si>
  <si>
    <t xml:space="preserve"> 1 terms P = 0.2456 (2456/10000) Rand. median: 0</t>
  </si>
  <si>
    <t>Low Motif3 13</t>
  </si>
  <si>
    <t>P: GO:0051701: interaction with host</t>
  </si>
  <si>
    <t>P: GO:0052018: modulation by symbiont of RNA levels in host</t>
  </si>
  <si>
    <t>P: GO:0009616: virus induced gene silencing</t>
  </si>
  <si>
    <t>P: GO:0044003: modification by symbiont of host morphology or physiology</t>
  </si>
  <si>
    <t>P: GO:0035821: modification of morphology or physiology of other organism</t>
  </si>
  <si>
    <t xml:space="preserve"> 7 terms P = 0.0715 (715/10000) Rand. median: 4</t>
  </si>
  <si>
    <t>P: GO:0008283: cell proliferation</t>
  </si>
  <si>
    <t xml:space="preserve"> 3 terms P = 1.0000 (10000/10000) Rand. median: 12</t>
  </si>
  <si>
    <t>P: GO:0010114: response to red light</t>
  </si>
  <si>
    <t>P: GO:0071322: cellular response to carbohydrate stimulus</t>
  </si>
  <si>
    <t>P: GO:0033013: tetrapyrrole metabolic process</t>
  </si>
  <si>
    <t>P: GO:0044419: interspecies interaction between organisms</t>
  </si>
  <si>
    <t>P: GO:0015994: chlorophyll metabolic process</t>
  </si>
  <si>
    <t>P: GO:0006778: porphyrin-containing compound metabolic process</t>
  </si>
  <si>
    <t>P: GO:0051607: defense response to virus</t>
  </si>
  <si>
    <t>P: GO:0050826: response to freezing</t>
  </si>
  <si>
    <t xml:space="preserve"> 10 terms P = 0.8469 (8469/10000) Rand. median: 12</t>
  </si>
  <si>
    <t>P: GO:0048446: petal morphogenesis</t>
  </si>
  <si>
    <t>P: GO:0048453: sepal formation</t>
  </si>
  <si>
    <t>P: GO:0015979: photosynthesis</t>
  </si>
  <si>
    <t xml:space="preserve"> 5 terms P = 0.9984 (9984/10000) Rand. median: 12</t>
  </si>
  <si>
    <t>High Motif4 19</t>
  </si>
  <si>
    <t>542 common terms</t>
  </si>
  <si>
    <t>Motif4 19</t>
  </si>
  <si>
    <t>1 of 108</t>
  </si>
  <si>
    <t>2 of 108</t>
  </si>
  <si>
    <t>3 of 108</t>
  </si>
  <si>
    <t>4 of 108</t>
  </si>
  <si>
    <t>5 of 108</t>
  </si>
  <si>
    <t>6 of 108</t>
  </si>
  <si>
    <t>7 of 108</t>
  </si>
  <si>
    <t>8 of 108</t>
  </si>
  <si>
    <t>9 of 108</t>
  </si>
  <si>
    <t>10 of 108</t>
  </si>
  <si>
    <t>11 of 108</t>
  </si>
  <si>
    <t>12 of 108</t>
  </si>
  <si>
    <t>13 of 108</t>
  </si>
  <si>
    <t>14 of 108</t>
  </si>
  <si>
    <t>15 of 108</t>
  </si>
  <si>
    <t>16 of 108</t>
  </si>
  <si>
    <t>17 of 108</t>
  </si>
  <si>
    <t>18 of 108</t>
  </si>
  <si>
    <t>P: GO:0009639: response to red or far red light</t>
  </si>
  <si>
    <t>19 of 108</t>
  </si>
  <si>
    <t>20 of 108</t>
  </si>
  <si>
    <t>21 of 108</t>
  </si>
  <si>
    <t>P: GO:0048580: regulation of post-embryonic development</t>
  </si>
  <si>
    <t>22 of 108</t>
  </si>
  <si>
    <t>23 of 108</t>
  </si>
  <si>
    <t>24 of 108</t>
  </si>
  <si>
    <t>25 of 108</t>
  </si>
  <si>
    <t>26 of 108</t>
  </si>
  <si>
    <t>27 of 108</t>
  </si>
  <si>
    <t>28 of 108</t>
  </si>
  <si>
    <t>29 of 108</t>
  </si>
  <si>
    <t>30 of 108</t>
  </si>
  <si>
    <t>31 of 108</t>
  </si>
  <si>
    <t>32 of 108</t>
  </si>
  <si>
    <t>P: GO:0009886: post-embryonic morphogenesis</t>
  </si>
  <si>
    <t xml:space="preserve"> 32 terms P = 0.0000 (0/10000) Rand. median: 4</t>
  </si>
  <si>
    <t>P: GO:0010154: fruit development</t>
  </si>
  <si>
    <t>P: GO:0009793: embryo development ending in seed dormancy</t>
  </si>
  <si>
    <t>P: GO:0009790: embryo development</t>
  </si>
  <si>
    <t xml:space="preserve"> 10 terms P = 0.3395 (3395/10000) Rand. median: 8</t>
  </si>
  <si>
    <t>P: GO:2000241: regulation of reproductive process</t>
  </si>
  <si>
    <t>P: GO:0006629: lipid metabolic process</t>
  </si>
  <si>
    <t>P: GO:0044255: cellular lipid metabolic process</t>
  </si>
  <si>
    <t>P: GO:0008610: lipid biosynthetic process</t>
  </si>
  <si>
    <t>P: GO:1901564: organonitrogen compound metabolic process</t>
  </si>
  <si>
    <t>P: GO:1901566: organonitrogen compound biosynthetic process</t>
  </si>
  <si>
    <t>P: GO:0008652: cellular amino acid biosynthetic process</t>
  </si>
  <si>
    <t xml:space="preserve"> 8 terms P = 0.6382 (6382/10000) Rand. median: 8</t>
  </si>
  <si>
    <t>P: GO:0031324: negative regulation of cellular metabolic process</t>
  </si>
  <si>
    <t xml:space="preserve"> 3 terms P = 0.9934 (9934/10000) Rand. median: 8</t>
  </si>
  <si>
    <t>6 common terms</t>
  </si>
  <si>
    <t>13 common terms</t>
  </si>
  <si>
    <t>Low Motif4 19</t>
  </si>
  <si>
    <t>P: GO:0032970: regulation of actin filament-based process</t>
  </si>
  <si>
    <t>P: GO:0032535: regulation of cellular component size</t>
  </si>
  <si>
    <t>P: GO:0010638: positive regulation of organelle organization</t>
  </si>
  <si>
    <t>P: GO:0022610: biological adhesion</t>
  </si>
  <si>
    <t>P: GO:0008064: regulation of actin polymerization or depolymerization</t>
  </si>
  <si>
    <t>P: GO:0090066: regulation of anatomical structure size</t>
  </si>
  <si>
    <t xml:space="preserve"> 6 terms P = 0.2602 (2602/10000) Rand. median: 4</t>
  </si>
  <si>
    <t>P: GO:0042435: indole-containing compound biosynthetic process</t>
  </si>
  <si>
    <t>P: GO:0042430: indole-containing compound metabolic process</t>
  </si>
  <si>
    <t>P: GO:0043254: regulation of protein complex assembly</t>
  </si>
  <si>
    <t>P: GO:0032956: regulation of actin cytoskeleton organization</t>
  </si>
  <si>
    <t>P: GO:0051493: regulation of cytoskeleton organization</t>
  </si>
  <si>
    <t>P: GO:0051495: positive regulation of cytoskeleton organization</t>
  </si>
  <si>
    <t>P: GO:0030832: regulation of actin filament length</t>
  </si>
  <si>
    <t>P: GO:0030838: positive regulation of actin filament polymerization</t>
  </si>
  <si>
    <t>P: GO:0030833: regulation of actin filament polymerization</t>
  </si>
  <si>
    <t>P: GO:0007015: actin filament organization</t>
  </si>
  <si>
    <t>P: GO:0032273: positive regulation of protein polymerization</t>
  </si>
  <si>
    <t>P: GO:0032271: regulation of protein polymerization</t>
  </si>
  <si>
    <t>P: GO:0045010: actin nucleation</t>
  </si>
  <si>
    <t>P: GO:0031334: positive regulation of protein complex assembly</t>
  </si>
  <si>
    <t>P: GO:0051130: positive regulation of cellular component organization</t>
  </si>
  <si>
    <t xml:space="preserve"> 15 terms P = 0.5945 (5945/10000) Rand. median: 15</t>
  </si>
  <si>
    <t>P: GO:0009658: chloroplast organization</t>
  </si>
  <si>
    <t>P: GO:0044087: regulation of cellular component biogenesis</t>
  </si>
  <si>
    <t xml:space="preserve"> 3 terms P = 1.0000 (10000/10000) Rand. median: 15</t>
  </si>
  <si>
    <t>P: GO:0009408: response to heat</t>
  </si>
  <si>
    <t>P: GO:0010286: heat acclimation</t>
  </si>
  <si>
    <t>P: GO:0071555: cell wall organization</t>
  </si>
  <si>
    <t>P: GO:0005976: polysaccharide metabolic process</t>
  </si>
  <si>
    <t>P: GO:0000271: polysaccharide biosynthetic process</t>
  </si>
  <si>
    <t>P: GO:0016051: carbohydrate biosynthetic process</t>
  </si>
  <si>
    <t>P: GO:0042542: response to hydrogen peroxide</t>
  </si>
  <si>
    <t>P: GO:0048825: cotyledon development</t>
  </si>
  <si>
    <t>P: GO:0030029: actin filament-based process</t>
  </si>
  <si>
    <t>P: GO:0007155: cell adhesion</t>
  </si>
  <si>
    <t xml:space="preserve"> 10 terms P = 0.9644 (9644/10000) Rand. median: 15</t>
  </si>
  <si>
    <t>High Motif4 56</t>
  </si>
  <si>
    <t>388 common terms</t>
  </si>
  <si>
    <t>Motif4 56</t>
  </si>
  <si>
    <t>1 of 77</t>
  </si>
  <si>
    <t>2 of 77</t>
  </si>
  <si>
    <t>3 of 77</t>
  </si>
  <si>
    <t>4 of 77</t>
  </si>
  <si>
    <t>5 of 77</t>
  </si>
  <si>
    <t>6 of 77</t>
  </si>
  <si>
    <t>7 of 77</t>
  </si>
  <si>
    <t xml:space="preserve"> 7 terms P = 0.0297 (297/10000) Rand. median: 3</t>
  </si>
  <si>
    <t>P: GO:0009723: response to ethylene stimulus</t>
  </si>
  <si>
    <t xml:space="preserve"> 6 terms P = 0.9604 (9604/10000) Rand. median: 10</t>
  </si>
  <si>
    <t xml:space="preserve"> 2 terms P = 0.9999 (9999/10000) Rand. median: 10</t>
  </si>
  <si>
    <t>8 of 77</t>
  </si>
  <si>
    <t>P: GO:0006259: DNA metabolic process</t>
  </si>
  <si>
    <t>9 of 77</t>
  </si>
  <si>
    <t>10 of 77</t>
  </si>
  <si>
    <t>11 of 77</t>
  </si>
  <si>
    <t>P: GO:0007389: pattern specification process</t>
  </si>
  <si>
    <t>12 of 77</t>
  </si>
  <si>
    <t>13 of 77</t>
  </si>
  <si>
    <t>14 of 77</t>
  </si>
  <si>
    <t>15 of 77</t>
  </si>
  <si>
    <t>P: GO:0003002: regionalization</t>
  </si>
  <si>
    <t>16 of 77</t>
  </si>
  <si>
    <t>17 of 77</t>
  </si>
  <si>
    <t>18 of 77</t>
  </si>
  <si>
    <t>19 of 77</t>
  </si>
  <si>
    <t>P: GO:0009933: meristem structural organization</t>
  </si>
  <si>
    <t>20 of 77</t>
  </si>
  <si>
    <t xml:space="preserve"> 20 terms P = 0.0007 (7/10000) Rand. median: 10</t>
  </si>
  <si>
    <t>4 common terms</t>
  </si>
  <si>
    <t>Low Motif4 56</t>
  </si>
  <si>
    <t xml:space="preserve"> 0 terms P = 1.0000 (10000/10000) Rand. median: 3</t>
  </si>
  <si>
    <t>P: GO:0048467: gynoecium development</t>
  </si>
  <si>
    <t>P: GO:0048440: carpel development</t>
  </si>
  <si>
    <t xml:space="preserve"> 2 terms P = 1.0000 (10000/10000) Rand. median: 12</t>
  </si>
  <si>
    <t xml:space="preserve"> 0 terms P = 1.0000 (10000/10000) Rand. median: 12</t>
  </si>
  <si>
    <t>P: GO:0048610: cellular process involved in reproduction</t>
  </si>
  <si>
    <t>P: GO:0033692: cellular polysaccharide biosynthetic process</t>
  </si>
  <si>
    <t>P: GO:0040007: growth</t>
  </si>
  <si>
    <t>P: GO:0044262: cellular carbohydrate metabolic process</t>
  </si>
  <si>
    <t>P: GO:0044264: cellular polysaccharide metabolic process</t>
  </si>
  <si>
    <t xml:space="preserve"> 8 terms P = 0.9527 (9527/10000) Rand. median: 12</t>
  </si>
  <si>
    <t>High Motif4 76</t>
  </si>
  <si>
    <t>Motif4 76</t>
  </si>
  <si>
    <t>P: GO:0016053: organic acid biosynthetic process</t>
  </si>
  <si>
    <t xml:space="preserve"> 16 terms P = 0.0000 (0/10000) Rand. median: 5</t>
  </si>
  <si>
    <t>P: GO:0046394: carboxylic acid biosynthetic process</t>
  </si>
  <si>
    <t>P: GO:0045730: respiratory burst</t>
  </si>
  <si>
    <t>P: GO:0019220: regulation of phosphate metabolic process</t>
  </si>
  <si>
    <t>P: GO:0008299: isoprenoid biosynthetic process</t>
  </si>
  <si>
    <t>P: GO:0006612: protein targeting to membrane</t>
  </si>
  <si>
    <t>P: GO:0000165: MAPK cascade</t>
  </si>
  <si>
    <t xml:space="preserve"> 31 terms P = 0.0000 (0/10000) Rand. median: 15</t>
  </si>
  <si>
    <t>P: GO:0009696: salicylic acid metabolic process</t>
  </si>
  <si>
    <t xml:space="preserve"> 7 terms P = 0.9971 (9971/10000) Rand. median: 15</t>
  </si>
  <si>
    <t>P: GO:0042440: pigment metabolic process</t>
  </si>
  <si>
    <t>P: GO:0048444: floral organ morphogenesis</t>
  </si>
  <si>
    <t>P: GO:0048563: post-embryonic organ morphogenesis</t>
  </si>
  <si>
    <t>P: GO:0048645: organ formation</t>
  </si>
  <si>
    <t>P: GO:0018130: heterocycle biosynthetic process</t>
  </si>
  <si>
    <t>P: GO:0007017: microtubule-based process</t>
  </si>
  <si>
    <t>P: GO:0000911: cytokinesis by cell plate formation</t>
  </si>
  <si>
    <t>P: GO:0051726: regulation of cell cycle</t>
  </si>
  <si>
    <t>P: GO:0044271: cellular nitrogen compound biosynthetic process</t>
  </si>
  <si>
    <t xml:space="preserve"> 18 terms P = 0.2002 (2002/10000) Rand. median: 15</t>
  </si>
  <si>
    <t>Low Motif4 76</t>
  </si>
  <si>
    <t>P: GO:0009698: phenylpropanoid metabolic process</t>
  </si>
  <si>
    <t>P: GO:0009410: response to xenobiotic stimulus</t>
  </si>
  <si>
    <t xml:space="preserve"> 6 terms P = 0.3559 (3559/10000) Rand. median: 5</t>
  </si>
  <si>
    <t xml:space="preserve"> 3 terms P = 1.0000 (10000/10000) Rand. median: 18</t>
  </si>
  <si>
    <t>P: GO:0007059: chromosome segregation</t>
  </si>
  <si>
    <t xml:space="preserve"> 10 terms P = 0.9928 (9928/10000) Rand. median: 18</t>
  </si>
  <si>
    <t>P: GO:0043543: protein acylation</t>
  </si>
  <si>
    <t>P: GO:0010048: vernalization response</t>
  </si>
  <si>
    <t>P: GO:0009555: pollen development</t>
  </si>
  <si>
    <t>P: GO:0048863: stem cell differentiation</t>
  </si>
  <si>
    <t xml:space="preserve"> 8 terms P = 0.9989 (9989/10000) Rand. median: 18</t>
  </si>
  <si>
    <t>High Motif4 103</t>
  </si>
  <si>
    <t>462 common terms</t>
  </si>
  <si>
    <t>Motif4 103</t>
  </si>
  <si>
    <t xml:space="preserve"> 33 terms P = 0.0000 (0/10000) Rand. median: 3</t>
  </si>
  <si>
    <t>P: GO:0034976: response to endoplasmic reticulum stress</t>
  </si>
  <si>
    <t xml:space="preserve"> 9 terms P = 0.1348 (1348/10000) Rand. median: 6</t>
  </si>
  <si>
    <t>P: GO:0080134: regulation of response to stress</t>
  </si>
  <si>
    <t xml:space="preserve"> 5 terms P = 0.7489 (7489/10000) Rand. median: 6</t>
  </si>
  <si>
    <t>P: GO:0008104: protein localization</t>
  </si>
  <si>
    <t>P: GO:0048468: cell development</t>
  </si>
  <si>
    <t xml:space="preserve"> 10 terms P = 0.0661 (661/10000) Rand. median: 6</t>
  </si>
  <si>
    <t>Low Motif4 103</t>
  </si>
  <si>
    <t xml:space="preserve"> 4 terms P = 0.5100 (5100/10000) Rand. median: 4</t>
  </si>
  <si>
    <t>P: GO:0006066: alcohol metabolic process</t>
  </si>
  <si>
    <t>P: GO:1901615: organic hydroxy compound metabolic process</t>
  </si>
  <si>
    <t>P: GO:0046165: alcohol biosynthetic process</t>
  </si>
  <si>
    <t>P: GO:1901617: organic hydroxy compound biosynthetic process</t>
  </si>
  <si>
    <t xml:space="preserve"> 5 terms P = 0.9995 (9995/10000) Rand. median: 13</t>
  </si>
  <si>
    <t>P: GO:0060560: developmental growth involved in morphogenesis</t>
  </si>
  <si>
    <t xml:space="preserve"> 3 terms P = 0.9999 (9999/10000) Rand. median: 13</t>
  </si>
  <si>
    <t>P: GO:0034654: nucleobase-containing compound biosynthetic process</t>
  </si>
  <si>
    <t>P: GO:0051174: regulation of phosphorus metabolic process</t>
  </si>
  <si>
    <t>P: GO:0048878: chemical homeostasis</t>
  </si>
  <si>
    <t>P: GO:0050801: ion homeostasis</t>
  </si>
  <si>
    <t xml:space="preserve"> 6 terms P = 0.9977 (9977/10000) Rand. median: 13</t>
  </si>
  <si>
    <t>High Motif4 117</t>
  </si>
  <si>
    <t>376 common terms</t>
  </si>
  <si>
    <t>Motif4 117</t>
  </si>
  <si>
    <t>1 of 75</t>
  </si>
  <si>
    <t>2 of 75</t>
  </si>
  <si>
    <t>3 of 75</t>
  </si>
  <si>
    <t>4 of 75</t>
  </si>
  <si>
    <t>5 of 75</t>
  </si>
  <si>
    <t>6 of 75</t>
  </si>
  <si>
    <t>7 of 75</t>
  </si>
  <si>
    <t>8 of 75</t>
  </si>
  <si>
    <t>9 of 75</t>
  </si>
  <si>
    <t>10 of 75</t>
  </si>
  <si>
    <t>11 of 75</t>
  </si>
  <si>
    <t>12 of 75</t>
  </si>
  <si>
    <t>13 of 75</t>
  </si>
  <si>
    <t>14 of 75</t>
  </si>
  <si>
    <t>15 of 75</t>
  </si>
  <si>
    <t>16 of 75</t>
  </si>
  <si>
    <t>17 of 75</t>
  </si>
  <si>
    <t>18 of 75</t>
  </si>
  <si>
    <t>19 of 75</t>
  </si>
  <si>
    <t>20 of 75</t>
  </si>
  <si>
    <t>21 of 75</t>
  </si>
  <si>
    <t xml:space="preserve"> 21 terms P = 0.0000 (0/10000) Rand. median: 3</t>
  </si>
  <si>
    <t>P: GO:0044283: small molecule biosynthetic process</t>
  </si>
  <si>
    <t>P: GO:0016070: RNA metabolic process</t>
  </si>
  <si>
    <t xml:space="preserve"> 21 terms P = 0.0000 (0/10000) Rand. median: 6</t>
  </si>
  <si>
    <t xml:space="preserve"> 2 terms P = 0.9911 (9911/10000) Rand. median: 6</t>
  </si>
  <si>
    <t xml:space="preserve"> 5 terms P = 0.7681 (7681/10000) Rand. median: 6</t>
  </si>
  <si>
    <t>3 common terms</t>
  </si>
  <si>
    <t>Low Motif4 117</t>
  </si>
  <si>
    <t>P: GO:0016049: cell growth</t>
  </si>
  <si>
    <t xml:space="preserve"> 1 terms P = 0.9588 (9588/10000) Rand. median: 3</t>
  </si>
  <si>
    <t>P: GO:0042127: regulation of cell proliferation</t>
  </si>
  <si>
    <t>P: GO:0009411: response to UV</t>
  </si>
  <si>
    <t>P: GO:0071482: cellular response to light stimulus</t>
  </si>
  <si>
    <t>P: GO:0010467: gene expression</t>
  </si>
  <si>
    <t>P: GO:0071478: cellular response to radiation</t>
  </si>
  <si>
    <t>P: GO:0009612: response to mechanical stimulus</t>
  </si>
  <si>
    <t>P: GO:0006396: RNA processing</t>
  </si>
  <si>
    <t xml:space="preserve"> 6 terms P = 0.9876 (9876/10000) Rand. median: 11</t>
  </si>
  <si>
    <t>P: GO:0048451: petal formation</t>
  </si>
  <si>
    <t>P: GO:0048442: sepal development</t>
  </si>
  <si>
    <t>P: GO:0048447: sepal morphogenesis</t>
  </si>
  <si>
    <t xml:space="preserve"> 5 terms P = 0.9956 (9956/10000) Rand. median: 12</t>
  </si>
  <si>
    <t>High Motif4 176</t>
  </si>
  <si>
    <t>424 common terms</t>
  </si>
  <si>
    <t>Motif4 176</t>
  </si>
  <si>
    <t>1 of 84</t>
  </si>
  <si>
    <t>2 of 84</t>
  </si>
  <si>
    <t>3 of 84</t>
  </si>
  <si>
    <t>4 of 84</t>
  </si>
  <si>
    <t>5 of 84</t>
  </si>
  <si>
    <t>6 of 84</t>
  </si>
  <si>
    <t>7 of 84</t>
  </si>
  <si>
    <t>8 of 84</t>
  </si>
  <si>
    <t>9 of 84</t>
  </si>
  <si>
    <t>10 of 84</t>
  </si>
  <si>
    <t>11 of 84</t>
  </si>
  <si>
    <t>12 of 84</t>
  </si>
  <si>
    <t>13 of 84</t>
  </si>
  <si>
    <t>14 of 84</t>
  </si>
  <si>
    <t>15 of 84</t>
  </si>
  <si>
    <t>16 of 84</t>
  </si>
  <si>
    <t>17 of 84</t>
  </si>
  <si>
    <t>18 of 84</t>
  </si>
  <si>
    <t>19 of 84</t>
  </si>
  <si>
    <t>20 of 84</t>
  </si>
  <si>
    <t>21 of 84</t>
  </si>
  <si>
    <t>22 of 84</t>
  </si>
  <si>
    <t>23 of 84</t>
  </si>
  <si>
    <t>24 of 84</t>
  </si>
  <si>
    <t>25 of 84</t>
  </si>
  <si>
    <t>26 of 84</t>
  </si>
  <si>
    <t>27 of 84</t>
  </si>
  <si>
    <t>28 of 84</t>
  </si>
  <si>
    <t>29 of 84</t>
  </si>
  <si>
    <t>30 of 84</t>
  </si>
  <si>
    <t>31 of 84</t>
  </si>
  <si>
    <t>32 of 84</t>
  </si>
  <si>
    <t xml:space="preserve"> 32 terms P = 0.0000 (0/10000) Rand. median: 3</t>
  </si>
  <si>
    <t xml:space="preserve"> 14 terms P = 0.0003 (3/10000) Rand. median: 5</t>
  </si>
  <si>
    <t xml:space="preserve"> 2 terms P = 0.9752 (9752/10000) Rand. median: 5</t>
  </si>
  <si>
    <t xml:space="preserve"> 4 terms P = 0.7689 (7689/10000) Rand. median: 5</t>
  </si>
  <si>
    <t>10 common terms</t>
  </si>
  <si>
    <t>Low Motif4 176</t>
  </si>
  <si>
    <t xml:space="preserve"> 0 terms P = 1.0000 (10000/10000) Rand. median: 13</t>
  </si>
  <si>
    <t xml:space="preserve"> 5 terms P = 0.9993 (9993/10000) Rand. median: 13</t>
  </si>
  <si>
    <t>P: GO:0048588: developmental cell growth</t>
  </si>
  <si>
    <t xml:space="preserve"> 1 terms P = 1.0000 (10000/10000) Rand. median: 13</t>
  </si>
  <si>
    <t>High Motif4 199</t>
  </si>
  <si>
    <t>383 common terms</t>
  </si>
  <si>
    <t>Motif4 199</t>
  </si>
  <si>
    <t>1 of 76</t>
  </si>
  <si>
    <t>2 of 76</t>
  </si>
  <si>
    <t>3 of 76</t>
  </si>
  <si>
    <t>4 of 76</t>
  </si>
  <si>
    <t>5 of 76</t>
  </si>
  <si>
    <t>6 of 76</t>
  </si>
  <si>
    <t>7 of 76</t>
  </si>
  <si>
    <t>8 of 76</t>
  </si>
  <si>
    <t xml:space="preserve"> 8 terms P = 0.0076 (76/10000) Rand. median: 3</t>
  </si>
  <si>
    <t>P: GO:0044702: single organism reproductive process</t>
  </si>
  <si>
    <t>P: GO:0048589: developmental growth</t>
  </si>
  <si>
    <t>P: GO:0032989: cellular component morphogenesis</t>
  </si>
  <si>
    <t>P: GO:0000902: cell morphogenesis</t>
  </si>
  <si>
    <t>P: GO:0000904: cell morphogenesis involved in differentiation</t>
  </si>
  <si>
    <t>9 of 76</t>
  </si>
  <si>
    <t>P: GO:0010026: trichome differentiation</t>
  </si>
  <si>
    <t>10 of 76</t>
  </si>
  <si>
    <t>11 of 76</t>
  </si>
  <si>
    <t>12 of 76</t>
  </si>
  <si>
    <t>P: GO:0010228: vegetative to reproductive phase transition of meristem</t>
  </si>
  <si>
    <t>13 of 76</t>
  </si>
  <si>
    <t>P: GO:0010090: trichome morphogenesis</t>
  </si>
  <si>
    <t xml:space="preserve"> 13 terms P = 0.1477 (1477/10000) Rand. median: 10</t>
  </si>
  <si>
    <t>P: GO:0045229: external encapsulating structure organization</t>
  </si>
  <si>
    <t xml:space="preserve"> 2 terms P = 1.0000 (10000/10000) Rand. median: 10</t>
  </si>
  <si>
    <t>P: GO:0009733: response to auxin stimulus</t>
  </si>
  <si>
    <t>14 of 76</t>
  </si>
  <si>
    <t>15 of 76</t>
  </si>
  <si>
    <t>16 of 76</t>
  </si>
  <si>
    <t>17 of 76</t>
  </si>
  <si>
    <t>P: GO:0065008: regulation of biological quality</t>
  </si>
  <si>
    <t>18 of 76</t>
  </si>
  <si>
    <t>19 of 76</t>
  </si>
  <si>
    <t xml:space="preserve"> 19 terms P = 0.0009 (9/10000) Rand. median: 10</t>
  </si>
  <si>
    <t>8 common terms</t>
  </si>
  <si>
    <t>Low Motif4 199</t>
  </si>
  <si>
    <t xml:space="preserve"> 1 terms P = 0.9573 (9573/10000) Rand. median: 3</t>
  </si>
  <si>
    <t xml:space="preserve"> 5 terms P = 0.9962 (9962/10000) Rand. median: 12</t>
  </si>
  <si>
    <t xml:space="preserve"> 2 terms P = 0.9999 (9999/10000) Rand. median: 12</t>
  </si>
  <si>
    <t xml:space="preserve"> 5 terms P = 0.9968 (9968/10000) Rand. median: 12</t>
  </si>
  <si>
    <t>EXAMPLE:</t>
  </si>
  <si>
    <t>…</t>
  </si>
  <si>
    <t>In the example below, we list Gene Ontology subnetworks ("Biological process") that have the top 20% highest enrichment for Motif 3 13 ("High Motif3 13") in the TF-gene network ("TFs") in all three species ("Subset at os pt"). At the end, we show the number of the top 20% subnetworks that have enriched motif (e.g. "38"). A P-value for the number of conserved subnetworks (10 000 randomization, "P= 0.0000") is given together with the median number of conserved subnetworks in randomized data ("Rand. median: 4")</t>
  </si>
  <si>
    <t>See motifs_isoclasses.zip for pictures of all the motifs (e.g. Motif3 13 -&gt; motif.tfg.3.13.png)</t>
  </si>
  <si>
    <t xml:space="preserve">Additional file 4. Conserved networkmotifs in Gene Ontology subnetworks.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</si>
</sst>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85725</xdr:rowOff>
    </xdr:from>
    <xdr:to>
      <xdr:col>13</xdr:col>
      <xdr:colOff>209550</xdr:colOff>
      <xdr:row>11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85725"/>
          <a:ext cx="1390650" cy="2162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133350</xdr:rowOff>
    </xdr:from>
    <xdr:to>
      <xdr:col>13</xdr:col>
      <xdr:colOff>295275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133350"/>
          <a:ext cx="1466850" cy="1352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0</xdr:row>
      <xdr:rowOff>85725</xdr:rowOff>
    </xdr:from>
    <xdr:to>
      <xdr:col>13</xdr:col>
      <xdr:colOff>123825</xdr:colOff>
      <xdr:row>9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6350" y="85725"/>
          <a:ext cx="1333500" cy="1733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57150</xdr:rowOff>
    </xdr:from>
    <xdr:to>
      <xdr:col>13</xdr:col>
      <xdr:colOff>276225</xdr:colOff>
      <xdr:row>12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6725" y="57150"/>
          <a:ext cx="1428750" cy="2343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66675</xdr:rowOff>
    </xdr:from>
    <xdr:to>
      <xdr:col>14</xdr:col>
      <xdr:colOff>314325</xdr:colOff>
      <xdr:row>12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66675"/>
          <a:ext cx="2124075" cy="2219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76200</xdr:rowOff>
    </xdr:from>
    <xdr:to>
      <xdr:col>14</xdr:col>
      <xdr:colOff>447675</xdr:colOff>
      <xdr:row>10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275" y="76200"/>
          <a:ext cx="2190750" cy="1990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85725</xdr:rowOff>
    </xdr:from>
    <xdr:to>
      <xdr:col>13</xdr:col>
      <xdr:colOff>133350</xdr:colOff>
      <xdr:row>10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0" y="85725"/>
          <a:ext cx="1285875" cy="1914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85725</xdr:rowOff>
    </xdr:from>
    <xdr:to>
      <xdr:col>14</xdr:col>
      <xdr:colOff>9525</xdr:colOff>
      <xdr:row>9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625" y="85725"/>
          <a:ext cx="1781175" cy="1666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161925</xdr:rowOff>
    </xdr:from>
    <xdr:to>
      <xdr:col>13</xdr:col>
      <xdr:colOff>152400</xdr:colOff>
      <xdr:row>10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5275" y="161925"/>
          <a:ext cx="1285875" cy="1914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workbookViewId="0">
      <selection activeCell="A2" sqref="A2:F2"/>
    </sheetView>
  </sheetViews>
  <sheetFormatPr defaultRowHeight="15" x14ac:dyDescent="0.25"/>
  <cols>
    <col min="1" max="1" width="9.85546875" bestFit="1" customWidth="1"/>
    <col min="2" max="2" width="16.85546875" bestFit="1" customWidth="1"/>
    <col min="3" max="3" width="18" bestFit="1" customWidth="1"/>
    <col min="4" max="4" width="60.28515625" bestFit="1" customWidth="1"/>
    <col min="5" max="5" width="5" bestFit="1" customWidth="1"/>
    <col min="6" max="6" width="9.28515625" bestFit="1" customWidth="1"/>
    <col min="7" max="7" width="5" bestFit="1" customWidth="1"/>
    <col min="9" max="9" width="8.85546875" bestFit="1" customWidth="1"/>
    <col min="10" max="10" width="14.7109375" bestFit="1" customWidth="1"/>
    <col min="11" max="11" width="8.85546875" bestFit="1" customWidth="1"/>
  </cols>
  <sheetData>
    <row r="2" spans="1:10" x14ac:dyDescent="0.25">
      <c r="A2" s="3" t="s">
        <v>620</v>
      </c>
      <c r="B2" s="3"/>
      <c r="C2" s="3"/>
      <c r="D2" s="3"/>
      <c r="E2" s="3"/>
      <c r="F2" s="3"/>
    </row>
    <row r="3" spans="1:10" x14ac:dyDescent="0.25">
      <c r="A3" s="4" t="s">
        <v>618</v>
      </c>
      <c r="B3" s="4"/>
      <c r="C3" s="4"/>
      <c r="D3" s="4"/>
      <c r="E3" s="4"/>
      <c r="F3" s="4"/>
    </row>
    <row r="4" spans="1:10" x14ac:dyDescent="0.25">
      <c r="A4" s="4"/>
      <c r="B4" s="4"/>
      <c r="C4" s="4"/>
      <c r="D4" s="4"/>
      <c r="E4" s="4"/>
      <c r="F4" s="4"/>
    </row>
    <row r="5" spans="1:10" x14ac:dyDescent="0.25">
      <c r="A5" s="4"/>
      <c r="B5" s="4"/>
      <c r="C5" s="4"/>
      <c r="D5" s="4"/>
      <c r="E5" s="4"/>
      <c r="F5" s="4"/>
    </row>
    <row r="6" spans="1:10" x14ac:dyDescent="0.25">
      <c r="A6" s="4"/>
      <c r="B6" s="4"/>
      <c r="C6" s="4"/>
      <c r="D6" s="4"/>
      <c r="E6" s="4"/>
      <c r="F6" s="4"/>
    </row>
    <row r="7" spans="1:10" x14ac:dyDescent="0.25">
      <c r="A7" s="1"/>
      <c r="B7" s="1"/>
      <c r="C7" s="1"/>
      <c r="D7" s="1"/>
      <c r="E7" s="1"/>
      <c r="F7" s="1"/>
    </row>
    <row r="8" spans="1:10" x14ac:dyDescent="0.25">
      <c r="A8" s="4" t="s">
        <v>619</v>
      </c>
      <c r="B8" s="4"/>
      <c r="C8" s="4"/>
      <c r="D8" s="4"/>
      <c r="E8" s="4"/>
      <c r="F8" s="4"/>
    </row>
    <row r="10" spans="1:10" x14ac:dyDescent="0.25">
      <c r="A10" s="2" t="s">
        <v>616</v>
      </c>
      <c r="B10" s="2"/>
    </row>
    <row r="12" spans="1:10" x14ac:dyDescent="0.25">
      <c r="A12" s="2" t="s">
        <v>0</v>
      </c>
      <c r="B12" s="2" t="s">
        <v>186</v>
      </c>
    </row>
    <row r="14" spans="1:10" x14ac:dyDescent="0.25">
      <c r="B14" s="2" t="s">
        <v>2</v>
      </c>
      <c r="C14" t="s">
        <v>187</v>
      </c>
    </row>
    <row r="16" spans="1:10" x14ac:dyDescent="0.25">
      <c r="C16" s="2" t="s">
        <v>4</v>
      </c>
      <c r="F16" t="s">
        <v>188</v>
      </c>
      <c r="J16" t="s">
        <v>6</v>
      </c>
    </row>
    <row r="17" spans="3:11" x14ac:dyDescent="0.25">
      <c r="D17" t="s">
        <v>7</v>
      </c>
      <c r="E17" t="s">
        <v>8</v>
      </c>
      <c r="F17" t="s">
        <v>9</v>
      </c>
      <c r="G17" t="s">
        <v>10</v>
      </c>
      <c r="I17" t="s">
        <v>8</v>
      </c>
      <c r="J17" t="s">
        <v>9</v>
      </c>
      <c r="K17" t="s">
        <v>10</v>
      </c>
    </row>
    <row r="18" spans="3:11" x14ac:dyDescent="0.25">
      <c r="C18" t="s">
        <v>189</v>
      </c>
      <c r="D18" t="s">
        <v>67</v>
      </c>
      <c r="E18">
        <v>7.01</v>
      </c>
      <c r="F18">
        <v>7.02</v>
      </c>
      <c r="G18">
        <v>7.06</v>
      </c>
      <c r="I18" t="str">
        <f>"553/2938"</f>
        <v>553/2938</v>
      </c>
      <c r="J18" t="str">
        <f>"443/1252"</f>
        <v>443/1252</v>
      </c>
      <c r="K18" t="str">
        <f>"879/4762"</f>
        <v>879/4762</v>
      </c>
    </row>
    <row r="19" spans="3:11" x14ac:dyDescent="0.25">
      <c r="C19" t="s">
        <v>190</v>
      </c>
      <c r="D19" t="s">
        <v>191</v>
      </c>
      <c r="E19">
        <v>7.02</v>
      </c>
      <c r="F19">
        <v>7.01</v>
      </c>
      <c r="G19">
        <v>7.06</v>
      </c>
      <c r="I19" t="str">
        <f>"623/3350"</f>
        <v>623/3350</v>
      </c>
      <c r="J19" t="str">
        <f>"512/1514"</f>
        <v>512/1514</v>
      </c>
      <c r="K19" t="str">
        <f>"995/5511"</f>
        <v>995/5511</v>
      </c>
    </row>
    <row r="20" spans="3:11" x14ac:dyDescent="0.25">
      <c r="C20" t="s">
        <v>192</v>
      </c>
      <c r="D20" t="s">
        <v>54</v>
      </c>
      <c r="E20">
        <v>7.01</v>
      </c>
      <c r="F20">
        <v>6.95</v>
      </c>
      <c r="G20">
        <v>7.05</v>
      </c>
      <c r="I20" t="str">
        <f>"628/4683"</f>
        <v>628/4683</v>
      </c>
      <c r="J20" t="str">
        <f>"528/1714"</f>
        <v>528/1714</v>
      </c>
      <c r="K20" t="str">
        <f>"973/5229"</f>
        <v>973/5229</v>
      </c>
    </row>
    <row r="21" spans="3:11" x14ac:dyDescent="0.25">
      <c r="C21" t="s">
        <v>193</v>
      </c>
      <c r="D21" t="s">
        <v>194</v>
      </c>
      <c r="E21">
        <v>7</v>
      </c>
      <c r="F21">
        <v>6.96</v>
      </c>
      <c r="G21">
        <v>7.03</v>
      </c>
      <c r="I21" t="str">
        <f>"545/2919"</f>
        <v>545/2919</v>
      </c>
      <c r="J21" t="str">
        <f>"416/1093"</f>
        <v>416/1093</v>
      </c>
      <c r="K21" t="str">
        <f>"802/3240"</f>
        <v>802/3240</v>
      </c>
    </row>
    <row r="22" spans="3:11" x14ac:dyDescent="0.25">
      <c r="C22" t="s">
        <v>195</v>
      </c>
      <c r="D22" t="s">
        <v>83</v>
      </c>
      <c r="E22">
        <v>7.02</v>
      </c>
      <c r="F22">
        <v>6.92</v>
      </c>
      <c r="G22">
        <v>7.03</v>
      </c>
      <c r="I22" t="str">
        <f>"529/3869"</f>
        <v>529/3869</v>
      </c>
      <c r="J22" t="str">
        <f>"369/1181"</f>
        <v>369/1181</v>
      </c>
      <c r="K22" t="str">
        <f>"789/4372"</f>
        <v>789/4372</v>
      </c>
    </row>
    <row r="23" spans="3:11" x14ac:dyDescent="0.25">
      <c r="C23" t="s">
        <v>617</v>
      </c>
    </row>
    <row r="24" spans="3:11" x14ac:dyDescent="0.25">
      <c r="C24" t="s">
        <v>45</v>
      </c>
      <c r="D24" t="s">
        <v>245</v>
      </c>
    </row>
  </sheetData>
  <mergeCells count="3">
    <mergeCell ref="A2:F2"/>
    <mergeCell ref="A3:F6"/>
    <mergeCell ref="A8:F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workbookViewId="0">
      <selection activeCell="M18" sqref="M18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65.85546875" bestFit="1" customWidth="1"/>
    <col min="5" max="5" width="5.7109375" bestFit="1" customWidth="1"/>
    <col min="6" max="6" width="10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573</v>
      </c>
    </row>
    <row r="3" spans="1:11" x14ac:dyDescent="0.25">
      <c r="B3" t="s">
        <v>2</v>
      </c>
      <c r="C3" t="s">
        <v>574</v>
      </c>
    </row>
    <row r="5" spans="1:11" x14ac:dyDescent="0.25">
      <c r="C5" t="s">
        <v>4</v>
      </c>
      <c r="F5" t="s">
        <v>575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576</v>
      </c>
      <c r="D7" t="s">
        <v>194</v>
      </c>
      <c r="E7">
        <v>5.07</v>
      </c>
      <c r="F7">
        <v>4.9800000000000004</v>
      </c>
      <c r="G7">
        <v>6.6</v>
      </c>
      <c r="I7" t="str">
        <f>"545/2919"</f>
        <v>545/2919</v>
      </c>
      <c r="J7" t="str">
        <f>"416/1093"</f>
        <v>416/1093</v>
      </c>
      <c r="K7" t="str">
        <f>"802/3240"</f>
        <v>802/3240</v>
      </c>
    </row>
    <row r="8" spans="1:11" x14ac:dyDescent="0.25">
      <c r="C8" t="s">
        <v>577</v>
      </c>
      <c r="D8" t="s">
        <v>191</v>
      </c>
      <c r="E8">
        <v>2.99</v>
      </c>
      <c r="F8">
        <v>6.11</v>
      </c>
      <c r="G8">
        <v>6.23</v>
      </c>
      <c r="I8" t="str">
        <f>"623/3350"</f>
        <v>623/3350</v>
      </c>
      <c r="J8" t="str">
        <f>"512/1514"</f>
        <v>512/1514</v>
      </c>
      <c r="K8" t="str">
        <f>"995/5511"</f>
        <v>995/5511</v>
      </c>
    </row>
    <row r="9" spans="1:11" x14ac:dyDescent="0.25">
      <c r="C9" t="s">
        <v>578</v>
      </c>
      <c r="D9" t="s">
        <v>67</v>
      </c>
      <c r="E9">
        <v>2.91</v>
      </c>
      <c r="F9">
        <v>5.9</v>
      </c>
      <c r="G9">
        <v>5.9</v>
      </c>
      <c r="I9" t="str">
        <f>"553/2938"</f>
        <v>553/2938</v>
      </c>
      <c r="J9" t="str">
        <f>"443/1252"</f>
        <v>443/1252</v>
      </c>
      <c r="K9" t="str">
        <f>"879/4762"</f>
        <v>879/4762</v>
      </c>
    </row>
    <row r="10" spans="1:11" x14ac:dyDescent="0.25">
      <c r="C10" t="s">
        <v>579</v>
      </c>
      <c r="D10" t="s">
        <v>124</v>
      </c>
      <c r="E10">
        <v>4.66</v>
      </c>
      <c r="F10">
        <v>3.35</v>
      </c>
      <c r="G10">
        <v>5.43</v>
      </c>
      <c r="I10" t="str">
        <f>"641/3535"</f>
        <v>641/3535</v>
      </c>
      <c r="J10" t="str">
        <f>"524/1607"</f>
        <v>524/1607</v>
      </c>
      <c r="K10" t="str">
        <f>"956/3839"</f>
        <v>956/3839</v>
      </c>
    </row>
    <row r="11" spans="1:11" x14ac:dyDescent="0.25">
      <c r="C11" t="s">
        <v>580</v>
      </c>
      <c r="D11" t="s">
        <v>211</v>
      </c>
      <c r="E11">
        <v>3.35</v>
      </c>
      <c r="F11">
        <v>3.85</v>
      </c>
      <c r="G11">
        <v>6.13</v>
      </c>
      <c r="I11" t="str">
        <f>"467/2342"</f>
        <v>467/2342</v>
      </c>
      <c r="J11" t="str">
        <f>"346/882"</f>
        <v>346/882</v>
      </c>
      <c r="K11" t="str">
        <f>"704/2626"</f>
        <v>704/2626</v>
      </c>
    </row>
    <row r="12" spans="1:11" x14ac:dyDescent="0.25">
      <c r="C12" t="s">
        <v>581</v>
      </c>
      <c r="D12" t="s">
        <v>466</v>
      </c>
      <c r="E12">
        <v>3.59</v>
      </c>
      <c r="F12">
        <v>3.17</v>
      </c>
      <c r="G12">
        <v>4.9000000000000004</v>
      </c>
      <c r="I12" t="str">
        <f>"238/669"</f>
        <v>238/669</v>
      </c>
      <c r="J12" t="str">
        <f>"260/589"</f>
        <v>260/589</v>
      </c>
      <c r="K12" t="str">
        <f>"466/1196"</f>
        <v>466/1196</v>
      </c>
    </row>
    <row r="13" spans="1:11" x14ac:dyDescent="0.25">
      <c r="C13" t="s">
        <v>582</v>
      </c>
      <c r="D13" t="s">
        <v>220</v>
      </c>
      <c r="E13">
        <v>2.91</v>
      </c>
      <c r="F13">
        <v>3.25</v>
      </c>
      <c r="G13">
        <v>5.29</v>
      </c>
      <c r="I13" t="str">
        <f>"370/1674"</f>
        <v>370/1674</v>
      </c>
      <c r="J13" t="str">
        <f>"278/657"</f>
        <v>278/657</v>
      </c>
      <c r="K13" t="str">
        <f>"660/2564"</f>
        <v>660/2564</v>
      </c>
    </row>
    <row r="14" spans="1:11" x14ac:dyDescent="0.25">
      <c r="C14" t="s">
        <v>583</v>
      </c>
      <c r="D14" t="s">
        <v>242</v>
      </c>
      <c r="E14">
        <v>3.31</v>
      </c>
      <c r="F14">
        <v>3.08</v>
      </c>
      <c r="G14">
        <v>4.93</v>
      </c>
      <c r="I14" t="str">
        <f>"396/1794"</f>
        <v>396/1794</v>
      </c>
      <c r="J14" t="str">
        <f>"294/678"</f>
        <v>294/678</v>
      </c>
      <c r="K14" t="str">
        <f>"691/2694"</f>
        <v>691/2694</v>
      </c>
    </row>
    <row r="15" spans="1:11" x14ac:dyDescent="0.25">
      <c r="C15" t="s">
        <v>45</v>
      </c>
      <c r="D15" t="s">
        <v>584</v>
      </c>
      <c r="K15" t="s">
        <v>47</v>
      </c>
    </row>
    <row r="17" spans="3:11" x14ac:dyDescent="0.25">
      <c r="C17" t="s">
        <v>48</v>
      </c>
      <c r="F17" t="s">
        <v>575</v>
      </c>
      <c r="J17" t="s">
        <v>6</v>
      </c>
    </row>
    <row r="18" spans="3:11" x14ac:dyDescent="0.25">
      <c r="D18" t="s">
        <v>7</v>
      </c>
      <c r="E18" t="s">
        <v>8</v>
      </c>
      <c r="F18" t="s">
        <v>9</v>
      </c>
      <c r="G18" t="s">
        <v>10</v>
      </c>
      <c r="I18" t="s">
        <v>8</v>
      </c>
      <c r="J18" t="s">
        <v>9</v>
      </c>
      <c r="K18" t="s">
        <v>10</v>
      </c>
    </row>
    <row r="19" spans="3:11" x14ac:dyDescent="0.25">
      <c r="C19" t="s">
        <v>576</v>
      </c>
      <c r="D19" t="s">
        <v>585</v>
      </c>
      <c r="E19">
        <v>6.19</v>
      </c>
      <c r="F19">
        <v>2.96</v>
      </c>
      <c r="G19">
        <v>5.57</v>
      </c>
      <c r="I19" t="str">
        <f>"276/560"</f>
        <v>276/560</v>
      </c>
      <c r="J19" t="str">
        <f>"329/726"</f>
        <v>329/726</v>
      </c>
      <c r="K19" t="str">
        <f>"538/1171"</f>
        <v>538/1171</v>
      </c>
    </row>
    <row r="20" spans="3:11" x14ac:dyDescent="0.25">
      <c r="C20" t="s">
        <v>577</v>
      </c>
      <c r="D20" t="s">
        <v>418</v>
      </c>
      <c r="E20">
        <v>5.03</v>
      </c>
      <c r="F20">
        <v>2.82</v>
      </c>
      <c r="G20">
        <v>4.75</v>
      </c>
      <c r="I20" t="str">
        <f>"177/380"</f>
        <v>177/380</v>
      </c>
      <c r="J20" t="str">
        <f>"172/272"</f>
        <v>172/272</v>
      </c>
      <c r="K20" t="str">
        <f>"403/798"</f>
        <v>403/798</v>
      </c>
    </row>
    <row r="21" spans="3:11" x14ac:dyDescent="0.25">
      <c r="C21" t="s">
        <v>578</v>
      </c>
      <c r="D21" t="s">
        <v>586</v>
      </c>
      <c r="E21">
        <v>5.39</v>
      </c>
      <c r="F21">
        <v>2.19</v>
      </c>
      <c r="G21">
        <v>4.3099999999999996</v>
      </c>
      <c r="I21" t="str">
        <f>"144/295"</f>
        <v>144/295</v>
      </c>
      <c r="J21" t="str">
        <f>"136/218"</f>
        <v>136/218</v>
      </c>
      <c r="K21" t="str">
        <f>"300/569"</f>
        <v>300/569</v>
      </c>
    </row>
    <row r="22" spans="3:11" x14ac:dyDescent="0.25">
      <c r="C22" t="s">
        <v>579</v>
      </c>
      <c r="D22" t="s">
        <v>587</v>
      </c>
      <c r="E22">
        <v>5.68</v>
      </c>
      <c r="F22">
        <v>1.4</v>
      </c>
      <c r="G22">
        <v>4.6900000000000004</v>
      </c>
      <c r="I22" t="str">
        <f>"187/449"</f>
        <v>187/449</v>
      </c>
      <c r="J22" t="str">
        <f>"212/401"</f>
        <v>212/401</v>
      </c>
      <c r="K22" t="str">
        <f>"388/904"</f>
        <v>388/904</v>
      </c>
    </row>
    <row r="23" spans="3:11" x14ac:dyDescent="0.25">
      <c r="C23" t="s">
        <v>580</v>
      </c>
      <c r="D23" t="s">
        <v>588</v>
      </c>
      <c r="E23">
        <v>6.28</v>
      </c>
      <c r="F23">
        <v>1.18</v>
      </c>
      <c r="G23">
        <v>4.21</v>
      </c>
      <c r="I23" t="str">
        <f>"156/331"</f>
        <v>156/331</v>
      </c>
      <c r="J23" t="str">
        <f>"199/386"</f>
        <v>199/386</v>
      </c>
      <c r="K23" t="str">
        <f>"371/869"</f>
        <v>371/869</v>
      </c>
    </row>
    <row r="24" spans="3:11" x14ac:dyDescent="0.25">
      <c r="C24" t="s">
        <v>581</v>
      </c>
      <c r="D24" t="s">
        <v>416</v>
      </c>
      <c r="E24">
        <v>5.45</v>
      </c>
      <c r="F24">
        <v>1.7</v>
      </c>
      <c r="G24">
        <v>4.43</v>
      </c>
      <c r="I24" t="str">
        <f>"173/345"</f>
        <v>173/345</v>
      </c>
      <c r="J24" t="str">
        <f>"192/338"</f>
        <v>192/338</v>
      </c>
      <c r="K24" t="str">
        <f>"262/411"</f>
        <v>262/411</v>
      </c>
    </row>
    <row r="25" spans="3:11" x14ac:dyDescent="0.25">
      <c r="C25" t="s">
        <v>582</v>
      </c>
      <c r="D25" t="s">
        <v>589</v>
      </c>
      <c r="E25">
        <v>5.55</v>
      </c>
      <c r="F25">
        <v>1.71</v>
      </c>
      <c r="G25">
        <v>4.2300000000000004</v>
      </c>
      <c r="I25" t="str">
        <f>"99/254"</f>
        <v>99/254</v>
      </c>
      <c r="J25" t="str">
        <f>"134/270"</f>
        <v>134/270</v>
      </c>
      <c r="K25" t="str">
        <f>"209/480"</f>
        <v>209/480</v>
      </c>
    </row>
    <row r="26" spans="3:11" x14ac:dyDescent="0.25">
      <c r="C26" t="s">
        <v>583</v>
      </c>
      <c r="D26" t="s">
        <v>122</v>
      </c>
      <c r="E26">
        <v>3.23</v>
      </c>
      <c r="F26">
        <v>2.63</v>
      </c>
      <c r="G26">
        <v>5.36</v>
      </c>
      <c r="I26" t="str">
        <f>"533/2925"</f>
        <v>533/2925</v>
      </c>
      <c r="J26" t="str">
        <f>"447/1358"</f>
        <v>447/1358</v>
      </c>
      <c r="K26" t="str">
        <f>"815/3345"</f>
        <v>815/3345</v>
      </c>
    </row>
    <row r="27" spans="3:11" x14ac:dyDescent="0.25">
      <c r="C27" t="s">
        <v>590</v>
      </c>
      <c r="D27" t="s">
        <v>591</v>
      </c>
      <c r="E27">
        <v>4.57</v>
      </c>
      <c r="F27">
        <v>2.17</v>
      </c>
      <c r="G27">
        <v>4.2300000000000004</v>
      </c>
      <c r="I27" t="str">
        <f>"43/68"</f>
        <v>43/68</v>
      </c>
      <c r="J27" t="str">
        <f>"55/124"</f>
        <v>55/124</v>
      </c>
      <c r="K27" t="str">
        <f>"128/323"</f>
        <v>128/323</v>
      </c>
    </row>
    <row r="28" spans="3:11" x14ac:dyDescent="0.25">
      <c r="C28" t="s">
        <v>592</v>
      </c>
      <c r="D28" t="s">
        <v>250</v>
      </c>
      <c r="E28">
        <v>3</v>
      </c>
      <c r="F28">
        <v>2.0299999999999998</v>
      </c>
      <c r="G28">
        <v>5.86</v>
      </c>
      <c r="I28" t="str">
        <f>"400/1568"</f>
        <v>400/1568</v>
      </c>
      <c r="J28" t="str">
        <f>"375/887"</f>
        <v>375/887</v>
      </c>
      <c r="K28" t="str">
        <f>"714/2214"</f>
        <v>714/2214</v>
      </c>
    </row>
    <row r="29" spans="3:11" x14ac:dyDescent="0.25">
      <c r="C29" t="s">
        <v>593</v>
      </c>
      <c r="D29" t="s">
        <v>514</v>
      </c>
      <c r="E29">
        <v>5.71</v>
      </c>
      <c r="F29">
        <v>1.02</v>
      </c>
      <c r="G29">
        <v>4.1500000000000004</v>
      </c>
      <c r="I29" t="str">
        <f>"122/268"</f>
        <v>122/268</v>
      </c>
      <c r="J29" t="str">
        <f>"123/187"</f>
        <v>123/187</v>
      </c>
      <c r="K29" t="str">
        <f>"293/607"</f>
        <v>293/607</v>
      </c>
    </row>
    <row r="30" spans="3:11" x14ac:dyDescent="0.25">
      <c r="C30" t="s">
        <v>594</v>
      </c>
      <c r="D30" t="s">
        <v>595</v>
      </c>
      <c r="E30">
        <v>3.08</v>
      </c>
      <c r="F30">
        <v>2.2200000000000002</v>
      </c>
      <c r="G30">
        <v>5.54</v>
      </c>
      <c r="I30" t="str">
        <f>"146/350"</f>
        <v>146/350</v>
      </c>
      <c r="J30" t="str">
        <f>"170/283"</f>
        <v>170/283</v>
      </c>
      <c r="K30" t="str">
        <f>"351/915"</f>
        <v>351/915</v>
      </c>
    </row>
    <row r="31" spans="3:11" x14ac:dyDescent="0.25">
      <c r="C31" t="s">
        <v>596</v>
      </c>
      <c r="D31" t="s">
        <v>597</v>
      </c>
      <c r="E31">
        <v>3.68</v>
      </c>
      <c r="F31">
        <v>1.8</v>
      </c>
      <c r="G31">
        <v>4.16</v>
      </c>
      <c r="I31" t="str">
        <f>"30/53"</f>
        <v>30/53</v>
      </c>
      <c r="J31" t="str">
        <f>"54/123"</f>
        <v>54/123</v>
      </c>
      <c r="K31" t="str">
        <f>"119/301"</f>
        <v>119/301</v>
      </c>
    </row>
    <row r="32" spans="3:11" x14ac:dyDescent="0.25">
      <c r="C32" t="s">
        <v>45</v>
      </c>
      <c r="D32" t="s">
        <v>598</v>
      </c>
      <c r="K32" t="s">
        <v>109</v>
      </c>
    </row>
    <row r="34" spans="3:11" x14ac:dyDescent="0.25">
      <c r="C34" t="s">
        <v>110</v>
      </c>
      <c r="F34" t="s">
        <v>575</v>
      </c>
      <c r="J34" t="s">
        <v>6</v>
      </c>
    </row>
    <row r="35" spans="3:11" x14ac:dyDescent="0.25">
      <c r="D35" t="s">
        <v>7</v>
      </c>
      <c r="E35" t="s">
        <v>8</v>
      </c>
      <c r="F35" t="s">
        <v>9</v>
      </c>
      <c r="G35" t="s">
        <v>10</v>
      </c>
      <c r="I35" t="s">
        <v>8</v>
      </c>
      <c r="J35" t="s">
        <v>9</v>
      </c>
      <c r="K35" t="s">
        <v>10</v>
      </c>
    </row>
    <row r="36" spans="3:11" x14ac:dyDescent="0.25">
      <c r="C36" t="s">
        <v>576</v>
      </c>
      <c r="D36" t="s">
        <v>599</v>
      </c>
      <c r="E36">
        <v>4.62</v>
      </c>
      <c r="F36">
        <v>4.68</v>
      </c>
      <c r="G36">
        <v>3.47</v>
      </c>
      <c r="I36" t="str">
        <f>"170/470"</f>
        <v>170/470</v>
      </c>
      <c r="J36" t="str">
        <f>"224/340"</f>
        <v>224/340</v>
      </c>
      <c r="K36" t="str">
        <f>"242/588"</f>
        <v>242/588</v>
      </c>
    </row>
    <row r="37" spans="3:11" x14ac:dyDescent="0.25">
      <c r="C37" t="s">
        <v>577</v>
      </c>
      <c r="D37" t="s">
        <v>368</v>
      </c>
      <c r="E37">
        <v>4.33</v>
      </c>
      <c r="F37">
        <v>4.6100000000000003</v>
      </c>
      <c r="G37">
        <v>3.31</v>
      </c>
      <c r="I37" t="str">
        <f>"139/352"</f>
        <v>139/352</v>
      </c>
      <c r="J37" t="str">
        <f>"207/318"</f>
        <v>207/318</v>
      </c>
      <c r="K37" t="str">
        <f>"227/557"</f>
        <v>227/557</v>
      </c>
    </row>
    <row r="38" spans="3:11" x14ac:dyDescent="0.25">
      <c r="C38" t="s">
        <v>45</v>
      </c>
      <c r="D38" t="s">
        <v>600</v>
      </c>
      <c r="K38" t="s">
        <v>118</v>
      </c>
    </row>
    <row r="40" spans="3:11" x14ac:dyDescent="0.25">
      <c r="C40" t="s">
        <v>119</v>
      </c>
      <c r="F40" t="s">
        <v>575</v>
      </c>
      <c r="J40" t="s">
        <v>6</v>
      </c>
    </row>
    <row r="41" spans="3:11" x14ac:dyDescent="0.25">
      <c r="D41" t="s">
        <v>7</v>
      </c>
      <c r="E41" t="s">
        <v>8</v>
      </c>
      <c r="F41" t="s">
        <v>9</v>
      </c>
      <c r="G41" t="s">
        <v>10</v>
      </c>
      <c r="I41" t="s">
        <v>8</v>
      </c>
      <c r="J41" t="s">
        <v>9</v>
      </c>
      <c r="K41" t="s">
        <v>10</v>
      </c>
    </row>
    <row r="42" spans="3:11" x14ac:dyDescent="0.25">
      <c r="C42" t="s">
        <v>576</v>
      </c>
      <c r="D42" t="s">
        <v>105</v>
      </c>
      <c r="E42">
        <v>1.44</v>
      </c>
      <c r="F42">
        <v>4.88</v>
      </c>
      <c r="G42">
        <v>5.29</v>
      </c>
      <c r="I42" t="str">
        <f>"671/3536"</f>
        <v>671/3536</v>
      </c>
      <c r="J42" t="str">
        <f>"439/868"</f>
        <v>439/868</v>
      </c>
      <c r="K42" t="str">
        <f>"984/3406"</f>
        <v>984/3406</v>
      </c>
    </row>
    <row r="43" spans="3:11" x14ac:dyDescent="0.25">
      <c r="C43" t="s">
        <v>577</v>
      </c>
      <c r="D43" t="s">
        <v>222</v>
      </c>
      <c r="E43">
        <v>2.5</v>
      </c>
      <c r="F43">
        <v>3.22</v>
      </c>
      <c r="G43">
        <v>5.85</v>
      </c>
      <c r="I43" t="str">
        <f>"428/1746"</f>
        <v>428/1746</v>
      </c>
      <c r="J43" t="str">
        <f>"309/632"</f>
        <v>309/632</v>
      </c>
      <c r="K43" t="str">
        <f>"692/2183"</f>
        <v>692/2183</v>
      </c>
    </row>
    <row r="44" spans="3:11" x14ac:dyDescent="0.25">
      <c r="C44" t="s">
        <v>578</v>
      </c>
      <c r="D44" t="s">
        <v>54</v>
      </c>
      <c r="E44">
        <v>0.97</v>
      </c>
      <c r="F44">
        <v>4.8099999999999996</v>
      </c>
      <c r="G44">
        <v>5.38</v>
      </c>
      <c r="I44" t="str">
        <f>"628/4683"</f>
        <v>628/4683</v>
      </c>
      <c r="J44" t="str">
        <f>"528/1714"</f>
        <v>528/1714</v>
      </c>
      <c r="K44" t="str">
        <f>"973/5229"</f>
        <v>973/5229</v>
      </c>
    </row>
    <row r="45" spans="3:11" x14ac:dyDescent="0.25">
      <c r="C45" t="s">
        <v>579</v>
      </c>
      <c r="D45" t="s">
        <v>601</v>
      </c>
      <c r="E45">
        <v>1.1499999999999999</v>
      </c>
      <c r="F45">
        <v>3.18</v>
      </c>
      <c r="G45">
        <v>6.08</v>
      </c>
      <c r="I45" t="str">
        <f>"190/495"</f>
        <v>190/495</v>
      </c>
      <c r="J45" t="str">
        <f>"131/271"</f>
        <v>131/271</v>
      </c>
      <c r="K45" t="str">
        <f>"345/1082"</f>
        <v>345/1082</v>
      </c>
    </row>
    <row r="46" spans="3:11" x14ac:dyDescent="0.25">
      <c r="C46" t="s">
        <v>580</v>
      </c>
      <c r="D46" t="s">
        <v>198</v>
      </c>
      <c r="E46">
        <v>1.34</v>
      </c>
      <c r="F46">
        <v>3.91</v>
      </c>
      <c r="G46">
        <v>5.0199999999999996</v>
      </c>
      <c r="I46" t="str">
        <f>"502/3747"</f>
        <v>502/3747</v>
      </c>
      <c r="J46" t="str">
        <f>"344/1124"</f>
        <v>344/1124</v>
      </c>
      <c r="K46" t="str">
        <f>"759/4231"</f>
        <v>759/4231</v>
      </c>
    </row>
    <row r="47" spans="3:11" x14ac:dyDescent="0.25">
      <c r="C47" t="s">
        <v>581</v>
      </c>
      <c r="D47" t="s">
        <v>226</v>
      </c>
      <c r="E47">
        <v>0.46</v>
      </c>
      <c r="F47">
        <v>4.53</v>
      </c>
      <c r="G47">
        <v>5.25</v>
      </c>
      <c r="I47" t="str">
        <f>"589/2892"</f>
        <v>589/2892</v>
      </c>
      <c r="J47" t="str">
        <f>"376/713"</f>
        <v>376/713</v>
      </c>
      <c r="K47" t="str">
        <f>"912/3088"</f>
        <v>912/3088</v>
      </c>
    </row>
    <row r="48" spans="3:11" x14ac:dyDescent="0.25">
      <c r="C48" t="s">
        <v>582</v>
      </c>
      <c r="D48" t="s">
        <v>323</v>
      </c>
      <c r="E48">
        <v>1.02</v>
      </c>
      <c r="F48">
        <v>3.06</v>
      </c>
      <c r="G48">
        <v>6.07</v>
      </c>
      <c r="I48" t="str">
        <f>"218/750"</f>
        <v>218/750</v>
      </c>
      <c r="J48" t="str">
        <f>"231/518"</f>
        <v>231/518</v>
      </c>
      <c r="K48" t="str">
        <f>"536/1411"</f>
        <v>536/1411</v>
      </c>
    </row>
    <row r="49" spans="2:11" x14ac:dyDescent="0.25">
      <c r="C49" t="s">
        <v>583</v>
      </c>
      <c r="D49" t="s">
        <v>77</v>
      </c>
      <c r="E49">
        <v>1.47</v>
      </c>
      <c r="F49">
        <v>3.68</v>
      </c>
      <c r="G49">
        <v>4.8899999999999997</v>
      </c>
      <c r="I49" t="str">
        <f>"526/3845"</f>
        <v>526/3845</v>
      </c>
      <c r="J49" t="str">
        <f>"369/1181"</f>
        <v>369/1181</v>
      </c>
      <c r="K49" t="str">
        <f>"785/4340"</f>
        <v>785/4340</v>
      </c>
    </row>
    <row r="50" spans="2:11" x14ac:dyDescent="0.25">
      <c r="C50" t="s">
        <v>590</v>
      </c>
      <c r="D50" t="s">
        <v>63</v>
      </c>
      <c r="E50">
        <v>-0.53</v>
      </c>
      <c r="F50">
        <v>4.3899999999999997</v>
      </c>
      <c r="G50">
        <v>6.11</v>
      </c>
      <c r="I50" t="str">
        <f>"599/4405"</f>
        <v>599/4405</v>
      </c>
      <c r="J50" t="str">
        <f>"444/1217"</f>
        <v>444/1217</v>
      </c>
      <c r="K50" t="str">
        <f>"890/4301"</f>
        <v>890/4301</v>
      </c>
    </row>
    <row r="51" spans="2:11" x14ac:dyDescent="0.25">
      <c r="C51" t="s">
        <v>592</v>
      </c>
      <c r="D51" t="s">
        <v>252</v>
      </c>
      <c r="E51">
        <v>0.54</v>
      </c>
      <c r="F51">
        <v>3.55</v>
      </c>
      <c r="G51">
        <v>5.73</v>
      </c>
      <c r="I51" t="str">
        <f>"205/678"</f>
        <v>205/678</v>
      </c>
      <c r="J51" t="str">
        <f>"220/463"</f>
        <v>220/463</v>
      </c>
      <c r="K51" t="str">
        <f>"498/1292"</f>
        <v>498/1292</v>
      </c>
    </row>
    <row r="52" spans="2:11" x14ac:dyDescent="0.25">
      <c r="C52" t="s">
        <v>593</v>
      </c>
      <c r="D52" t="s">
        <v>83</v>
      </c>
      <c r="E52">
        <v>1.47</v>
      </c>
      <c r="F52">
        <v>3.35</v>
      </c>
      <c r="G52">
        <v>4.74</v>
      </c>
      <c r="I52" t="str">
        <f>"529/3869"</f>
        <v>529/3869</v>
      </c>
      <c r="J52" t="str">
        <f>"369/1181"</f>
        <v>369/1181</v>
      </c>
      <c r="K52" t="str">
        <f>"789/4372"</f>
        <v>789/4372</v>
      </c>
    </row>
    <row r="53" spans="2:11" x14ac:dyDescent="0.25">
      <c r="C53" t="s">
        <v>594</v>
      </c>
      <c r="D53" t="s">
        <v>218</v>
      </c>
      <c r="E53">
        <v>0.38</v>
      </c>
      <c r="F53">
        <v>3.17</v>
      </c>
      <c r="G53">
        <v>5.95</v>
      </c>
      <c r="I53" t="str">
        <f>"460/2035"</f>
        <v>460/2035</v>
      </c>
      <c r="J53" t="str">
        <f>"342/678"</f>
        <v>342/678</v>
      </c>
      <c r="K53" t="str">
        <f>"740/2621"</f>
        <v>740/2621</v>
      </c>
    </row>
    <row r="54" spans="2:11" x14ac:dyDescent="0.25">
      <c r="C54" t="s">
        <v>596</v>
      </c>
      <c r="D54" t="s">
        <v>69</v>
      </c>
      <c r="E54">
        <v>0.01</v>
      </c>
      <c r="F54">
        <v>3.33</v>
      </c>
      <c r="G54">
        <v>5.54</v>
      </c>
      <c r="I54" t="str">
        <f>"625/3536"</f>
        <v>625/3536</v>
      </c>
      <c r="J54" t="str">
        <f>"479/1165"</f>
        <v>479/1165</v>
      </c>
      <c r="K54" t="str">
        <f>"920/4036"</f>
        <v>920/4036</v>
      </c>
    </row>
    <row r="55" spans="2:11" x14ac:dyDescent="0.25">
      <c r="C55" t="s">
        <v>602</v>
      </c>
      <c r="D55" t="s">
        <v>240</v>
      </c>
      <c r="E55">
        <v>0.16</v>
      </c>
      <c r="F55">
        <v>4.12</v>
      </c>
      <c r="G55">
        <v>4.5599999999999996</v>
      </c>
      <c r="I55" t="str">
        <f>"521/2737"</f>
        <v>521/2737</v>
      </c>
      <c r="J55" t="str">
        <f>"303/601"</f>
        <v>303/601</v>
      </c>
      <c r="K55" t="str">
        <f>"720/2439"</f>
        <v>720/2439</v>
      </c>
    </row>
    <row r="56" spans="2:11" x14ac:dyDescent="0.25">
      <c r="C56" t="s">
        <v>603</v>
      </c>
      <c r="D56" t="s">
        <v>246</v>
      </c>
      <c r="E56">
        <v>-0.02</v>
      </c>
      <c r="F56">
        <v>4.08</v>
      </c>
      <c r="G56">
        <v>4.76</v>
      </c>
      <c r="I56" t="str">
        <f>"525/2773"</f>
        <v>525/2773</v>
      </c>
      <c r="J56" t="str">
        <f>"334/649"</f>
        <v>334/649</v>
      </c>
      <c r="K56" t="str">
        <f>"738/2505"</f>
        <v>738/2505</v>
      </c>
    </row>
    <row r="57" spans="2:11" x14ac:dyDescent="0.25">
      <c r="C57" t="s">
        <v>604</v>
      </c>
      <c r="D57" t="s">
        <v>235</v>
      </c>
      <c r="E57">
        <v>0.05</v>
      </c>
      <c r="F57">
        <v>3.69</v>
      </c>
      <c r="G57">
        <v>4.3499999999999996</v>
      </c>
      <c r="I57" t="str">
        <f>"506/2702"</f>
        <v>506/2702</v>
      </c>
      <c r="J57" t="str">
        <f>"302/607"</f>
        <v>302/607</v>
      </c>
      <c r="K57" t="str">
        <f>"724/2450"</f>
        <v>724/2450</v>
      </c>
    </row>
    <row r="58" spans="2:11" x14ac:dyDescent="0.25">
      <c r="C58" t="s">
        <v>605</v>
      </c>
      <c r="D58" t="s">
        <v>606</v>
      </c>
      <c r="E58">
        <v>-0.28999999999999998</v>
      </c>
      <c r="F58">
        <v>3.18</v>
      </c>
      <c r="G58">
        <v>4.97</v>
      </c>
      <c r="I58" t="str">
        <f>"415/1089"</f>
        <v>415/1089</v>
      </c>
      <c r="J58" t="str">
        <f>"405/832"</f>
        <v>405/832</v>
      </c>
      <c r="K58" t="str">
        <f>"776/1938"</f>
        <v>776/1938</v>
      </c>
    </row>
    <row r="59" spans="2:11" x14ac:dyDescent="0.25">
      <c r="C59" t="s">
        <v>607</v>
      </c>
      <c r="D59" t="s">
        <v>91</v>
      </c>
      <c r="E59">
        <v>0.02</v>
      </c>
      <c r="F59">
        <v>3.59</v>
      </c>
      <c r="G59">
        <v>4.22</v>
      </c>
      <c r="I59" t="str">
        <f>"521/2737"</f>
        <v>521/2737</v>
      </c>
      <c r="J59" t="str">
        <f>"303/601"</f>
        <v>303/601</v>
      </c>
      <c r="K59" t="str">
        <f>"720/2439"</f>
        <v>720/2439</v>
      </c>
    </row>
    <row r="60" spans="2:11" x14ac:dyDescent="0.25">
      <c r="C60" t="s">
        <v>608</v>
      </c>
      <c r="D60" t="s">
        <v>101</v>
      </c>
      <c r="E60">
        <v>-0.27</v>
      </c>
      <c r="F60">
        <v>3.4</v>
      </c>
      <c r="G60">
        <v>4.6900000000000004</v>
      </c>
      <c r="I60" t="str">
        <f>"504/2700"</f>
        <v>504/2700</v>
      </c>
      <c r="J60" t="str">
        <f>"294/591"</f>
        <v>294/591</v>
      </c>
      <c r="K60" t="str">
        <f>"692/2374"</f>
        <v>692/2374</v>
      </c>
    </row>
    <row r="61" spans="2:11" x14ac:dyDescent="0.25">
      <c r="C61" t="s">
        <v>45</v>
      </c>
      <c r="D61" t="s">
        <v>609</v>
      </c>
      <c r="K61" t="s">
        <v>139</v>
      </c>
    </row>
    <row r="63" spans="2:11" x14ac:dyDescent="0.25">
      <c r="B63" t="s">
        <v>140</v>
      </c>
      <c r="C63" t="s">
        <v>512</v>
      </c>
    </row>
    <row r="65" spans="3:11" x14ac:dyDescent="0.25">
      <c r="C65" t="s">
        <v>4</v>
      </c>
      <c r="F65" t="s">
        <v>575</v>
      </c>
      <c r="J65" t="s">
        <v>6</v>
      </c>
    </row>
    <row r="66" spans="3:11" x14ac:dyDescent="0.25">
      <c r="D66" t="s">
        <v>7</v>
      </c>
      <c r="E66" t="s">
        <v>8</v>
      </c>
      <c r="F66" t="s">
        <v>9</v>
      </c>
      <c r="G66" t="s">
        <v>10</v>
      </c>
      <c r="I66" t="s">
        <v>8</v>
      </c>
      <c r="J66" t="s">
        <v>9</v>
      </c>
      <c r="K66" t="s">
        <v>10</v>
      </c>
    </row>
    <row r="67" spans="3:11" x14ac:dyDescent="0.25">
      <c r="C67" t="s">
        <v>45</v>
      </c>
      <c r="D67" t="s">
        <v>142</v>
      </c>
      <c r="K67" t="s">
        <v>47</v>
      </c>
    </row>
    <row r="69" spans="3:11" x14ac:dyDescent="0.25">
      <c r="C69" t="s">
        <v>48</v>
      </c>
      <c r="F69" t="s">
        <v>575</v>
      </c>
      <c r="J69" t="s">
        <v>6</v>
      </c>
    </row>
    <row r="70" spans="3:11" x14ac:dyDescent="0.25">
      <c r="D70" t="s">
        <v>7</v>
      </c>
      <c r="E70" t="s">
        <v>8</v>
      </c>
      <c r="F70" t="s">
        <v>9</v>
      </c>
      <c r="G70" t="s">
        <v>10</v>
      </c>
      <c r="I70" t="s">
        <v>8</v>
      </c>
      <c r="J70" t="s">
        <v>9</v>
      </c>
      <c r="K70" t="s">
        <v>10</v>
      </c>
    </row>
    <row r="71" spans="3:11" x14ac:dyDescent="0.25">
      <c r="C71" t="s">
        <v>45</v>
      </c>
      <c r="D71" t="s">
        <v>142</v>
      </c>
      <c r="K71" t="s">
        <v>109</v>
      </c>
    </row>
    <row r="73" spans="3:11" x14ac:dyDescent="0.25">
      <c r="C73" t="s">
        <v>110</v>
      </c>
      <c r="F73" t="s">
        <v>575</v>
      </c>
      <c r="J73" t="s">
        <v>6</v>
      </c>
    </row>
    <row r="74" spans="3:11" x14ac:dyDescent="0.25">
      <c r="D74" t="s">
        <v>7</v>
      </c>
      <c r="E74" t="s">
        <v>8</v>
      </c>
      <c r="F74" t="s">
        <v>9</v>
      </c>
      <c r="G74" t="s">
        <v>10</v>
      </c>
      <c r="I74" t="s">
        <v>8</v>
      </c>
      <c r="J74" t="s">
        <v>9</v>
      </c>
      <c r="K74" t="s">
        <v>10</v>
      </c>
    </row>
    <row r="75" spans="3:11" x14ac:dyDescent="0.25">
      <c r="C75" t="s">
        <v>45</v>
      </c>
      <c r="D75" t="s">
        <v>142</v>
      </c>
      <c r="K75" t="s">
        <v>118</v>
      </c>
    </row>
    <row r="77" spans="3:11" x14ac:dyDescent="0.25">
      <c r="C77" t="s">
        <v>119</v>
      </c>
      <c r="F77" t="s">
        <v>575</v>
      </c>
      <c r="J77" t="s">
        <v>6</v>
      </c>
    </row>
    <row r="78" spans="3:11" x14ac:dyDescent="0.25">
      <c r="D78" t="s">
        <v>7</v>
      </c>
      <c r="E78" t="s">
        <v>8</v>
      </c>
      <c r="F78" t="s">
        <v>9</v>
      </c>
      <c r="G78" t="s">
        <v>10</v>
      </c>
      <c r="I78" t="s">
        <v>8</v>
      </c>
      <c r="J78" t="s">
        <v>9</v>
      </c>
      <c r="K78" t="s">
        <v>10</v>
      </c>
    </row>
    <row r="79" spans="3:11" x14ac:dyDescent="0.25">
      <c r="C79" t="s">
        <v>45</v>
      </c>
      <c r="D79" t="s">
        <v>142</v>
      </c>
      <c r="K79" t="s">
        <v>139</v>
      </c>
    </row>
    <row r="81" spans="2:11" x14ac:dyDescent="0.25">
      <c r="B81" t="s">
        <v>143</v>
      </c>
      <c r="C81" t="s">
        <v>610</v>
      </c>
    </row>
    <row r="83" spans="2:11" x14ac:dyDescent="0.25">
      <c r="C83" t="s">
        <v>4</v>
      </c>
      <c r="F83" t="s">
        <v>575</v>
      </c>
      <c r="J83" t="s">
        <v>6</v>
      </c>
    </row>
    <row r="84" spans="2:11" x14ac:dyDescent="0.25">
      <c r="D84" t="s">
        <v>7</v>
      </c>
      <c r="E84" t="s">
        <v>8</v>
      </c>
      <c r="F84" t="s">
        <v>9</v>
      </c>
      <c r="G84" t="s">
        <v>10</v>
      </c>
      <c r="I84" t="s">
        <v>8</v>
      </c>
      <c r="J84" t="s">
        <v>9</v>
      </c>
      <c r="K84" t="s">
        <v>10</v>
      </c>
    </row>
    <row r="85" spans="2:11" x14ac:dyDescent="0.25">
      <c r="C85" t="s">
        <v>45</v>
      </c>
      <c r="D85" t="s">
        <v>142</v>
      </c>
      <c r="K85" t="s">
        <v>47</v>
      </c>
    </row>
    <row r="87" spans="2:11" x14ac:dyDescent="0.25">
      <c r="C87" t="s">
        <v>48</v>
      </c>
      <c r="F87" t="s">
        <v>575</v>
      </c>
      <c r="J87" t="s">
        <v>6</v>
      </c>
    </row>
    <row r="88" spans="2:11" x14ac:dyDescent="0.25">
      <c r="D88" t="s">
        <v>7</v>
      </c>
      <c r="E88" t="s">
        <v>8</v>
      </c>
      <c r="F88" t="s">
        <v>9</v>
      </c>
      <c r="G88" t="s">
        <v>10</v>
      </c>
      <c r="I88" t="s">
        <v>8</v>
      </c>
      <c r="J88" t="s">
        <v>9</v>
      </c>
      <c r="K88" t="s">
        <v>10</v>
      </c>
    </row>
    <row r="89" spans="2:11" x14ac:dyDescent="0.25">
      <c r="C89" t="s">
        <v>45</v>
      </c>
      <c r="D89" t="s">
        <v>142</v>
      </c>
      <c r="K89" t="s">
        <v>109</v>
      </c>
    </row>
    <row r="91" spans="2:11" x14ac:dyDescent="0.25">
      <c r="C91" t="s">
        <v>110</v>
      </c>
      <c r="F91" t="s">
        <v>575</v>
      </c>
      <c r="J91" t="s">
        <v>6</v>
      </c>
    </row>
    <row r="92" spans="2:11" x14ac:dyDescent="0.25">
      <c r="D92" t="s">
        <v>7</v>
      </c>
      <c r="E92" t="s">
        <v>8</v>
      </c>
      <c r="F92" t="s">
        <v>9</v>
      </c>
      <c r="G92" t="s">
        <v>10</v>
      </c>
      <c r="I92" t="s">
        <v>8</v>
      </c>
      <c r="J92" t="s">
        <v>9</v>
      </c>
      <c r="K92" t="s">
        <v>10</v>
      </c>
    </row>
    <row r="93" spans="2:11" x14ac:dyDescent="0.25">
      <c r="C93" t="s">
        <v>45</v>
      </c>
      <c r="D93" t="s">
        <v>142</v>
      </c>
      <c r="K93" t="s">
        <v>118</v>
      </c>
    </row>
    <row r="95" spans="2:11" x14ac:dyDescent="0.25">
      <c r="C95" t="s">
        <v>119</v>
      </c>
      <c r="F95" t="s">
        <v>575</v>
      </c>
      <c r="J95" t="s">
        <v>6</v>
      </c>
    </row>
    <row r="96" spans="2:11" x14ac:dyDescent="0.25">
      <c r="D96" t="s">
        <v>7</v>
      </c>
      <c r="E96" t="s">
        <v>8</v>
      </c>
      <c r="F96" t="s">
        <v>9</v>
      </c>
      <c r="G96" t="s">
        <v>10</v>
      </c>
      <c r="I96" t="s">
        <v>8</v>
      </c>
      <c r="J96" t="s">
        <v>9</v>
      </c>
      <c r="K96" t="s">
        <v>10</v>
      </c>
    </row>
    <row r="97" spans="1:11" x14ac:dyDescent="0.25">
      <c r="C97" t="s">
        <v>45</v>
      </c>
      <c r="D97" t="s">
        <v>142</v>
      </c>
      <c r="K97" t="s">
        <v>139</v>
      </c>
    </row>
    <row r="101" spans="1:11" x14ac:dyDescent="0.25">
      <c r="A101" t="s">
        <v>0</v>
      </c>
      <c r="B101" t="s">
        <v>611</v>
      </c>
    </row>
    <row r="103" spans="1:11" x14ac:dyDescent="0.25">
      <c r="B103" t="s">
        <v>2</v>
      </c>
      <c r="C103" t="s">
        <v>574</v>
      </c>
    </row>
    <row r="105" spans="1:11" x14ac:dyDescent="0.25">
      <c r="C105" t="s">
        <v>4</v>
      </c>
      <c r="F105" t="s">
        <v>575</v>
      </c>
      <c r="J105" t="s">
        <v>6</v>
      </c>
    </row>
    <row r="106" spans="1:11" x14ac:dyDescent="0.25">
      <c r="D106" t="s">
        <v>7</v>
      </c>
      <c r="E106" t="s">
        <v>8</v>
      </c>
      <c r="F106" t="s">
        <v>9</v>
      </c>
      <c r="G106" t="s">
        <v>10</v>
      </c>
      <c r="I106" t="s">
        <v>8</v>
      </c>
      <c r="J106" t="s">
        <v>9</v>
      </c>
      <c r="K106" t="s">
        <v>10</v>
      </c>
    </row>
    <row r="107" spans="1:11" x14ac:dyDescent="0.25">
      <c r="C107" t="s">
        <v>576</v>
      </c>
      <c r="D107" t="s">
        <v>135</v>
      </c>
      <c r="E107">
        <v>-2.13</v>
      </c>
      <c r="F107">
        <v>-1.07</v>
      </c>
      <c r="G107">
        <v>-0.96</v>
      </c>
      <c r="I107" t="str">
        <f>"97/272"</f>
        <v>97/272</v>
      </c>
      <c r="J107" t="str">
        <f>"61/195"</f>
        <v>61/195</v>
      </c>
      <c r="K107" t="str">
        <f>"84/198"</f>
        <v>84/198</v>
      </c>
    </row>
    <row r="108" spans="1:11" x14ac:dyDescent="0.25">
      <c r="C108" t="s">
        <v>45</v>
      </c>
      <c r="D108" t="s">
        <v>612</v>
      </c>
      <c r="K108" t="s">
        <v>154</v>
      </c>
    </row>
    <row r="110" spans="1:11" x14ac:dyDescent="0.25">
      <c r="C110" t="s">
        <v>48</v>
      </c>
      <c r="F110" t="s">
        <v>575</v>
      </c>
      <c r="J110" t="s">
        <v>6</v>
      </c>
    </row>
    <row r="111" spans="1:11" x14ac:dyDescent="0.25">
      <c r="D111" t="s">
        <v>7</v>
      </c>
      <c r="E111" t="s">
        <v>8</v>
      </c>
      <c r="F111" t="s">
        <v>9</v>
      </c>
      <c r="G111" t="s">
        <v>10</v>
      </c>
      <c r="I111" t="s">
        <v>8</v>
      </c>
      <c r="J111" t="s">
        <v>9</v>
      </c>
      <c r="K111" t="s">
        <v>10</v>
      </c>
    </row>
    <row r="112" spans="1:11" x14ac:dyDescent="0.25">
      <c r="C112" t="s">
        <v>576</v>
      </c>
      <c r="D112" t="s">
        <v>71</v>
      </c>
      <c r="E112">
        <v>-1.71</v>
      </c>
      <c r="F112">
        <v>1.72</v>
      </c>
      <c r="G112">
        <v>-0.96</v>
      </c>
      <c r="I112" t="str">
        <f>"385/2630"</f>
        <v>385/2630</v>
      </c>
      <c r="J112" t="str">
        <f>"239/631"</f>
        <v>239/631</v>
      </c>
      <c r="K112" t="str">
        <f>"474/2039"</f>
        <v>474/2039</v>
      </c>
    </row>
    <row r="113" spans="3:11" x14ac:dyDescent="0.25">
      <c r="C113" t="s">
        <v>577</v>
      </c>
      <c r="D113" t="s">
        <v>431</v>
      </c>
      <c r="E113">
        <v>-2.5499999999999998</v>
      </c>
      <c r="F113">
        <v>1.63</v>
      </c>
      <c r="G113">
        <v>-1.1299999999999999</v>
      </c>
      <c r="I113" t="str">
        <f>"185/1202"</f>
        <v>185/1202</v>
      </c>
      <c r="J113" t="str">
        <f>"100/233"</f>
        <v>100/233</v>
      </c>
      <c r="K113" t="str">
        <f>"167/716"</f>
        <v>167/716</v>
      </c>
    </row>
    <row r="114" spans="3:11" x14ac:dyDescent="0.25">
      <c r="C114" t="s">
        <v>578</v>
      </c>
      <c r="D114" t="s">
        <v>103</v>
      </c>
      <c r="E114">
        <v>-1.73</v>
      </c>
      <c r="F114">
        <v>-0.74</v>
      </c>
      <c r="G114">
        <v>-2.2400000000000002</v>
      </c>
      <c r="I114" t="str">
        <f>"288/1624"</f>
        <v>288/1624</v>
      </c>
      <c r="J114" t="str">
        <f>"212/276"</f>
        <v>212/276</v>
      </c>
      <c r="K114" t="str">
        <f>"325/1038"</f>
        <v>325/1038</v>
      </c>
    </row>
    <row r="115" spans="3:11" x14ac:dyDescent="0.25">
      <c r="C115" t="s">
        <v>579</v>
      </c>
      <c r="D115" t="s">
        <v>87</v>
      </c>
      <c r="E115">
        <v>-1.98</v>
      </c>
      <c r="F115">
        <v>-0.55000000000000004</v>
      </c>
      <c r="G115">
        <v>-2.27</v>
      </c>
      <c r="I115" t="str">
        <f>"288/1624"</f>
        <v>288/1624</v>
      </c>
      <c r="J115" t="str">
        <f>"212/276"</f>
        <v>212/276</v>
      </c>
      <c r="K115" t="str">
        <f>"325/1038"</f>
        <v>325/1038</v>
      </c>
    </row>
    <row r="116" spans="3:11" x14ac:dyDescent="0.25">
      <c r="C116" t="s">
        <v>580</v>
      </c>
      <c r="D116" t="s">
        <v>28</v>
      </c>
      <c r="E116">
        <v>-2.5299999999999998</v>
      </c>
      <c r="F116">
        <v>-0.26</v>
      </c>
      <c r="G116">
        <v>-2.04</v>
      </c>
      <c r="I116" t="str">
        <f>"256/2834"</f>
        <v>256/2834</v>
      </c>
      <c r="J116" t="str">
        <f>"190/660"</f>
        <v>190/660</v>
      </c>
      <c r="K116" t="str">
        <f>"364/2223"</f>
        <v>364/2223</v>
      </c>
    </row>
    <row r="117" spans="3:11" x14ac:dyDescent="0.25">
      <c r="C117" t="s">
        <v>45</v>
      </c>
      <c r="D117" t="s">
        <v>613</v>
      </c>
      <c r="K117" t="s">
        <v>160</v>
      </c>
    </row>
    <row r="119" spans="3:11" x14ac:dyDescent="0.25">
      <c r="C119" t="s">
        <v>110</v>
      </c>
      <c r="F119" t="s">
        <v>575</v>
      </c>
      <c r="J119" t="s">
        <v>6</v>
      </c>
    </row>
    <row r="120" spans="3:11" x14ac:dyDescent="0.25">
      <c r="D120" t="s">
        <v>7</v>
      </c>
      <c r="E120" t="s">
        <v>8</v>
      </c>
      <c r="F120" t="s">
        <v>9</v>
      </c>
      <c r="G120" t="s">
        <v>10</v>
      </c>
      <c r="I120" t="s">
        <v>8</v>
      </c>
      <c r="J120" t="s">
        <v>9</v>
      </c>
      <c r="K120" t="s">
        <v>10</v>
      </c>
    </row>
    <row r="121" spans="3:11" x14ac:dyDescent="0.25">
      <c r="C121" t="s">
        <v>576</v>
      </c>
      <c r="D121" t="s">
        <v>436</v>
      </c>
      <c r="E121">
        <v>-1.88</v>
      </c>
      <c r="F121">
        <v>-1.1000000000000001</v>
      </c>
      <c r="G121">
        <v>-0.12</v>
      </c>
      <c r="I121" t="str">
        <f>"107/293"</f>
        <v>107/293</v>
      </c>
      <c r="J121" t="str">
        <f>"62/197"</f>
        <v>62/197</v>
      </c>
      <c r="K121" t="str">
        <f>"100/224"</f>
        <v>100/224</v>
      </c>
    </row>
    <row r="122" spans="3:11" x14ac:dyDescent="0.25">
      <c r="C122" t="s">
        <v>577</v>
      </c>
      <c r="D122" t="s">
        <v>437</v>
      </c>
      <c r="E122">
        <v>-1.94</v>
      </c>
      <c r="F122">
        <v>-1.08</v>
      </c>
      <c r="G122">
        <v>-0.28000000000000003</v>
      </c>
      <c r="I122" t="str">
        <f>"107/293"</f>
        <v>107/293</v>
      </c>
      <c r="J122" t="str">
        <f>"62/197"</f>
        <v>62/197</v>
      </c>
      <c r="K122" t="str">
        <f>"100/224"</f>
        <v>100/224</v>
      </c>
    </row>
    <row r="123" spans="3:11" x14ac:dyDescent="0.25">
      <c r="C123" t="s">
        <v>45</v>
      </c>
      <c r="D123" t="s">
        <v>614</v>
      </c>
      <c r="K123" t="s">
        <v>167</v>
      </c>
    </row>
    <row r="125" spans="3:11" x14ac:dyDescent="0.25">
      <c r="C125" t="s">
        <v>119</v>
      </c>
      <c r="F125" t="s">
        <v>575</v>
      </c>
      <c r="J125" t="s">
        <v>6</v>
      </c>
    </row>
    <row r="126" spans="3:11" x14ac:dyDescent="0.25">
      <c r="D126" t="s">
        <v>7</v>
      </c>
      <c r="E126" t="s">
        <v>8</v>
      </c>
      <c r="F126" t="s">
        <v>9</v>
      </c>
      <c r="G126" t="s">
        <v>10</v>
      </c>
      <c r="I126" t="s">
        <v>8</v>
      </c>
      <c r="J126" t="s">
        <v>9</v>
      </c>
      <c r="K126" t="s">
        <v>10</v>
      </c>
    </row>
    <row r="127" spans="3:11" x14ac:dyDescent="0.25">
      <c r="C127" t="s">
        <v>576</v>
      </c>
      <c r="D127" t="s">
        <v>439</v>
      </c>
      <c r="E127">
        <v>0.09</v>
      </c>
      <c r="F127">
        <v>-0.82</v>
      </c>
      <c r="G127">
        <v>-0.9</v>
      </c>
      <c r="I127" t="str">
        <f>"514/1084"</f>
        <v>514/1084</v>
      </c>
      <c r="J127" t="str">
        <f>"318/590"</f>
        <v>318/590</v>
      </c>
      <c r="K127" t="str">
        <f>"534/1165"</f>
        <v>534/1165</v>
      </c>
    </row>
    <row r="128" spans="3:11" x14ac:dyDescent="0.25">
      <c r="C128" t="s">
        <v>577</v>
      </c>
      <c r="D128" t="s">
        <v>50</v>
      </c>
      <c r="E128">
        <v>0.3</v>
      </c>
      <c r="F128">
        <v>-0.98</v>
      </c>
      <c r="G128">
        <v>-1.8</v>
      </c>
      <c r="I128" t="str">
        <f>"141/1179"</f>
        <v>141/1179</v>
      </c>
      <c r="J128" t="str">
        <f>"87/244"</f>
        <v>87/244</v>
      </c>
      <c r="K128" t="str">
        <f>"154/983"</f>
        <v>154/983</v>
      </c>
    </row>
    <row r="129" spans="2:11" x14ac:dyDescent="0.25">
      <c r="C129" t="s">
        <v>578</v>
      </c>
      <c r="D129" t="s">
        <v>428</v>
      </c>
      <c r="E129">
        <v>-0.54</v>
      </c>
      <c r="F129">
        <v>-0.77</v>
      </c>
      <c r="G129">
        <v>-1.61</v>
      </c>
      <c r="I129" t="str">
        <f>"129/749"</f>
        <v>129/749</v>
      </c>
      <c r="J129" t="str">
        <f>"74/167"</f>
        <v>74/167</v>
      </c>
      <c r="K129" t="str">
        <f>"145/660"</f>
        <v>145/660</v>
      </c>
    </row>
    <row r="130" spans="2:11" x14ac:dyDescent="0.25">
      <c r="C130" t="s">
        <v>579</v>
      </c>
      <c r="D130" t="s">
        <v>12</v>
      </c>
      <c r="E130">
        <v>-1.1200000000000001</v>
      </c>
      <c r="F130">
        <v>-0.79</v>
      </c>
      <c r="G130">
        <v>-1.93</v>
      </c>
      <c r="I130" t="str">
        <f>"296/2839"</f>
        <v>296/2839</v>
      </c>
      <c r="J130" t="str">
        <f>"158/389"</f>
        <v>158/389</v>
      </c>
      <c r="K130" t="str">
        <f>"302/2108"</f>
        <v>302/2108</v>
      </c>
    </row>
    <row r="131" spans="2:11" x14ac:dyDescent="0.25">
      <c r="C131" t="s">
        <v>580</v>
      </c>
      <c r="D131" t="s">
        <v>120</v>
      </c>
      <c r="E131">
        <v>-1.0900000000000001</v>
      </c>
      <c r="F131">
        <v>-1.79</v>
      </c>
      <c r="G131">
        <v>-1.83</v>
      </c>
      <c r="I131" t="str">
        <f>"159/407"</f>
        <v>159/407</v>
      </c>
      <c r="J131" t="str">
        <f>"136/486"</f>
        <v>136/486</v>
      </c>
      <c r="K131" t="str">
        <f>"277/957"</f>
        <v>277/957</v>
      </c>
    </row>
    <row r="132" spans="2:11" x14ac:dyDescent="0.25">
      <c r="C132" t="s">
        <v>45</v>
      </c>
      <c r="D132" t="s">
        <v>615</v>
      </c>
      <c r="K132" t="s">
        <v>179</v>
      </c>
    </row>
    <row r="134" spans="2:11" x14ac:dyDescent="0.25">
      <c r="B134" t="s">
        <v>140</v>
      </c>
      <c r="C134" t="s">
        <v>512</v>
      </c>
    </row>
    <row r="136" spans="2:11" x14ac:dyDescent="0.25">
      <c r="C136" t="s">
        <v>4</v>
      </c>
      <c r="F136" t="s">
        <v>575</v>
      </c>
      <c r="J136" t="s">
        <v>6</v>
      </c>
    </row>
    <row r="137" spans="2:11" x14ac:dyDescent="0.25">
      <c r="D137" t="s">
        <v>7</v>
      </c>
      <c r="E137" t="s">
        <v>8</v>
      </c>
      <c r="F137" t="s">
        <v>9</v>
      </c>
      <c r="G137" t="s">
        <v>10</v>
      </c>
      <c r="I137" t="s">
        <v>8</v>
      </c>
      <c r="J137" t="s">
        <v>9</v>
      </c>
      <c r="K137" t="s">
        <v>10</v>
      </c>
    </row>
    <row r="138" spans="2:11" x14ac:dyDescent="0.25">
      <c r="C138" t="s">
        <v>45</v>
      </c>
      <c r="D138" t="s">
        <v>142</v>
      </c>
      <c r="K138" t="s">
        <v>154</v>
      </c>
    </row>
    <row r="140" spans="2:11" x14ac:dyDescent="0.25">
      <c r="C140" t="s">
        <v>48</v>
      </c>
      <c r="F140" t="s">
        <v>575</v>
      </c>
      <c r="J140" t="s">
        <v>6</v>
      </c>
    </row>
    <row r="141" spans="2:11" x14ac:dyDescent="0.25">
      <c r="D141" t="s">
        <v>7</v>
      </c>
      <c r="E141" t="s">
        <v>8</v>
      </c>
      <c r="F141" t="s">
        <v>9</v>
      </c>
      <c r="G141" t="s">
        <v>10</v>
      </c>
      <c r="I141" t="s">
        <v>8</v>
      </c>
      <c r="J141" t="s">
        <v>9</v>
      </c>
      <c r="K141" t="s">
        <v>10</v>
      </c>
    </row>
    <row r="142" spans="2:11" x14ac:dyDescent="0.25">
      <c r="C142" t="s">
        <v>45</v>
      </c>
      <c r="D142" t="s">
        <v>142</v>
      </c>
      <c r="K142" t="s">
        <v>160</v>
      </c>
    </row>
    <row r="144" spans="2:11" x14ac:dyDescent="0.25">
      <c r="C144" t="s">
        <v>110</v>
      </c>
      <c r="F144" t="s">
        <v>575</v>
      </c>
      <c r="J144" t="s">
        <v>6</v>
      </c>
    </row>
    <row r="145" spans="2:11" x14ac:dyDescent="0.25">
      <c r="D145" t="s">
        <v>7</v>
      </c>
      <c r="E145" t="s">
        <v>8</v>
      </c>
      <c r="F145" t="s">
        <v>9</v>
      </c>
      <c r="G145" t="s">
        <v>10</v>
      </c>
      <c r="I145" t="s">
        <v>8</v>
      </c>
      <c r="J145" t="s">
        <v>9</v>
      </c>
      <c r="K145" t="s">
        <v>10</v>
      </c>
    </row>
    <row r="146" spans="2:11" x14ac:dyDescent="0.25">
      <c r="C146" t="s">
        <v>45</v>
      </c>
      <c r="D146" t="s">
        <v>142</v>
      </c>
      <c r="K146" t="s">
        <v>167</v>
      </c>
    </row>
    <row r="148" spans="2:11" x14ac:dyDescent="0.25">
      <c r="C148" t="s">
        <v>119</v>
      </c>
      <c r="F148" t="s">
        <v>575</v>
      </c>
      <c r="J148" t="s">
        <v>6</v>
      </c>
    </row>
    <row r="149" spans="2:11" x14ac:dyDescent="0.25">
      <c r="D149" t="s">
        <v>7</v>
      </c>
      <c r="E149" t="s">
        <v>8</v>
      </c>
      <c r="F149" t="s">
        <v>9</v>
      </c>
      <c r="G149" t="s">
        <v>10</v>
      </c>
      <c r="I149" t="s">
        <v>8</v>
      </c>
      <c r="J149" t="s">
        <v>9</v>
      </c>
      <c r="K149" t="s">
        <v>10</v>
      </c>
    </row>
    <row r="150" spans="2:11" x14ac:dyDescent="0.25">
      <c r="C150" t="s">
        <v>45</v>
      </c>
      <c r="D150" t="s">
        <v>142</v>
      </c>
      <c r="K150" t="s">
        <v>179</v>
      </c>
    </row>
    <row r="152" spans="2:11" x14ac:dyDescent="0.25">
      <c r="B152" t="s">
        <v>143</v>
      </c>
      <c r="C152" t="s">
        <v>610</v>
      </c>
    </row>
    <row r="154" spans="2:11" x14ac:dyDescent="0.25">
      <c r="C154" t="s">
        <v>4</v>
      </c>
      <c r="F154" t="s">
        <v>575</v>
      </c>
      <c r="J154" t="s">
        <v>6</v>
      </c>
    </row>
    <row r="155" spans="2:11" x14ac:dyDescent="0.25">
      <c r="D155" t="s">
        <v>7</v>
      </c>
      <c r="E155" t="s">
        <v>8</v>
      </c>
      <c r="F155" t="s">
        <v>9</v>
      </c>
      <c r="G155" t="s">
        <v>10</v>
      </c>
      <c r="I155" t="s">
        <v>8</v>
      </c>
      <c r="J155" t="s">
        <v>9</v>
      </c>
      <c r="K155" t="s">
        <v>10</v>
      </c>
    </row>
    <row r="156" spans="2:11" x14ac:dyDescent="0.25">
      <c r="C156" t="s">
        <v>45</v>
      </c>
      <c r="D156" t="s">
        <v>142</v>
      </c>
      <c r="K156" t="s">
        <v>154</v>
      </c>
    </row>
    <row r="158" spans="2:11" x14ac:dyDescent="0.25">
      <c r="C158" t="s">
        <v>48</v>
      </c>
      <c r="F158" t="s">
        <v>575</v>
      </c>
      <c r="J158" t="s">
        <v>6</v>
      </c>
    </row>
    <row r="159" spans="2:11" x14ac:dyDescent="0.25">
      <c r="D159" t="s">
        <v>7</v>
      </c>
      <c r="E159" t="s">
        <v>8</v>
      </c>
      <c r="F159" t="s">
        <v>9</v>
      </c>
      <c r="G159" t="s">
        <v>10</v>
      </c>
      <c r="I159" t="s">
        <v>8</v>
      </c>
      <c r="J159" t="s">
        <v>9</v>
      </c>
      <c r="K159" t="s">
        <v>10</v>
      </c>
    </row>
    <row r="160" spans="2:11" x14ac:dyDescent="0.25">
      <c r="C160" t="s">
        <v>45</v>
      </c>
      <c r="D160" t="s">
        <v>142</v>
      </c>
      <c r="K160" t="s">
        <v>160</v>
      </c>
    </row>
    <row r="162" spans="3:11" x14ac:dyDescent="0.25">
      <c r="C162" t="s">
        <v>110</v>
      </c>
      <c r="F162" t="s">
        <v>575</v>
      </c>
      <c r="J162" t="s">
        <v>6</v>
      </c>
    </row>
    <row r="163" spans="3:11" x14ac:dyDescent="0.25">
      <c r="D163" t="s">
        <v>7</v>
      </c>
      <c r="E163" t="s">
        <v>8</v>
      </c>
      <c r="F163" t="s">
        <v>9</v>
      </c>
      <c r="G163" t="s">
        <v>10</v>
      </c>
      <c r="I163" t="s">
        <v>8</v>
      </c>
      <c r="J163" t="s">
        <v>9</v>
      </c>
      <c r="K163" t="s">
        <v>10</v>
      </c>
    </row>
    <row r="164" spans="3:11" x14ac:dyDescent="0.25">
      <c r="C164" t="s">
        <v>45</v>
      </c>
      <c r="D164" t="s">
        <v>142</v>
      </c>
      <c r="K164" t="s">
        <v>167</v>
      </c>
    </row>
    <row r="166" spans="3:11" x14ac:dyDescent="0.25">
      <c r="C166" t="s">
        <v>119</v>
      </c>
      <c r="F166" t="s">
        <v>575</v>
      </c>
      <c r="J166" t="s">
        <v>6</v>
      </c>
    </row>
    <row r="167" spans="3:11" x14ac:dyDescent="0.25">
      <c r="D167" t="s">
        <v>7</v>
      </c>
      <c r="E167" t="s">
        <v>8</v>
      </c>
      <c r="F167" t="s">
        <v>9</v>
      </c>
      <c r="G167" t="s">
        <v>10</v>
      </c>
      <c r="I167" t="s">
        <v>8</v>
      </c>
      <c r="J167" t="s">
        <v>9</v>
      </c>
      <c r="K167" t="s">
        <v>10</v>
      </c>
    </row>
    <row r="168" spans="3:11" x14ac:dyDescent="0.25">
      <c r="C168" t="s">
        <v>45</v>
      </c>
      <c r="D168" t="s">
        <v>142</v>
      </c>
      <c r="K168" t="s">
        <v>179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workbookViewId="0">
      <selection sqref="A1:K10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63.42578125" customWidth="1"/>
    <col min="5" max="5" width="5" bestFit="1" customWidth="1"/>
    <col min="6" max="6" width="8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1</v>
      </c>
    </row>
    <row r="3" spans="1:11" x14ac:dyDescent="0.25">
      <c r="B3" t="s">
        <v>2</v>
      </c>
      <c r="C3" t="s">
        <v>3</v>
      </c>
    </row>
    <row r="5" spans="1:11" x14ac:dyDescent="0.25">
      <c r="C5" t="s">
        <v>4</v>
      </c>
      <c r="F5" t="s">
        <v>5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11</v>
      </c>
      <c r="D7" t="s">
        <v>12</v>
      </c>
      <c r="E7">
        <v>7.04</v>
      </c>
      <c r="F7">
        <v>6.56</v>
      </c>
      <c r="G7">
        <v>7</v>
      </c>
      <c r="I7" t="str">
        <f>"296/2839"</f>
        <v>296/2839</v>
      </c>
      <c r="J7" t="str">
        <f>"158/389"</f>
        <v>158/389</v>
      </c>
      <c r="K7" t="str">
        <f>"302/2108"</f>
        <v>302/2108</v>
      </c>
    </row>
    <row r="8" spans="1:11" x14ac:dyDescent="0.25">
      <c r="C8" t="s">
        <v>13</v>
      </c>
      <c r="D8" t="s">
        <v>14</v>
      </c>
      <c r="E8">
        <v>7.03</v>
      </c>
      <c r="F8">
        <v>6.46</v>
      </c>
      <c r="G8">
        <v>6.83</v>
      </c>
      <c r="I8" t="str">
        <f>"339/6300"</f>
        <v>339/6300</v>
      </c>
      <c r="J8" t="str">
        <f>"172/883"</f>
        <v>172/883</v>
      </c>
      <c r="K8" t="str">
        <f>"369/2568"</f>
        <v>369/2568</v>
      </c>
    </row>
    <row r="9" spans="1:11" x14ac:dyDescent="0.25">
      <c r="C9" t="s">
        <v>15</v>
      </c>
      <c r="D9" t="s">
        <v>16</v>
      </c>
      <c r="E9">
        <v>7.03</v>
      </c>
      <c r="F9">
        <v>6.44</v>
      </c>
      <c r="G9">
        <v>6.68</v>
      </c>
      <c r="I9" t="str">
        <f>"344/6322"</f>
        <v>344/6322</v>
      </c>
      <c r="J9" t="str">
        <f>"184/897"</f>
        <v>184/897</v>
      </c>
      <c r="K9" t="str">
        <f>"381/2595"</f>
        <v>381/2595</v>
      </c>
    </row>
    <row r="10" spans="1:11" x14ac:dyDescent="0.25">
      <c r="C10" t="s">
        <v>17</v>
      </c>
      <c r="D10" t="s">
        <v>18</v>
      </c>
      <c r="E10">
        <v>6.97</v>
      </c>
      <c r="F10">
        <v>6.15</v>
      </c>
      <c r="G10">
        <v>6.88</v>
      </c>
      <c r="I10" t="str">
        <f>"346/3422"</f>
        <v>346/3422</v>
      </c>
      <c r="J10" t="str">
        <f>"269/899"</f>
        <v>269/899</v>
      </c>
      <c r="K10" t="str">
        <f>"593/3055"</f>
        <v>593/3055</v>
      </c>
    </row>
    <row r="11" spans="1:11" x14ac:dyDescent="0.25">
      <c r="C11" t="s">
        <v>19</v>
      </c>
      <c r="D11" t="s">
        <v>20</v>
      </c>
      <c r="E11">
        <v>7.05</v>
      </c>
      <c r="F11">
        <v>6.21</v>
      </c>
      <c r="G11">
        <v>6.61</v>
      </c>
      <c r="I11" t="str">
        <f>"366/6346"</f>
        <v>366/6346</v>
      </c>
      <c r="J11" t="str">
        <f>"226/947"</f>
        <v>226/947</v>
      </c>
      <c r="K11" t="str">
        <f>"473/2810"</f>
        <v>473/2810</v>
      </c>
    </row>
    <row r="12" spans="1:11" x14ac:dyDescent="0.25">
      <c r="C12" t="s">
        <v>21</v>
      </c>
      <c r="D12" t="s">
        <v>22</v>
      </c>
      <c r="E12">
        <v>6.83</v>
      </c>
      <c r="F12">
        <v>6.42</v>
      </c>
      <c r="G12">
        <v>6.62</v>
      </c>
      <c r="I12" t="str">
        <f>"303/2188"</f>
        <v>303/2188</v>
      </c>
      <c r="J12" t="str">
        <f>"228/1264"</f>
        <v>228/1264</v>
      </c>
      <c r="K12" t="str">
        <f>"433/2342"</f>
        <v>433/2342</v>
      </c>
    </row>
    <row r="13" spans="1:11" x14ac:dyDescent="0.25">
      <c r="C13" t="s">
        <v>23</v>
      </c>
      <c r="D13" t="s">
        <v>24</v>
      </c>
      <c r="E13">
        <v>7.01</v>
      </c>
      <c r="F13">
        <v>5.95</v>
      </c>
      <c r="G13">
        <v>6.82</v>
      </c>
      <c r="I13" t="str">
        <f>"346/3422"</f>
        <v>346/3422</v>
      </c>
      <c r="J13" t="str">
        <f>"267/896"</f>
        <v>267/896</v>
      </c>
      <c r="K13" t="str">
        <f>"591/3051"</f>
        <v>591/3051</v>
      </c>
    </row>
    <row r="14" spans="1:11" x14ac:dyDescent="0.25">
      <c r="C14" t="s">
        <v>25</v>
      </c>
      <c r="D14" t="s">
        <v>26</v>
      </c>
      <c r="E14">
        <v>6.83</v>
      </c>
      <c r="F14">
        <v>6.71</v>
      </c>
      <c r="G14">
        <v>6.24</v>
      </c>
      <c r="I14" t="str">
        <f>"452/1721"</f>
        <v>452/1721</v>
      </c>
      <c r="J14" t="str">
        <f>"430/1832"</f>
        <v>430/1832</v>
      </c>
      <c r="K14" t="str">
        <f>"839/3131"</f>
        <v>839/3131</v>
      </c>
    </row>
    <row r="15" spans="1:11" x14ac:dyDescent="0.25">
      <c r="C15" t="s">
        <v>27</v>
      </c>
      <c r="D15" t="s">
        <v>28</v>
      </c>
      <c r="E15">
        <v>7.01</v>
      </c>
      <c r="F15">
        <v>5.95</v>
      </c>
      <c r="G15">
        <v>6.7</v>
      </c>
      <c r="I15" t="str">
        <f>"256/2834"</f>
        <v>256/2834</v>
      </c>
      <c r="J15" t="str">
        <f>"190/660"</f>
        <v>190/660</v>
      </c>
      <c r="K15" t="str">
        <f>"364/2223"</f>
        <v>364/2223</v>
      </c>
    </row>
    <row r="16" spans="1:11" x14ac:dyDescent="0.25">
      <c r="C16" t="s">
        <v>29</v>
      </c>
      <c r="D16" t="s">
        <v>30</v>
      </c>
      <c r="E16">
        <v>6.85</v>
      </c>
      <c r="F16">
        <v>6</v>
      </c>
      <c r="G16">
        <v>6.72</v>
      </c>
      <c r="I16" t="str">
        <f>"125/739"</f>
        <v>125/739</v>
      </c>
      <c r="J16" t="str">
        <f>"59/150"</f>
        <v>59/150</v>
      </c>
      <c r="K16" t="str">
        <f>"122/631"</f>
        <v>122/631</v>
      </c>
    </row>
    <row r="17" spans="3:11" x14ac:dyDescent="0.25">
      <c r="C17" t="s">
        <v>31</v>
      </c>
      <c r="D17" t="s">
        <v>32</v>
      </c>
      <c r="E17">
        <v>6.91</v>
      </c>
      <c r="F17">
        <v>5.96</v>
      </c>
      <c r="G17">
        <v>6.68</v>
      </c>
      <c r="I17" t="str">
        <f>"613/2460"</f>
        <v>613/2460</v>
      </c>
      <c r="J17" t="str">
        <f>"495/928"</f>
        <v>495/928</v>
      </c>
      <c r="K17" t="str">
        <f>"893/2649"</f>
        <v>893/2649</v>
      </c>
    </row>
    <row r="18" spans="3:11" x14ac:dyDescent="0.25">
      <c r="C18" t="s">
        <v>33</v>
      </c>
      <c r="D18" t="s">
        <v>34</v>
      </c>
      <c r="E18">
        <v>6.98</v>
      </c>
      <c r="F18">
        <v>5.89</v>
      </c>
      <c r="G18">
        <v>6.68</v>
      </c>
      <c r="I18" t="str">
        <f>"589/6533"</f>
        <v>589/6533</v>
      </c>
      <c r="J18" t="str">
        <f>"437/1378"</f>
        <v>437/1378</v>
      </c>
      <c r="K18" t="str">
        <f>"809/4478"</f>
        <v>809/4478</v>
      </c>
    </row>
    <row r="19" spans="3:11" x14ac:dyDescent="0.25">
      <c r="C19" t="s">
        <v>35</v>
      </c>
      <c r="D19" t="s">
        <v>36</v>
      </c>
      <c r="E19">
        <v>6.85</v>
      </c>
      <c r="F19">
        <v>5.71</v>
      </c>
      <c r="G19">
        <v>6.89</v>
      </c>
      <c r="I19" t="str">
        <f>"144/1184"</f>
        <v>144/1184</v>
      </c>
      <c r="J19" t="str">
        <f>"88/245"</f>
        <v>88/245</v>
      </c>
      <c r="K19" t="str">
        <f>"169/1046"</f>
        <v>169/1046</v>
      </c>
    </row>
    <row r="20" spans="3:11" x14ac:dyDescent="0.25">
      <c r="C20" t="s">
        <v>37</v>
      </c>
      <c r="D20" t="s">
        <v>38</v>
      </c>
      <c r="E20">
        <v>6.79</v>
      </c>
      <c r="F20">
        <v>5.84</v>
      </c>
      <c r="G20">
        <v>6.8</v>
      </c>
      <c r="I20" t="str">
        <f>"125/739"</f>
        <v>125/739</v>
      </c>
      <c r="J20" t="str">
        <f>"59/150"</f>
        <v>59/150</v>
      </c>
      <c r="K20" t="str">
        <f>"124/633"</f>
        <v>124/633</v>
      </c>
    </row>
    <row r="21" spans="3:11" x14ac:dyDescent="0.25">
      <c r="C21" t="s">
        <v>39</v>
      </c>
      <c r="D21" t="s">
        <v>40</v>
      </c>
      <c r="E21">
        <v>6.89</v>
      </c>
      <c r="F21">
        <v>6.13</v>
      </c>
      <c r="G21">
        <v>6.26</v>
      </c>
      <c r="I21" t="str">
        <f>"300/2204"</f>
        <v>300/2204</v>
      </c>
      <c r="J21" t="str">
        <f>"175/551"</f>
        <v>175/551</v>
      </c>
      <c r="K21" t="str">
        <f>"355/1371"</f>
        <v>355/1371</v>
      </c>
    </row>
    <row r="22" spans="3:11" x14ac:dyDescent="0.25">
      <c r="C22" t="s">
        <v>41</v>
      </c>
      <c r="D22" t="s">
        <v>42</v>
      </c>
      <c r="E22">
        <v>6.85</v>
      </c>
      <c r="F22">
        <v>5.81</v>
      </c>
      <c r="G22">
        <v>6.25</v>
      </c>
      <c r="I22" t="str">
        <f>"405/2774"</f>
        <v>405/2774</v>
      </c>
      <c r="J22" t="str">
        <f>"279/781"</f>
        <v>279/781</v>
      </c>
      <c r="K22" t="str">
        <f>"485/1926"</f>
        <v>485/1926</v>
      </c>
    </row>
    <row r="23" spans="3:11" x14ac:dyDescent="0.25">
      <c r="C23" t="s">
        <v>43</v>
      </c>
      <c r="D23" t="s">
        <v>44</v>
      </c>
      <c r="E23">
        <v>6.83</v>
      </c>
      <c r="F23">
        <v>5.72</v>
      </c>
      <c r="G23">
        <v>6.25</v>
      </c>
      <c r="I23" t="str">
        <f>"361/1712"</f>
        <v>361/1712</v>
      </c>
      <c r="J23" t="str">
        <f>"201/482"</f>
        <v>201/482</v>
      </c>
      <c r="K23" t="str">
        <f>"494/1376"</f>
        <v>494/1376</v>
      </c>
    </row>
    <row r="24" spans="3:11" x14ac:dyDescent="0.25">
      <c r="C24" t="s">
        <v>45</v>
      </c>
      <c r="D24" t="s">
        <v>46</v>
      </c>
      <c r="K24" t="s">
        <v>47</v>
      </c>
    </row>
    <row r="26" spans="3:11" x14ac:dyDescent="0.25">
      <c r="C26" t="s">
        <v>48</v>
      </c>
      <c r="F26" t="s">
        <v>5</v>
      </c>
      <c r="J26" t="s">
        <v>6</v>
      </c>
    </row>
    <row r="27" spans="3:11" x14ac:dyDescent="0.25">
      <c r="D27" t="s">
        <v>7</v>
      </c>
      <c r="E27" t="s">
        <v>8</v>
      </c>
      <c r="F27" t="s">
        <v>9</v>
      </c>
      <c r="G27" t="s">
        <v>10</v>
      </c>
      <c r="I27" t="s">
        <v>8</v>
      </c>
      <c r="J27" t="s">
        <v>9</v>
      </c>
      <c r="K27" t="s">
        <v>10</v>
      </c>
    </row>
    <row r="28" spans="3:11" x14ac:dyDescent="0.25">
      <c r="C28" t="s">
        <v>11</v>
      </c>
      <c r="D28" t="s">
        <v>49</v>
      </c>
      <c r="E28">
        <v>6.92</v>
      </c>
      <c r="F28">
        <v>5.68</v>
      </c>
      <c r="G28">
        <v>6.91</v>
      </c>
      <c r="I28" t="str">
        <f>"296/1866"</f>
        <v>296/1866</v>
      </c>
      <c r="J28" t="str">
        <f>"180/367"</f>
        <v>180/367</v>
      </c>
      <c r="K28" t="str">
        <f>"392/1951"</f>
        <v>392/1951</v>
      </c>
    </row>
    <row r="29" spans="3:11" x14ac:dyDescent="0.25">
      <c r="C29" t="s">
        <v>13</v>
      </c>
      <c r="D29" t="s">
        <v>50</v>
      </c>
      <c r="E29">
        <v>6.85</v>
      </c>
      <c r="F29">
        <v>5.7</v>
      </c>
      <c r="G29">
        <v>6.92</v>
      </c>
      <c r="I29" t="str">
        <f>"141/1179"</f>
        <v>141/1179</v>
      </c>
      <c r="J29" t="str">
        <f>"87/244"</f>
        <v>87/244</v>
      </c>
      <c r="K29" t="str">
        <f>"154/983"</f>
        <v>154/983</v>
      </c>
    </row>
    <row r="30" spans="3:11" x14ac:dyDescent="0.25">
      <c r="C30" t="s">
        <v>15</v>
      </c>
      <c r="D30" t="s">
        <v>51</v>
      </c>
      <c r="E30">
        <v>6.96</v>
      </c>
      <c r="F30">
        <v>5.52</v>
      </c>
      <c r="G30">
        <v>6.8</v>
      </c>
      <c r="I30" t="str">
        <f>"297/1870"</f>
        <v>297/1870</v>
      </c>
      <c r="J30" t="str">
        <f>"181/369"</f>
        <v>181/369</v>
      </c>
      <c r="K30" t="str">
        <f>"392/1961"</f>
        <v>392/1961</v>
      </c>
    </row>
    <row r="31" spans="3:11" x14ac:dyDescent="0.25">
      <c r="C31" t="s">
        <v>17</v>
      </c>
      <c r="D31" t="s">
        <v>52</v>
      </c>
      <c r="E31">
        <v>6.95</v>
      </c>
      <c r="F31">
        <v>5.43</v>
      </c>
      <c r="G31">
        <v>6.86</v>
      </c>
      <c r="I31" t="str">
        <f>"294/1861"</f>
        <v>294/1861</v>
      </c>
      <c r="J31" t="str">
        <f>"180/367"</f>
        <v>180/367</v>
      </c>
      <c r="K31" t="str">
        <f>"389/1949"</f>
        <v>389/1949</v>
      </c>
    </row>
    <row r="32" spans="3:11" x14ac:dyDescent="0.25">
      <c r="C32" t="s">
        <v>19</v>
      </c>
      <c r="D32" t="s">
        <v>53</v>
      </c>
      <c r="E32">
        <v>6.99</v>
      </c>
      <c r="F32">
        <v>5.37</v>
      </c>
      <c r="G32">
        <v>6.81</v>
      </c>
      <c r="I32" t="str">
        <f>"299/1876"</f>
        <v>299/1876</v>
      </c>
      <c r="J32" t="str">
        <f>"185/375"</f>
        <v>185/375</v>
      </c>
      <c r="K32" t="str">
        <f>"400/1980"</f>
        <v>400/1980</v>
      </c>
    </row>
    <row r="33" spans="3:11" x14ac:dyDescent="0.25">
      <c r="C33" t="s">
        <v>21</v>
      </c>
      <c r="D33" t="s">
        <v>54</v>
      </c>
      <c r="E33">
        <v>6.97</v>
      </c>
      <c r="F33">
        <v>5.64</v>
      </c>
      <c r="G33">
        <v>6.56</v>
      </c>
      <c r="I33" t="str">
        <f>"628/4683"</f>
        <v>628/4683</v>
      </c>
      <c r="J33" t="str">
        <f>"528/1714"</f>
        <v>528/1714</v>
      </c>
      <c r="K33" t="str">
        <f>"973/5229"</f>
        <v>973/5229</v>
      </c>
    </row>
    <row r="34" spans="3:11" x14ac:dyDescent="0.25">
      <c r="C34" t="s">
        <v>23</v>
      </c>
      <c r="D34" t="s">
        <v>55</v>
      </c>
      <c r="E34">
        <v>6.95</v>
      </c>
      <c r="F34">
        <v>5.39</v>
      </c>
      <c r="G34">
        <v>6.81</v>
      </c>
      <c r="I34" t="str">
        <f>"308/1908"</f>
        <v>308/1908</v>
      </c>
      <c r="J34" t="str">
        <f>"185/377"</f>
        <v>185/377</v>
      </c>
      <c r="K34" t="str">
        <f>"419/2060"</f>
        <v>419/2060</v>
      </c>
    </row>
    <row r="35" spans="3:11" x14ac:dyDescent="0.25">
      <c r="C35" t="s">
        <v>25</v>
      </c>
      <c r="D35" t="s">
        <v>56</v>
      </c>
      <c r="E35">
        <v>6.93</v>
      </c>
      <c r="F35">
        <v>5.32</v>
      </c>
      <c r="G35">
        <v>6.85</v>
      </c>
      <c r="I35" t="str">
        <f>"301/1880"</f>
        <v>301/1880</v>
      </c>
      <c r="J35" t="str">
        <f>"182/369"</f>
        <v>182/369</v>
      </c>
      <c r="K35" t="str">
        <f>"402/1980"</f>
        <v>402/1980</v>
      </c>
    </row>
    <row r="36" spans="3:11" x14ac:dyDescent="0.25">
      <c r="C36" t="s">
        <v>27</v>
      </c>
      <c r="D36" t="s">
        <v>57</v>
      </c>
      <c r="E36">
        <v>6.94</v>
      </c>
      <c r="F36">
        <v>5.29</v>
      </c>
      <c r="G36">
        <v>6.84</v>
      </c>
      <c r="I36" t="str">
        <f>"294/1861"</f>
        <v>294/1861</v>
      </c>
      <c r="J36" t="str">
        <f>"180/367"</f>
        <v>180/367</v>
      </c>
      <c r="K36" t="str">
        <f>"388/1938"</f>
        <v>388/1938</v>
      </c>
    </row>
    <row r="37" spans="3:11" x14ac:dyDescent="0.25">
      <c r="C37" t="s">
        <v>29</v>
      </c>
      <c r="D37" t="s">
        <v>58</v>
      </c>
      <c r="E37">
        <v>6.89</v>
      </c>
      <c r="F37">
        <v>5.6</v>
      </c>
      <c r="G37">
        <v>6.42</v>
      </c>
      <c r="I37" t="str">
        <f>"323/3796"</f>
        <v>323/3796</v>
      </c>
      <c r="J37" t="str">
        <f>"182/633"</f>
        <v>182/633</v>
      </c>
      <c r="K37" t="str">
        <f>"369/2147"</f>
        <v>369/2147</v>
      </c>
    </row>
    <row r="38" spans="3:11" x14ac:dyDescent="0.25">
      <c r="C38" t="s">
        <v>31</v>
      </c>
      <c r="D38" t="s">
        <v>59</v>
      </c>
      <c r="E38">
        <v>6.9</v>
      </c>
      <c r="F38">
        <v>5.27</v>
      </c>
      <c r="G38">
        <v>6.65</v>
      </c>
      <c r="I38" t="str">
        <f>"136/1345"</f>
        <v>136/1345</v>
      </c>
      <c r="J38" t="str">
        <f>"86/237"</f>
        <v>86/237</v>
      </c>
      <c r="K38" t="str">
        <f>"155/809"</f>
        <v>155/809</v>
      </c>
    </row>
    <row r="39" spans="3:11" x14ac:dyDescent="0.25">
      <c r="C39" t="s">
        <v>33</v>
      </c>
      <c r="D39" t="s">
        <v>60</v>
      </c>
      <c r="E39">
        <v>6.97</v>
      </c>
      <c r="F39">
        <v>4.91</v>
      </c>
      <c r="G39">
        <v>6.86</v>
      </c>
      <c r="I39" t="str">
        <f>"173/1280"</f>
        <v>173/1280</v>
      </c>
      <c r="J39" t="str">
        <f>"91/96"</f>
        <v>91/96</v>
      </c>
      <c r="K39" t="str">
        <f>"170/636"</f>
        <v>170/636</v>
      </c>
    </row>
    <row r="40" spans="3:11" x14ac:dyDescent="0.25">
      <c r="C40" t="s">
        <v>35</v>
      </c>
      <c r="D40" t="s">
        <v>61</v>
      </c>
      <c r="E40">
        <v>6.89</v>
      </c>
      <c r="F40">
        <v>5.01</v>
      </c>
      <c r="G40">
        <v>6.78</v>
      </c>
      <c r="I40" t="str">
        <f>"292/1540"</f>
        <v>292/1540</v>
      </c>
      <c r="J40" t="str">
        <f>"206/295"</f>
        <v>206/295</v>
      </c>
      <c r="K40" t="str">
        <f>"344/983"</f>
        <v>344/983</v>
      </c>
    </row>
    <row r="41" spans="3:11" x14ac:dyDescent="0.25">
      <c r="C41" t="s">
        <v>37</v>
      </c>
      <c r="D41" t="s">
        <v>62</v>
      </c>
      <c r="E41">
        <v>6.89</v>
      </c>
      <c r="F41">
        <v>5.55</v>
      </c>
      <c r="G41">
        <v>6.23</v>
      </c>
      <c r="I41" t="str">
        <f>"480/3310"</f>
        <v>480/3310</v>
      </c>
      <c r="J41" t="str">
        <f>"370/995"</f>
        <v>370/995</v>
      </c>
      <c r="K41" t="str">
        <f>"650/2628"</f>
        <v>650/2628</v>
      </c>
    </row>
    <row r="42" spans="3:11" x14ac:dyDescent="0.25">
      <c r="C42" t="s">
        <v>39</v>
      </c>
      <c r="D42" t="s">
        <v>63</v>
      </c>
      <c r="E42">
        <v>6.89</v>
      </c>
      <c r="F42">
        <v>5.41</v>
      </c>
      <c r="G42">
        <v>6.38</v>
      </c>
      <c r="I42" t="str">
        <f>"599/4405"</f>
        <v>599/4405</v>
      </c>
      <c r="J42" t="str">
        <f>"444/1217"</f>
        <v>444/1217</v>
      </c>
      <c r="K42" t="str">
        <f>"890/4301"</f>
        <v>890/4301</v>
      </c>
    </row>
    <row r="43" spans="3:11" x14ac:dyDescent="0.25">
      <c r="C43" t="s">
        <v>41</v>
      </c>
      <c r="D43" t="s">
        <v>64</v>
      </c>
      <c r="E43">
        <v>6.95</v>
      </c>
      <c r="F43">
        <v>5.13</v>
      </c>
      <c r="G43">
        <v>6.59</v>
      </c>
      <c r="I43" t="str">
        <f>"117/1759"</f>
        <v>117/1759</v>
      </c>
      <c r="J43" t="str">
        <f>"49/173"</f>
        <v>49/173</v>
      </c>
      <c r="K43" t="str">
        <f>"140/908"</f>
        <v>140/908</v>
      </c>
    </row>
    <row r="44" spans="3:11" x14ac:dyDescent="0.25">
      <c r="C44" t="s">
        <v>43</v>
      </c>
      <c r="D44" t="s">
        <v>65</v>
      </c>
      <c r="E44">
        <v>6.88</v>
      </c>
      <c r="F44">
        <v>5.36</v>
      </c>
      <c r="G44">
        <v>6.34</v>
      </c>
      <c r="I44" t="str">
        <f>"196/1530"</f>
        <v>196/1530</v>
      </c>
      <c r="J44" t="str">
        <f>"135/357"</f>
        <v>135/357</v>
      </c>
      <c r="K44" t="str">
        <f>"310/1259"</f>
        <v>310/1259</v>
      </c>
    </row>
    <row r="45" spans="3:11" x14ac:dyDescent="0.25">
      <c r="C45" t="s">
        <v>66</v>
      </c>
      <c r="D45" t="s">
        <v>67</v>
      </c>
      <c r="E45">
        <v>6.79</v>
      </c>
      <c r="F45">
        <v>5.17</v>
      </c>
      <c r="G45">
        <v>6.57</v>
      </c>
      <c r="I45" t="str">
        <f>"553/2938"</f>
        <v>553/2938</v>
      </c>
      <c r="J45" t="str">
        <f>"443/1252"</f>
        <v>443/1252</v>
      </c>
      <c r="K45" t="str">
        <f>"879/4762"</f>
        <v>879/4762</v>
      </c>
    </row>
    <row r="46" spans="3:11" x14ac:dyDescent="0.25">
      <c r="C46" t="s">
        <v>68</v>
      </c>
      <c r="D46" t="s">
        <v>69</v>
      </c>
      <c r="E46">
        <v>6.82</v>
      </c>
      <c r="F46">
        <v>5.07</v>
      </c>
      <c r="G46">
        <v>6.59</v>
      </c>
      <c r="I46" t="str">
        <f>"625/3536"</f>
        <v>625/3536</v>
      </c>
      <c r="J46" t="str">
        <f>"479/1165"</f>
        <v>479/1165</v>
      </c>
      <c r="K46" t="str">
        <f>"920/4036"</f>
        <v>920/4036</v>
      </c>
    </row>
    <row r="47" spans="3:11" x14ac:dyDescent="0.25">
      <c r="C47" t="s">
        <v>70</v>
      </c>
      <c r="D47" t="s">
        <v>71</v>
      </c>
      <c r="E47">
        <v>6.78</v>
      </c>
      <c r="F47">
        <v>5.24</v>
      </c>
      <c r="G47">
        <v>6.45</v>
      </c>
      <c r="I47" t="str">
        <f>"385/2630"</f>
        <v>385/2630</v>
      </c>
      <c r="J47" t="str">
        <f>"239/631"</f>
        <v>239/631</v>
      </c>
      <c r="K47" t="str">
        <f>"474/2039"</f>
        <v>474/2039</v>
      </c>
    </row>
    <row r="48" spans="3:11" x14ac:dyDescent="0.25">
      <c r="C48" t="s">
        <v>72</v>
      </c>
      <c r="D48" t="s">
        <v>73</v>
      </c>
      <c r="E48">
        <v>6.95</v>
      </c>
      <c r="F48">
        <v>4.6100000000000003</v>
      </c>
      <c r="G48">
        <v>6.83</v>
      </c>
      <c r="I48" t="str">
        <f>"173/1280"</f>
        <v>173/1280</v>
      </c>
      <c r="J48" t="str">
        <f>"91/96"</f>
        <v>91/96</v>
      </c>
      <c r="K48" t="str">
        <f>"170/636"</f>
        <v>170/636</v>
      </c>
    </row>
    <row r="49" spans="3:11" x14ac:dyDescent="0.25">
      <c r="C49" t="s">
        <v>74</v>
      </c>
      <c r="D49" t="s">
        <v>75</v>
      </c>
      <c r="E49">
        <v>6.79</v>
      </c>
      <c r="F49">
        <v>4.82</v>
      </c>
      <c r="G49">
        <v>6.76</v>
      </c>
      <c r="I49" t="str">
        <f>"405/2328"</f>
        <v>405/2328</v>
      </c>
      <c r="J49" t="str">
        <f>"275/633"</f>
        <v>275/633</v>
      </c>
      <c r="K49" t="str">
        <f>"564/2712"</f>
        <v>564/2712</v>
      </c>
    </row>
    <row r="50" spans="3:11" x14ac:dyDescent="0.25">
      <c r="C50" t="s">
        <v>76</v>
      </c>
      <c r="D50" t="s">
        <v>77</v>
      </c>
      <c r="E50">
        <v>6.82</v>
      </c>
      <c r="F50">
        <v>5.25</v>
      </c>
      <c r="G50">
        <v>6.2</v>
      </c>
      <c r="I50" t="str">
        <f>"526/3845"</f>
        <v>526/3845</v>
      </c>
      <c r="J50" t="str">
        <f>"369/1181"</f>
        <v>369/1181</v>
      </c>
      <c r="K50" t="str">
        <f>"785/4340"</f>
        <v>785/4340</v>
      </c>
    </row>
    <row r="51" spans="3:11" x14ac:dyDescent="0.25">
      <c r="C51" t="s">
        <v>78</v>
      </c>
      <c r="D51" t="s">
        <v>79</v>
      </c>
      <c r="E51">
        <v>6.92</v>
      </c>
      <c r="F51">
        <v>4.6900000000000004</v>
      </c>
      <c r="G51">
        <v>6.67</v>
      </c>
      <c r="I51" t="str">
        <f>"405/2328"</f>
        <v>405/2328</v>
      </c>
      <c r="J51" t="str">
        <f>"275/633"</f>
        <v>275/633</v>
      </c>
      <c r="K51" t="str">
        <f>"564/2712"</f>
        <v>564/2712</v>
      </c>
    </row>
    <row r="52" spans="3:11" x14ac:dyDescent="0.25">
      <c r="C52" t="s">
        <v>80</v>
      </c>
      <c r="D52" t="s">
        <v>81</v>
      </c>
      <c r="E52">
        <v>6.93</v>
      </c>
      <c r="F52">
        <v>5.0199999999999996</v>
      </c>
      <c r="G52">
        <v>6.3</v>
      </c>
      <c r="I52" t="str">
        <f>"340/2619"</f>
        <v>340/2619</v>
      </c>
      <c r="J52" t="str">
        <f>"172/462"</f>
        <v>172/462</v>
      </c>
      <c r="K52" t="str">
        <f>"369/1488"</f>
        <v>369/1488</v>
      </c>
    </row>
    <row r="53" spans="3:11" x14ac:dyDescent="0.25">
      <c r="C53" t="s">
        <v>82</v>
      </c>
      <c r="D53" t="s">
        <v>83</v>
      </c>
      <c r="E53">
        <v>6.9</v>
      </c>
      <c r="F53">
        <v>4.8499999999999996</v>
      </c>
      <c r="G53">
        <v>6.42</v>
      </c>
      <c r="I53" t="str">
        <f>"529/3869"</f>
        <v>529/3869</v>
      </c>
      <c r="J53" t="str">
        <f>"369/1181"</f>
        <v>369/1181</v>
      </c>
      <c r="K53" t="str">
        <f>"789/4372"</f>
        <v>789/4372</v>
      </c>
    </row>
    <row r="54" spans="3:11" x14ac:dyDescent="0.25">
      <c r="C54" t="s">
        <v>84</v>
      </c>
      <c r="D54" t="s">
        <v>85</v>
      </c>
      <c r="E54">
        <v>6.86</v>
      </c>
      <c r="F54">
        <v>5.08</v>
      </c>
      <c r="G54">
        <v>6.2</v>
      </c>
      <c r="I54" t="str">
        <f>"317/2292"</f>
        <v>317/2292</v>
      </c>
      <c r="J54" t="str">
        <f>"162/400"</f>
        <v>162/400</v>
      </c>
      <c r="K54" t="str">
        <f>"329/1380"</f>
        <v>329/1380</v>
      </c>
    </row>
    <row r="55" spans="3:11" x14ac:dyDescent="0.25">
      <c r="C55" t="s">
        <v>86</v>
      </c>
      <c r="D55" t="s">
        <v>87</v>
      </c>
      <c r="E55">
        <v>6.91</v>
      </c>
      <c r="F55">
        <v>4.47</v>
      </c>
      <c r="G55">
        <v>6.73</v>
      </c>
      <c r="I55" t="str">
        <f>"288/1624"</f>
        <v>288/1624</v>
      </c>
      <c r="J55" t="str">
        <f>"212/276"</f>
        <v>212/276</v>
      </c>
      <c r="K55" t="str">
        <f>"325/1038"</f>
        <v>325/1038</v>
      </c>
    </row>
    <row r="56" spans="3:11" x14ac:dyDescent="0.25">
      <c r="C56" t="s">
        <v>88</v>
      </c>
      <c r="D56" t="s">
        <v>89</v>
      </c>
      <c r="E56">
        <v>6.78</v>
      </c>
      <c r="F56">
        <v>4.95</v>
      </c>
      <c r="G56">
        <v>6.33</v>
      </c>
      <c r="I56" t="str">
        <f>"213/1714"</f>
        <v>213/1714</v>
      </c>
      <c r="J56" t="str">
        <f>"155/441"</f>
        <v>155/441</v>
      </c>
      <c r="K56" t="str">
        <f>"349/1611"</f>
        <v>349/1611</v>
      </c>
    </row>
    <row r="57" spans="3:11" x14ac:dyDescent="0.25">
      <c r="C57" t="s">
        <v>90</v>
      </c>
      <c r="D57" t="s">
        <v>91</v>
      </c>
      <c r="E57">
        <v>6.79</v>
      </c>
      <c r="F57">
        <v>4.91</v>
      </c>
      <c r="G57">
        <v>6.3</v>
      </c>
      <c r="I57" t="str">
        <f>"521/2737"</f>
        <v>521/2737</v>
      </c>
      <c r="J57" t="str">
        <f>"303/601"</f>
        <v>303/601</v>
      </c>
      <c r="K57" t="str">
        <f>"720/2439"</f>
        <v>720/2439</v>
      </c>
    </row>
    <row r="58" spans="3:11" x14ac:dyDescent="0.25">
      <c r="C58" t="s">
        <v>92</v>
      </c>
      <c r="D58" t="s">
        <v>93</v>
      </c>
      <c r="E58">
        <v>6.88</v>
      </c>
      <c r="F58">
        <v>4.9000000000000004</v>
      </c>
      <c r="G58">
        <v>6.19</v>
      </c>
      <c r="I58" t="str">
        <f>"303/2053"</f>
        <v>303/2053</v>
      </c>
      <c r="J58" t="str">
        <f>"203/631"</f>
        <v>203/631</v>
      </c>
      <c r="K58" t="str">
        <f>"366/1703"</f>
        <v>366/1703</v>
      </c>
    </row>
    <row r="59" spans="3:11" x14ac:dyDescent="0.25">
      <c r="C59" t="s">
        <v>94</v>
      </c>
      <c r="D59" t="s">
        <v>95</v>
      </c>
      <c r="E59">
        <v>6.84</v>
      </c>
      <c r="F59">
        <v>4.74</v>
      </c>
      <c r="G59">
        <v>6.3</v>
      </c>
      <c r="I59" t="str">
        <f>"378/2964"</f>
        <v>378/2964</v>
      </c>
      <c r="J59" t="str">
        <f>"217/613"</f>
        <v>217/613</v>
      </c>
      <c r="K59" t="str">
        <f>"478/2346"</f>
        <v>478/2346</v>
      </c>
    </row>
    <row r="60" spans="3:11" x14ac:dyDescent="0.25">
      <c r="C60" t="s">
        <v>96</v>
      </c>
      <c r="D60" t="s">
        <v>97</v>
      </c>
      <c r="E60">
        <v>6.88</v>
      </c>
      <c r="F60">
        <v>4.72</v>
      </c>
      <c r="G60">
        <v>6.2</v>
      </c>
      <c r="I60" t="str">
        <f>"263/1632"</f>
        <v>263/1632</v>
      </c>
      <c r="J60" t="str">
        <f>"147/386"</f>
        <v>147/386</v>
      </c>
      <c r="K60" t="str">
        <f>"285/1243"</f>
        <v>285/1243</v>
      </c>
    </row>
    <row r="61" spans="3:11" x14ac:dyDescent="0.25">
      <c r="C61" t="s">
        <v>98</v>
      </c>
      <c r="D61" t="s">
        <v>99</v>
      </c>
      <c r="E61">
        <v>6.77</v>
      </c>
      <c r="F61">
        <v>4.51</v>
      </c>
      <c r="G61">
        <v>6.45</v>
      </c>
      <c r="I61" t="str">
        <f>"417/2430"</f>
        <v>417/2430</v>
      </c>
      <c r="J61" t="str">
        <f>"282/708"</f>
        <v>282/708</v>
      </c>
      <c r="K61" t="str">
        <f>"596/3006"</f>
        <v>596/3006</v>
      </c>
    </row>
    <row r="62" spans="3:11" x14ac:dyDescent="0.25">
      <c r="C62" t="s">
        <v>100</v>
      </c>
      <c r="D62" t="s">
        <v>101</v>
      </c>
      <c r="E62">
        <v>6.83</v>
      </c>
      <c r="F62">
        <v>4.53</v>
      </c>
      <c r="G62">
        <v>6.3</v>
      </c>
      <c r="I62" t="str">
        <f>"504/2700"</f>
        <v>504/2700</v>
      </c>
      <c r="J62" t="str">
        <f>"294/591"</f>
        <v>294/591</v>
      </c>
      <c r="K62" t="str">
        <f>"692/2374"</f>
        <v>692/2374</v>
      </c>
    </row>
    <row r="63" spans="3:11" x14ac:dyDescent="0.25">
      <c r="C63" t="s">
        <v>102</v>
      </c>
      <c r="D63" t="s">
        <v>103</v>
      </c>
      <c r="E63">
        <v>6.86</v>
      </c>
      <c r="F63">
        <v>4.0999999999999996</v>
      </c>
      <c r="G63">
        <v>6.59</v>
      </c>
      <c r="I63" t="str">
        <f>"288/1624"</f>
        <v>288/1624</v>
      </c>
      <c r="J63" t="str">
        <f>"212/276"</f>
        <v>212/276</v>
      </c>
      <c r="K63" t="str">
        <f>"325/1038"</f>
        <v>325/1038</v>
      </c>
    </row>
    <row r="64" spans="3:11" x14ac:dyDescent="0.25">
      <c r="C64" t="s">
        <v>104</v>
      </c>
      <c r="D64" t="s">
        <v>105</v>
      </c>
      <c r="E64">
        <v>6.85</v>
      </c>
      <c r="F64">
        <v>4.2699999999999996</v>
      </c>
      <c r="G64">
        <v>6.26</v>
      </c>
      <c r="I64" t="str">
        <f>"671/3536"</f>
        <v>671/3536</v>
      </c>
      <c r="J64" t="str">
        <f>"439/868"</f>
        <v>439/868</v>
      </c>
      <c r="K64" t="str">
        <f>"984/3406"</f>
        <v>984/3406</v>
      </c>
    </row>
    <row r="65" spans="3:11" x14ac:dyDescent="0.25">
      <c r="C65" t="s">
        <v>106</v>
      </c>
      <c r="D65" t="s">
        <v>107</v>
      </c>
      <c r="E65">
        <v>6.78</v>
      </c>
      <c r="F65">
        <v>3.91</v>
      </c>
      <c r="G65">
        <v>6.47</v>
      </c>
      <c r="I65" t="str">
        <f>"188/1211"</f>
        <v>188/1211</v>
      </c>
      <c r="J65" t="str">
        <f>"100/233"</f>
        <v>100/233</v>
      </c>
      <c r="K65" t="str">
        <f>"172/722"</f>
        <v>172/722</v>
      </c>
    </row>
    <row r="66" spans="3:11" x14ac:dyDescent="0.25">
      <c r="C66" t="s">
        <v>45</v>
      </c>
      <c r="D66" t="s">
        <v>108</v>
      </c>
      <c r="K66" t="s">
        <v>109</v>
      </c>
    </row>
    <row r="68" spans="3:11" x14ac:dyDescent="0.25">
      <c r="C68" t="s">
        <v>110</v>
      </c>
      <c r="F68" t="s">
        <v>5</v>
      </c>
      <c r="J68" t="s">
        <v>6</v>
      </c>
    </row>
    <row r="69" spans="3:11" x14ac:dyDescent="0.25">
      <c r="D69" t="s">
        <v>7</v>
      </c>
      <c r="E69" t="s">
        <v>8</v>
      </c>
      <c r="F69" t="s">
        <v>9</v>
      </c>
      <c r="G69" t="s">
        <v>10</v>
      </c>
      <c r="I69" t="s">
        <v>8</v>
      </c>
      <c r="J69" t="s">
        <v>9</v>
      </c>
      <c r="K69" t="s">
        <v>10</v>
      </c>
    </row>
    <row r="70" spans="3:11" x14ac:dyDescent="0.25">
      <c r="C70" t="s">
        <v>11</v>
      </c>
      <c r="D70" t="s">
        <v>111</v>
      </c>
      <c r="E70">
        <v>6.9</v>
      </c>
      <c r="F70">
        <v>6.79</v>
      </c>
      <c r="G70">
        <v>6.15</v>
      </c>
      <c r="I70" t="str">
        <f>"322/1660"</f>
        <v>322/1660</v>
      </c>
      <c r="J70" t="str">
        <f>"287/1677"</f>
        <v>287/1677</v>
      </c>
      <c r="K70" t="str">
        <f>"481/1467"</f>
        <v>481/1467</v>
      </c>
    </row>
    <row r="71" spans="3:11" x14ac:dyDescent="0.25">
      <c r="C71" t="s">
        <v>13</v>
      </c>
      <c r="D71" t="s">
        <v>112</v>
      </c>
      <c r="E71">
        <v>6.81</v>
      </c>
      <c r="F71">
        <v>6.74</v>
      </c>
      <c r="G71">
        <v>6.12</v>
      </c>
      <c r="I71" t="str">
        <f>"377/1237"</f>
        <v>377/1237</v>
      </c>
      <c r="J71" t="str">
        <f>"346/1289"</f>
        <v>346/1289</v>
      </c>
      <c r="K71" t="str">
        <f>"689/2249"</f>
        <v>689/2249</v>
      </c>
    </row>
    <row r="72" spans="3:11" x14ac:dyDescent="0.25">
      <c r="C72" t="s">
        <v>15</v>
      </c>
      <c r="D72" t="s">
        <v>113</v>
      </c>
      <c r="E72">
        <v>6.8</v>
      </c>
      <c r="F72">
        <v>6.7</v>
      </c>
      <c r="G72">
        <v>5.98</v>
      </c>
      <c r="I72" t="str">
        <f>"377/1237"</f>
        <v>377/1237</v>
      </c>
      <c r="J72" t="str">
        <f>"349/1292"</f>
        <v>349/1292</v>
      </c>
      <c r="K72" t="str">
        <f>"694/2254"</f>
        <v>694/2254</v>
      </c>
    </row>
    <row r="73" spans="3:11" x14ac:dyDescent="0.25">
      <c r="C73" t="s">
        <v>17</v>
      </c>
      <c r="D73" t="s">
        <v>114</v>
      </c>
      <c r="E73">
        <v>6.93</v>
      </c>
      <c r="F73">
        <v>5.92</v>
      </c>
      <c r="G73">
        <v>6.18</v>
      </c>
      <c r="I73" t="str">
        <f>"391/2915"</f>
        <v>391/2915</v>
      </c>
      <c r="J73" t="str">
        <f>"275/849"</f>
        <v>275/849</v>
      </c>
      <c r="K73" t="str">
        <f>"524/2715"</f>
        <v>524/2715</v>
      </c>
    </row>
    <row r="74" spans="3:11" x14ac:dyDescent="0.25">
      <c r="C74" t="s">
        <v>19</v>
      </c>
      <c r="D74" t="s">
        <v>115</v>
      </c>
      <c r="E74">
        <v>6.94</v>
      </c>
      <c r="F74">
        <v>5.82</v>
      </c>
      <c r="G74">
        <v>6.03</v>
      </c>
      <c r="I74" t="str">
        <f>"418/3373"</f>
        <v>418/3373</v>
      </c>
      <c r="J74" t="str">
        <f>"224/593"</f>
        <v>224/593</v>
      </c>
      <c r="K74" t="str">
        <f>"451/1803"</f>
        <v>451/1803</v>
      </c>
    </row>
    <row r="75" spans="3:11" x14ac:dyDescent="0.25">
      <c r="C75" t="s">
        <v>21</v>
      </c>
      <c r="D75" t="s">
        <v>116</v>
      </c>
      <c r="E75">
        <v>6.84</v>
      </c>
      <c r="F75">
        <v>6.7</v>
      </c>
      <c r="G75">
        <v>3.55</v>
      </c>
      <c r="I75" t="str">
        <f>"164/425"</f>
        <v>164/425</v>
      </c>
      <c r="J75" t="str">
        <f>"143/535"</f>
        <v>143/535</v>
      </c>
      <c r="K75" t="str">
        <f>"190/398"</f>
        <v>190/398</v>
      </c>
    </row>
    <row r="76" spans="3:11" x14ac:dyDescent="0.25">
      <c r="C76" t="s">
        <v>45</v>
      </c>
      <c r="D76" t="s">
        <v>117</v>
      </c>
      <c r="K76" t="s">
        <v>118</v>
      </c>
    </row>
    <row r="78" spans="3:11" x14ac:dyDescent="0.25">
      <c r="C78" t="s">
        <v>119</v>
      </c>
      <c r="F78" t="s">
        <v>5</v>
      </c>
      <c r="J78" t="s">
        <v>6</v>
      </c>
    </row>
    <row r="79" spans="3:11" x14ac:dyDescent="0.25">
      <c r="D79" t="s">
        <v>7</v>
      </c>
      <c r="E79" t="s">
        <v>8</v>
      </c>
      <c r="F79" t="s">
        <v>9</v>
      </c>
      <c r="G79" t="s">
        <v>10</v>
      </c>
      <c r="I79" t="s">
        <v>8</v>
      </c>
      <c r="J79" t="s">
        <v>9</v>
      </c>
      <c r="K79" t="s">
        <v>10</v>
      </c>
    </row>
    <row r="80" spans="3:11" x14ac:dyDescent="0.25">
      <c r="C80" t="s">
        <v>11</v>
      </c>
      <c r="D80" t="s">
        <v>120</v>
      </c>
      <c r="E80">
        <v>6.74</v>
      </c>
      <c r="F80">
        <v>6.71</v>
      </c>
      <c r="G80">
        <v>6.54</v>
      </c>
      <c r="I80" t="str">
        <f>"159/407"</f>
        <v>159/407</v>
      </c>
      <c r="J80" t="str">
        <f>"136/486"</f>
        <v>136/486</v>
      </c>
      <c r="K80" t="str">
        <f>"277/957"</f>
        <v>277/957</v>
      </c>
    </row>
    <row r="81" spans="3:11" x14ac:dyDescent="0.25">
      <c r="C81" t="s">
        <v>13</v>
      </c>
      <c r="D81" t="s">
        <v>121</v>
      </c>
      <c r="E81">
        <v>6.63</v>
      </c>
      <c r="F81">
        <v>6.61</v>
      </c>
      <c r="G81">
        <v>6.34</v>
      </c>
      <c r="I81" t="str">
        <f>"265/1251"</f>
        <v>265/1251</v>
      </c>
      <c r="J81" t="str">
        <f>"232/1220"</f>
        <v>232/1220</v>
      </c>
      <c r="K81" t="str">
        <f>"366/1042"</f>
        <v>366/1042</v>
      </c>
    </row>
    <row r="82" spans="3:11" x14ac:dyDescent="0.25">
      <c r="C82" t="s">
        <v>15</v>
      </c>
      <c r="D82" t="s">
        <v>122</v>
      </c>
      <c r="E82">
        <v>6.63</v>
      </c>
      <c r="F82">
        <v>6.14</v>
      </c>
      <c r="G82">
        <v>6.81</v>
      </c>
      <c r="I82" t="str">
        <f>"533/2925"</f>
        <v>533/2925</v>
      </c>
      <c r="J82" t="str">
        <f>"447/1358"</f>
        <v>447/1358</v>
      </c>
      <c r="K82" t="str">
        <f>"815/3345"</f>
        <v>815/3345</v>
      </c>
    </row>
    <row r="83" spans="3:11" x14ac:dyDescent="0.25">
      <c r="C83" t="s">
        <v>17</v>
      </c>
      <c r="D83" t="s">
        <v>123</v>
      </c>
      <c r="E83">
        <v>6.49</v>
      </c>
      <c r="F83">
        <v>6.68</v>
      </c>
      <c r="G83">
        <v>6.39</v>
      </c>
      <c r="I83" t="str">
        <f>"210/756"</f>
        <v>210/756</v>
      </c>
      <c r="J83" t="str">
        <f>"230/1022"</f>
        <v>230/1022</v>
      </c>
      <c r="K83" t="str">
        <f>"398/1224"</f>
        <v>398/1224</v>
      </c>
    </row>
    <row r="84" spans="3:11" x14ac:dyDescent="0.25">
      <c r="C84" t="s">
        <v>19</v>
      </c>
      <c r="D84" t="s">
        <v>124</v>
      </c>
      <c r="E84">
        <v>6.73</v>
      </c>
      <c r="F84">
        <v>6.08</v>
      </c>
      <c r="G84">
        <v>6.61</v>
      </c>
      <c r="I84" t="str">
        <f>"641/3535"</f>
        <v>641/3535</v>
      </c>
      <c r="J84" t="str">
        <f>"524/1607"</f>
        <v>524/1607</v>
      </c>
      <c r="K84" t="str">
        <f>"956/3839"</f>
        <v>956/3839</v>
      </c>
    </row>
    <row r="85" spans="3:11" x14ac:dyDescent="0.25">
      <c r="C85" t="s">
        <v>21</v>
      </c>
      <c r="D85" t="s">
        <v>125</v>
      </c>
      <c r="E85">
        <v>6.66</v>
      </c>
      <c r="F85">
        <v>6.11</v>
      </c>
      <c r="G85">
        <v>6.62</v>
      </c>
      <c r="I85" t="str">
        <f>"715/2235"</f>
        <v>715/2235</v>
      </c>
      <c r="J85" t="str">
        <f>"424/890"</f>
        <v>424/890</v>
      </c>
      <c r="K85" t="str">
        <f>"838/2156"</f>
        <v>838/2156</v>
      </c>
    </row>
    <row r="86" spans="3:11" x14ac:dyDescent="0.25">
      <c r="C86" t="s">
        <v>23</v>
      </c>
      <c r="D86" t="s">
        <v>126</v>
      </c>
      <c r="E86">
        <v>6.66</v>
      </c>
      <c r="F86">
        <v>6.24</v>
      </c>
      <c r="G86">
        <v>6.48</v>
      </c>
      <c r="I86" t="str">
        <f>"848/2641"</f>
        <v>848/2641</v>
      </c>
      <c r="J86" t="str">
        <f>"459/956"</f>
        <v>459/956</v>
      </c>
      <c r="K86" t="str">
        <f>"993/2560"</f>
        <v>993/2560</v>
      </c>
    </row>
    <row r="87" spans="3:11" x14ac:dyDescent="0.25">
      <c r="C87" t="s">
        <v>25</v>
      </c>
      <c r="D87" t="s">
        <v>127</v>
      </c>
      <c r="E87">
        <v>6.58</v>
      </c>
      <c r="F87">
        <v>6.42</v>
      </c>
      <c r="G87">
        <v>6.35</v>
      </c>
      <c r="I87" t="str">
        <f>"485/1835"</f>
        <v>485/1835</v>
      </c>
      <c r="J87" t="str">
        <f>"486/1830"</f>
        <v>486/1830</v>
      </c>
      <c r="K87" t="str">
        <f>"899/2778"</f>
        <v>899/2778</v>
      </c>
    </row>
    <row r="88" spans="3:11" x14ac:dyDescent="0.25">
      <c r="C88" t="s">
        <v>27</v>
      </c>
      <c r="D88" t="s">
        <v>128</v>
      </c>
      <c r="E88">
        <v>6.34</v>
      </c>
      <c r="F88">
        <v>6.33</v>
      </c>
      <c r="G88">
        <v>6.66</v>
      </c>
      <c r="I88" t="str">
        <f>"222/356"</f>
        <v>222/356</v>
      </c>
      <c r="J88" t="str">
        <f>"166/293"</f>
        <v>166/293</v>
      </c>
      <c r="K88" t="str">
        <f>"254/659"</f>
        <v>254/659</v>
      </c>
    </row>
    <row r="89" spans="3:11" x14ac:dyDescent="0.25">
      <c r="C89" t="s">
        <v>29</v>
      </c>
      <c r="D89" t="s">
        <v>129</v>
      </c>
      <c r="E89">
        <v>6.29</v>
      </c>
      <c r="F89">
        <v>6.64</v>
      </c>
      <c r="G89">
        <v>6.32</v>
      </c>
      <c r="I89" t="str">
        <f>"272/526"</f>
        <v>272/526</v>
      </c>
      <c r="J89" t="str">
        <f>"230/722"</f>
        <v>230/722</v>
      </c>
      <c r="K89" t="str">
        <f>"530/1487"</f>
        <v>530/1487</v>
      </c>
    </row>
    <row r="90" spans="3:11" x14ac:dyDescent="0.25">
      <c r="C90" t="s">
        <v>31</v>
      </c>
      <c r="D90" t="s">
        <v>130</v>
      </c>
      <c r="E90">
        <v>6.14</v>
      </c>
      <c r="F90">
        <v>6.73</v>
      </c>
      <c r="G90">
        <v>6.35</v>
      </c>
      <c r="I90" t="str">
        <f>"276/580"</f>
        <v>276/580</v>
      </c>
      <c r="J90" t="str">
        <f>"260/876"</f>
        <v>260/876</v>
      </c>
      <c r="K90" t="str">
        <f>"491/1097"</f>
        <v>491/1097</v>
      </c>
    </row>
    <row r="91" spans="3:11" x14ac:dyDescent="0.25">
      <c r="C91" t="s">
        <v>33</v>
      </c>
      <c r="D91" t="s">
        <v>131</v>
      </c>
      <c r="E91">
        <v>6.72</v>
      </c>
      <c r="F91">
        <v>5.73</v>
      </c>
      <c r="G91">
        <v>6.76</v>
      </c>
      <c r="I91" t="str">
        <f>"127/745"</f>
        <v>127/745</v>
      </c>
      <c r="J91" t="str">
        <f>"71/164"</f>
        <v>71/164</v>
      </c>
      <c r="K91" t="str">
        <f>"135/651"</f>
        <v>135/651</v>
      </c>
    </row>
    <row r="92" spans="3:11" x14ac:dyDescent="0.25">
      <c r="C92" t="s">
        <v>35</v>
      </c>
      <c r="D92" t="s">
        <v>132</v>
      </c>
      <c r="E92">
        <v>6.46</v>
      </c>
      <c r="F92">
        <v>5.79</v>
      </c>
      <c r="G92">
        <v>6.75</v>
      </c>
      <c r="I92" t="str">
        <f>"264/499"</f>
        <v>264/499</v>
      </c>
      <c r="J92" t="str">
        <f>"163/220"</f>
        <v>163/220</v>
      </c>
      <c r="K92" t="str">
        <f>"311/799"</f>
        <v>311/799</v>
      </c>
    </row>
    <row r="93" spans="3:11" x14ac:dyDescent="0.25">
      <c r="C93" t="s">
        <v>37</v>
      </c>
      <c r="D93" t="s">
        <v>133</v>
      </c>
      <c r="E93">
        <v>6.3</v>
      </c>
      <c r="F93">
        <v>5.92</v>
      </c>
      <c r="G93">
        <v>6.74</v>
      </c>
      <c r="I93" t="str">
        <f>"145/307"</f>
        <v>145/307</v>
      </c>
      <c r="J93" t="str">
        <f>"96/166"</f>
        <v>96/166</v>
      </c>
      <c r="K93" t="str">
        <f>"149/387"</f>
        <v>149/387</v>
      </c>
    </row>
    <row r="94" spans="3:11" x14ac:dyDescent="0.25">
      <c r="C94" t="s">
        <v>39</v>
      </c>
      <c r="D94" t="s">
        <v>134</v>
      </c>
      <c r="E94">
        <v>6.15</v>
      </c>
      <c r="F94">
        <v>6.43</v>
      </c>
      <c r="G94">
        <v>6.25</v>
      </c>
      <c r="I94" t="str">
        <f>"228/1084"</f>
        <v>228/1084</v>
      </c>
      <c r="J94" t="str">
        <f>"207/1086"</f>
        <v>207/1086</v>
      </c>
      <c r="K94" t="str">
        <f>"309/935"</f>
        <v>309/935</v>
      </c>
    </row>
    <row r="95" spans="3:11" x14ac:dyDescent="0.25">
      <c r="C95" t="s">
        <v>41</v>
      </c>
      <c r="D95" t="s">
        <v>135</v>
      </c>
      <c r="E95">
        <v>6.37</v>
      </c>
      <c r="F95">
        <v>6.13</v>
      </c>
      <c r="G95">
        <v>6.3</v>
      </c>
      <c r="I95" t="str">
        <f>"97/272"</f>
        <v>97/272</v>
      </c>
      <c r="J95" t="str">
        <f>"61/195"</f>
        <v>61/195</v>
      </c>
      <c r="K95" t="str">
        <f>"84/198"</f>
        <v>84/198</v>
      </c>
    </row>
    <row r="96" spans="3:11" x14ac:dyDescent="0.25">
      <c r="C96" t="s">
        <v>43</v>
      </c>
      <c r="D96" t="s">
        <v>136</v>
      </c>
      <c r="E96">
        <v>5.78</v>
      </c>
      <c r="F96">
        <v>6.48</v>
      </c>
      <c r="G96">
        <v>6.45</v>
      </c>
      <c r="I96" t="str">
        <f>"153/416"</f>
        <v>153/416</v>
      </c>
      <c r="J96" t="str">
        <f>"153/651"</f>
        <v>153/651</v>
      </c>
      <c r="K96" t="str">
        <f>"265/761"</f>
        <v>265/761</v>
      </c>
    </row>
    <row r="97" spans="2:11" x14ac:dyDescent="0.25">
      <c r="C97" t="s">
        <v>66</v>
      </c>
      <c r="D97" t="s">
        <v>137</v>
      </c>
      <c r="E97">
        <v>6.39</v>
      </c>
      <c r="F97">
        <v>5.73</v>
      </c>
      <c r="G97">
        <v>6.33</v>
      </c>
      <c r="I97" t="str">
        <f>"130/292"</f>
        <v>130/292</v>
      </c>
      <c r="J97" t="str">
        <f>"89/147"</f>
        <v>89/147</v>
      </c>
      <c r="K97" t="str">
        <f>"133/308"</f>
        <v>133/308</v>
      </c>
    </row>
    <row r="98" spans="2:11" x14ac:dyDescent="0.25">
      <c r="C98" t="s">
        <v>45</v>
      </c>
      <c r="D98" t="s">
        <v>138</v>
      </c>
      <c r="K98" t="s">
        <v>139</v>
      </c>
    </row>
    <row r="100" spans="2:11" x14ac:dyDescent="0.25">
      <c r="B100" t="s">
        <v>140</v>
      </c>
      <c r="C100" t="s">
        <v>141</v>
      </c>
    </row>
    <row r="102" spans="2:11" x14ac:dyDescent="0.25">
      <c r="C102" t="s">
        <v>4</v>
      </c>
      <c r="F102" t="s">
        <v>5</v>
      </c>
      <c r="J102" t="s">
        <v>6</v>
      </c>
    </row>
    <row r="103" spans="2:11" x14ac:dyDescent="0.25">
      <c r="D103" t="s">
        <v>7</v>
      </c>
      <c r="E103" t="s">
        <v>8</v>
      </c>
      <c r="F103" t="s">
        <v>9</v>
      </c>
      <c r="G103" t="s">
        <v>10</v>
      </c>
      <c r="I103" t="s">
        <v>8</v>
      </c>
      <c r="J103" t="s">
        <v>9</v>
      </c>
      <c r="K103" t="s">
        <v>10</v>
      </c>
    </row>
    <row r="104" spans="2:11" x14ac:dyDescent="0.25">
      <c r="C104" t="s">
        <v>45</v>
      </c>
      <c r="D104" t="s">
        <v>142</v>
      </c>
      <c r="K104" t="s">
        <v>47</v>
      </c>
    </row>
    <row r="106" spans="2:11" x14ac:dyDescent="0.25">
      <c r="C106" t="s">
        <v>48</v>
      </c>
      <c r="F106" t="s">
        <v>5</v>
      </c>
      <c r="J106" t="s">
        <v>6</v>
      </c>
    </row>
    <row r="107" spans="2:11" x14ac:dyDescent="0.25">
      <c r="D107" t="s">
        <v>7</v>
      </c>
      <c r="E107" t="s">
        <v>8</v>
      </c>
      <c r="F107" t="s">
        <v>9</v>
      </c>
      <c r="G107" t="s">
        <v>10</v>
      </c>
      <c r="I107" t="s">
        <v>8</v>
      </c>
      <c r="J107" t="s">
        <v>9</v>
      </c>
      <c r="K107" t="s">
        <v>10</v>
      </c>
    </row>
    <row r="108" spans="2:11" x14ac:dyDescent="0.25">
      <c r="C108" t="s">
        <v>45</v>
      </c>
      <c r="D108" t="s">
        <v>142</v>
      </c>
      <c r="K108" t="s">
        <v>109</v>
      </c>
    </row>
    <row r="110" spans="2:11" x14ac:dyDescent="0.25">
      <c r="C110" t="s">
        <v>110</v>
      </c>
      <c r="F110" t="s">
        <v>5</v>
      </c>
      <c r="J110" t="s">
        <v>6</v>
      </c>
    </row>
    <row r="111" spans="2:11" x14ac:dyDescent="0.25">
      <c r="D111" t="s">
        <v>7</v>
      </c>
      <c r="E111" t="s">
        <v>8</v>
      </c>
      <c r="F111" t="s">
        <v>9</v>
      </c>
      <c r="G111" t="s">
        <v>10</v>
      </c>
      <c r="I111" t="s">
        <v>8</v>
      </c>
      <c r="J111" t="s">
        <v>9</v>
      </c>
      <c r="K111" t="s">
        <v>10</v>
      </c>
    </row>
    <row r="112" spans="2:11" x14ac:dyDescent="0.25">
      <c r="C112" t="s">
        <v>45</v>
      </c>
      <c r="D112" t="s">
        <v>142</v>
      </c>
      <c r="K112" t="s">
        <v>118</v>
      </c>
    </row>
    <row r="114" spans="2:11" x14ac:dyDescent="0.25">
      <c r="C114" t="s">
        <v>119</v>
      </c>
      <c r="F114" t="s">
        <v>5</v>
      </c>
      <c r="J114" t="s">
        <v>6</v>
      </c>
    </row>
    <row r="115" spans="2:11" x14ac:dyDescent="0.25">
      <c r="D115" t="s">
        <v>7</v>
      </c>
      <c r="E115" t="s">
        <v>8</v>
      </c>
      <c r="F115" t="s">
        <v>9</v>
      </c>
      <c r="G115" t="s">
        <v>10</v>
      </c>
      <c r="I115" t="s">
        <v>8</v>
      </c>
      <c r="J115" t="s">
        <v>9</v>
      </c>
      <c r="K115" t="s">
        <v>10</v>
      </c>
    </row>
    <row r="116" spans="2:11" x14ac:dyDescent="0.25">
      <c r="C116" t="s">
        <v>45</v>
      </c>
      <c r="D116" t="s">
        <v>142</v>
      </c>
      <c r="K116" t="s">
        <v>139</v>
      </c>
    </row>
    <row r="118" spans="2:11" x14ac:dyDescent="0.25">
      <c r="B118" t="s">
        <v>143</v>
      </c>
      <c r="C118" t="s">
        <v>144</v>
      </c>
    </row>
    <row r="120" spans="2:11" x14ac:dyDescent="0.25">
      <c r="C120" t="s">
        <v>4</v>
      </c>
      <c r="F120" t="s">
        <v>5</v>
      </c>
      <c r="J120" t="s">
        <v>6</v>
      </c>
    </row>
    <row r="121" spans="2:11" x14ac:dyDescent="0.25">
      <c r="D121" t="s">
        <v>7</v>
      </c>
      <c r="E121" t="s">
        <v>8</v>
      </c>
      <c r="F121" t="s">
        <v>9</v>
      </c>
      <c r="G121" t="s">
        <v>10</v>
      </c>
      <c r="I121" t="s">
        <v>8</v>
      </c>
      <c r="J121" t="s">
        <v>9</v>
      </c>
      <c r="K121" t="s">
        <v>10</v>
      </c>
    </row>
    <row r="122" spans="2:11" x14ac:dyDescent="0.25">
      <c r="C122" t="s">
        <v>45</v>
      </c>
      <c r="D122" t="s">
        <v>142</v>
      </c>
      <c r="K122" t="s">
        <v>47</v>
      </c>
    </row>
    <row r="124" spans="2:11" x14ac:dyDescent="0.25">
      <c r="C124" t="s">
        <v>48</v>
      </c>
      <c r="F124" t="s">
        <v>5</v>
      </c>
      <c r="J124" t="s">
        <v>6</v>
      </c>
    </row>
    <row r="125" spans="2:11" x14ac:dyDescent="0.25">
      <c r="D125" t="s">
        <v>7</v>
      </c>
      <c r="E125" t="s">
        <v>8</v>
      </c>
      <c r="F125" t="s">
        <v>9</v>
      </c>
      <c r="G125" t="s">
        <v>10</v>
      </c>
      <c r="I125" t="s">
        <v>8</v>
      </c>
      <c r="J125" t="s">
        <v>9</v>
      </c>
      <c r="K125" t="s">
        <v>10</v>
      </c>
    </row>
    <row r="126" spans="2:11" x14ac:dyDescent="0.25">
      <c r="C126" t="s">
        <v>45</v>
      </c>
      <c r="D126" t="s">
        <v>142</v>
      </c>
      <c r="K126" t="s">
        <v>109</v>
      </c>
    </row>
    <row r="128" spans="2:11" x14ac:dyDescent="0.25">
      <c r="C128" t="s">
        <v>110</v>
      </c>
      <c r="F128" t="s">
        <v>5</v>
      </c>
      <c r="J128" t="s">
        <v>6</v>
      </c>
    </row>
    <row r="129" spans="1:11" x14ac:dyDescent="0.25">
      <c r="D129" t="s">
        <v>7</v>
      </c>
      <c r="E129" t="s">
        <v>8</v>
      </c>
      <c r="F129" t="s">
        <v>9</v>
      </c>
      <c r="G129" t="s">
        <v>10</v>
      </c>
      <c r="I129" t="s">
        <v>8</v>
      </c>
      <c r="J129" t="s">
        <v>9</v>
      </c>
      <c r="K129" t="s">
        <v>10</v>
      </c>
    </row>
    <row r="130" spans="1:11" x14ac:dyDescent="0.25">
      <c r="C130" t="s">
        <v>45</v>
      </c>
      <c r="D130" t="s">
        <v>142</v>
      </c>
      <c r="K130" t="s">
        <v>118</v>
      </c>
    </row>
    <row r="132" spans="1:11" x14ac:dyDescent="0.25">
      <c r="C132" t="s">
        <v>119</v>
      </c>
      <c r="F132" t="s">
        <v>5</v>
      </c>
      <c r="J132" t="s">
        <v>6</v>
      </c>
    </row>
    <row r="133" spans="1:11" x14ac:dyDescent="0.25">
      <c r="D133" t="s">
        <v>7</v>
      </c>
      <c r="E133" t="s">
        <v>8</v>
      </c>
      <c r="F133" t="s">
        <v>9</v>
      </c>
      <c r="G133" t="s">
        <v>10</v>
      </c>
      <c r="I133" t="s">
        <v>8</v>
      </c>
      <c r="J133" t="s">
        <v>9</v>
      </c>
      <c r="K133" t="s">
        <v>10</v>
      </c>
    </row>
    <row r="134" spans="1:11" x14ac:dyDescent="0.25">
      <c r="C134" t="s">
        <v>45</v>
      </c>
      <c r="D134" t="s">
        <v>142</v>
      </c>
      <c r="K134" t="s">
        <v>139</v>
      </c>
    </row>
    <row r="138" spans="1:11" x14ac:dyDescent="0.25">
      <c r="A138" t="s">
        <v>0</v>
      </c>
      <c r="B138" t="s">
        <v>145</v>
      </c>
    </row>
    <row r="140" spans="1:11" x14ac:dyDescent="0.25">
      <c r="B140" t="s">
        <v>2</v>
      </c>
      <c r="C140" t="s">
        <v>3</v>
      </c>
    </row>
    <row r="142" spans="1:11" x14ac:dyDescent="0.25">
      <c r="C142" t="s">
        <v>4</v>
      </c>
      <c r="F142" t="s">
        <v>5</v>
      </c>
      <c r="J142" t="s">
        <v>6</v>
      </c>
    </row>
    <row r="143" spans="1:11" x14ac:dyDescent="0.25">
      <c r="D143" t="s">
        <v>7</v>
      </c>
      <c r="E143" t="s">
        <v>8</v>
      </c>
      <c r="F143" t="s">
        <v>9</v>
      </c>
      <c r="G143" t="s">
        <v>10</v>
      </c>
      <c r="I143" t="s">
        <v>8</v>
      </c>
      <c r="J143" t="s">
        <v>9</v>
      </c>
      <c r="K143" t="s">
        <v>10</v>
      </c>
    </row>
    <row r="144" spans="1:11" x14ac:dyDescent="0.25">
      <c r="C144" t="s">
        <v>11</v>
      </c>
      <c r="D144" t="s">
        <v>146</v>
      </c>
      <c r="E144">
        <v>1.82</v>
      </c>
      <c r="F144">
        <v>1.89</v>
      </c>
      <c r="G144">
        <v>1.03</v>
      </c>
      <c r="I144" t="str">
        <f>"66/60"</f>
        <v>66/60</v>
      </c>
      <c r="J144" t="str">
        <f>"41/40"</f>
        <v>41/40</v>
      </c>
      <c r="K144" t="str">
        <f>"76/77"</f>
        <v>76/77</v>
      </c>
    </row>
    <row r="145" spans="3:11" x14ac:dyDescent="0.25">
      <c r="C145" t="s">
        <v>13</v>
      </c>
      <c r="D145" t="s">
        <v>147</v>
      </c>
      <c r="E145">
        <v>1.51</v>
      </c>
      <c r="F145">
        <v>1.54</v>
      </c>
      <c r="G145">
        <v>1.22</v>
      </c>
      <c r="I145" t="str">
        <f>"27/24"</f>
        <v>27/24</v>
      </c>
      <c r="J145" t="str">
        <f>"30/36"</f>
        <v>30/36</v>
      </c>
      <c r="K145" t="str">
        <f>"65/68"</f>
        <v>65/68</v>
      </c>
    </row>
    <row r="146" spans="3:11" x14ac:dyDescent="0.25">
      <c r="C146" t="s">
        <v>15</v>
      </c>
      <c r="D146" t="s">
        <v>148</v>
      </c>
      <c r="E146">
        <v>1.33</v>
      </c>
      <c r="F146">
        <v>0.92</v>
      </c>
      <c r="G146">
        <v>1.28</v>
      </c>
      <c r="I146" t="str">
        <f>"41/49"</f>
        <v>41/49</v>
      </c>
      <c r="J146" t="str">
        <f>"13/14"</f>
        <v>13/14</v>
      </c>
      <c r="K146" t="str">
        <f>"47/52"</f>
        <v>47/52</v>
      </c>
    </row>
    <row r="147" spans="3:11" x14ac:dyDescent="0.25">
      <c r="C147" t="s">
        <v>17</v>
      </c>
      <c r="D147" t="s">
        <v>149</v>
      </c>
      <c r="E147">
        <v>0.96</v>
      </c>
      <c r="F147">
        <v>1.92</v>
      </c>
      <c r="G147">
        <v>0.14000000000000001</v>
      </c>
      <c r="I147" t="str">
        <f>"36/32"</f>
        <v>36/32</v>
      </c>
      <c r="J147" t="str">
        <f>"17/14"</f>
        <v>17/14</v>
      </c>
      <c r="K147" t="str">
        <f>"31/28"</f>
        <v>31/28</v>
      </c>
    </row>
    <row r="148" spans="3:11" x14ac:dyDescent="0.25">
      <c r="C148" t="s">
        <v>19</v>
      </c>
      <c r="D148" t="s">
        <v>150</v>
      </c>
      <c r="E148">
        <v>0.81</v>
      </c>
      <c r="F148">
        <v>1.77</v>
      </c>
      <c r="G148">
        <v>0.05</v>
      </c>
      <c r="I148" t="str">
        <f>"35/31"</f>
        <v>35/31</v>
      </c>
      <c r="J148" t="str">
        <f>"15/12"</f>
        <v>15/12</v>
      </c>
      <c r="K148" t="str">
        <f>"31/28"</f>
        <v>31/28</v>
      </c>
    </row>
    <row r="149" spans="3:11" x14ac:dyDescent="0.25">
      <c r="C149" t="s">
        <v>21</v>
      </c>
      <c r="D149" t="s">
        <v>151</v>
      </c>
      <c r="E149">
        <v>1.29</v>
      </c>
      <c r="F149">
        <v>0.23</v>
      </c>
      <c r="G149">
        <v>0.95</v>
      </c>
      <c r="I149" t="str">
        <f>"29/30"</f>
        <v>29/30</v>
      </c>
      <c r="J149" t="str">
        <f>"11/17"</f>
        <v>11/17</v>
      </c>
      <c r="K149" t="str">
        <f>"34/43"</f>
        <v>34/43</v>
      </c>
    </row>
    <row r="150" spans="3:11" x14ac:dyDescent="0.25">
      <c r="C150" t="s">
        <v>23</v>
      </c>
      <c r="D150" t="s">
        <v>152</v>
      </c>
      <c r="E150">
        <v>1.35</v>
      </c>
      <c r="F150">
        <v>0.19</v>
      </c>
      <c r="G150">
        <v>0.84</v>
      </c>
      <c r="I150" t="str">
        <f>"29/30"</f>
        <v>29/30</v>
      </c>
      <c r="J150" t="str">
        <f>"11/17"</f>
        <v>11/17</v>
      </c>
      <c r="K150" t="str">
        <f>"34/43"</f>
        <v>34/43</v>
      </c>
    </row>
    <row r="151" spans="3:11" x14ac:dyDescent="0.25">
      <c r="C151" t="s">
        <v>45</v>
      </c>
      <c r="D151" t="s">
        <v>153</v>
      </c>
      <c r="K151" t="s">
        <v>154</v>
      </c>
    </row>
    <row r="153" spans="3:11" x14ac:dyDescent="0.25">
      <c r="C153" t="s">
        <v>48</v>
      </c>
      <c r="F153" t="s">
        <v>5</v>
      </c>
      <c r="J153" t="s">
        <v>6</v>
      </c>
    </row>
    <row r="154" spans="3:11" x14ac:dyDescent="0.25">
      <c r="D154" t="s">
        <v>7</v>
      </c>
      <c r="E154" t="s">
        <v>8</v>
      </c>
      <c r="F154" t="s">
        <v>9</v>
      </c>
      <c r="G154" t="s">
        <v>10</v>
      </c>
      <c r="I154" t="s">
        <v>8</v>
      </c>
      <c r="J154" t="s">
        <v>9</v>
      </c>
      <c r="K154" t="s">
        <v>10</v>
      </c>
    </row>
    <row r="155" spans="3:11" x14ac:dyDescent="0.25">
      <c r="C155" t="s">
        <v>11</v>
      </c>
      <c r="D155" t="s">
        <v>155</v>
      </c>
      <c r="E155">
        <v>1.89</v>
      </c>
      <c r="F155">
        <v>2.19</v>
      </c>
      <c r="G155">
        <v>0.97</v>
      </c>
      <c r="I155" t="str">
        <f>"20/15"</f>
        <v>20/15</v>
      </c>
      <c r="J155" t="str">
        <f>"15/12"</f>
        <v>15/12</v>
      </c>
      <c r="K155" t="str">
        <f>"97/109"</f>
        <v>97/109</v>
      </c>
    </row>
    <row r="156" spans="3:11" x14ac:dyDescent="0.25">
      <c r="C156" t="s">
        <v>13</v>
      </c>
      <c r="D156" t="s">
        <v>156</v>
      </c>
      <c r="E156">
        <v>1.78</v>
      </c>
      <c r="F156">
        <v>2.13</v>
      </c>
      <c r="G156">
        <v>1.1200000000000001</v>
      </c>
      <c r="I156" t="str">
        <f>"20/15"</f>
        <v>20/15</v>
      </c>
      <c r="J156" t="str">
        <f>"16/13"</f>
        <v>16/13</v>
      </c>
      <c r="K156" t="str">
        <f>"106/123"</f>
        <v>106/123</v>
      </c>
    </row>
    <row r="157" spans="3:11" x14ac:dyDescent="0.25">
      <c r="C157" t="s">
        <v>15</v>
      </c>
      <c r="D157" t="s">
        <v>157</v>
      </c>
      <c r="E157">
        <v>1.93</v>
      </c>
      <c r="F157">
        <v>2.16</v>
      </c>
      <c r="G157">
        <v>0.92</v>
      </c>
      <c r="I157" t="str">
        <f>"20/15"</f>
        <v>20/15</v>
      </c>
      <c r="J157" t="str">
        <f>"16/13"</f>
        <v>16/13</v>
      </c>
      <c r="K157" t="str">
        <f>"104/120"</f>
        <v>104/120</v>
      </c>
    </row>
    <row r="158" spans="3:11" x14ac:dyDescent="0.25">
      <c r="C158" t="s">
        <v>17</v>
      </c>
      <c r="D158" t="s">
        <v>158</v>
      </c>
      <c r="E158">
        <v>1.79</v>
      </c>
      <c r="F158">
        <v>2.0499999999999998</v>
      </c>
      <c r="G158">
        <v>0.91</v>
      </c>
      <c r="I158" t="str">
        <f>"20/15"</f>
        <v>20/15</v>
      </c>
      <c r="J158" t="str">
        <f>"15/12"</f>
        <v>15/12</v>
      </c>
      <c r="K158" t="str">
        <f>"96/108"</f>
        <v>96/108</v>
      </c>
    </row>
    <row r="159" spans="3:11" x14ac:dyDescent="0.25">
      <c r="C159" t="s">
        <v>45</v>
      </c>
      <c r="D159" t="s">
        <v>159</v>
      </c>
      <c r="K159" t="s">
        <v>160</v>
      </c>
    </row>
    <row r="161" spans="3:11" x14ac:dyDescent="0.25">
      <c r="C161" t="s">
        <v>110</v>
      </c>
      <c r="F161" t="s">
        <v>5</v>
      </c>
      <c r="J161" t="s">
        <v>6</v>
      </c>
    </row>
    <row r="162" spans="3:11" x14ac:dyDescent="0.25">
      <c r="D162" t="s">
        <v>7</v>
      </c>
      <c r="E162" t="s">
        <v>8</v>
      </c>
      <c r="F162" t="s">
        <v>9</v>
      </c>
      <c r="G162" t="s">
        <v>10</v>
      </c>
      <c r="I162" t="s">
        <v>8</v>
      </c>
      <c r="J162" t="s">
        <v>9</v>
      </c>
      <c r="K162" t="s">
        <v>10</v>
      </c>
    </row>
    <row r="163" spans="3:11" x14ac:dyDescent="0.25">
      <c r="C163" t="s">
        <v>11</v>
      </c>
      <c r="D163" t="s">
        <v>161</v>
      </c>
      <c r="E163">
        <v>2</v>
      </c>
      <c r="F163">
        <v>0.85</v>
      </c>
      <c r="G163">
        <v>3.9</v>
      </c>
      <c r="I163" t="str">
        <f>"16/16"</f>
        <v>16/16</v>
      </c>
      <c r="J163" t="str">
        <f>"11/15"</f>
        <v>11/15</v>
      </c>
      <c r="K163" t="str">
        <f>"55/68"</f>
        <v>55/68</v>
      </c>
    </row>
    <row r="164" spans="3:11" x14ac:dyDescent="0.25">
      <c r="C164" t="s">
        <v>13</v>
      </c>
      <c r="D164" t="s">
        <v>162</v>
      </c>
      <c r="E164">
        <v>1.68</v>
      </c>
      <c r="F164">
        <v>0.83</v>
      </c>
      <c r="G164">
        <v>2.14</v>
      </c>
      <c r="I164" t="str">
        <f>"40/40"</f>
        <v>40/40</v>
      </c>
      <c r="J164" t="str">
        <f>"40/46"</f>
        <v>40/46</v>
      </c>
      <c r="K164" t="str">
        <f>"123/141"</f>
        <v>123/141</v>
      </c>
    </row>
    <row r="165" spans="3:11" x14ac:dyDescent="0.25">
      <c r="C165" t="s">
        <v>15</v>
      </c>
      <c r="D165" t="s">
        <v>163</v>
      </c>
      <c r="E165">
        <v>0.18</v>
      </c>
      <c r="F165">
        <v>0.41</v>
      </c>
      <c r="G165">
        <v>3.44</v>
      </c>
      <c r="I165" t="str">
        <f>"20/16"</f>
        <v>20/16</v>
      </c>
      <c r="J165" t="str">
        <f>"12/17"</f>
        <v>12/17</v>
      </c>
      <c r="K165" t="str">
        <f>"39/119"</f>
        <v>39/119</v>
      </c>
    </row>
    <row r="166" spans="3:11" x14ac:dyDescent="0.25">
      <c r="C166" t="s">
        <v>17</v>
      </c>
      <c r="D166" t="s">
        <v>164</v>
      </c>
      <c r="E166">
        <v>1.61</v>
      </c>
      <c r="F166">
        <v>-0.09</v>
      </c>
      <c r="G166">
        <v>2</v>
      </c>
      <c r="I166" t="str">
        <f>"17/19"</f>
        <v>17/19</v>
      </c>
      <c r="J166" t="str">
        <f>"14/12"</f>
        <v>14/12</v>
      </c>
      <c r="K166" t="str">
        <f>"34/34"</f>
        <v>34/34</v>
      </c>
    </row>
    <row r="167" spans="3:11" x14ac:dyDescent="0.25">
      <c r="C167" t="s">
        <v>19</v>
      </c>
      <c r="D167" t="s">
        <v>165</v>
      </c>
      <c r="E167">
        <v>0.28999999999999998</v>
      </c>
      <c r="F167">
        <v>-0.34</v>
      </c>
      <c r="G167">
        <v>1.97</v>
      </c>
      <c r="I167" t="str">
        <f>"18/21"</f>
        <v>18/21</v>
      </c>
      <c r="J167" t="str">
        <f>"14/12"</f>
        <v>14/12</v>
      </c>
      <c r="K167" t="str">
        <f>"37/38"</f>
        <v>37/38</v>
      </c>
    </row>
    <row r="168" spans="3:11" x14ac:dyDescent="0.25">
      <c r="C168" t="s">
        <v>45</v>
      </c>
      <c r="D168" t="s">
        <v>166</v>
      </c>
      <c r="K168" t="s">
        <v>167</v>
      </c>
    </row>
    <row r="170" spans="3:11" x14ac:dyDescent="0.25">
      <c r="C170" t="s">
        <v>119</v>
      </c>
      <c r="F170" t="s">
        <v>5</v>
      </c>
      <c r="J170" t="s">
        <v>6</v>
      </c>
    </row>
    <row r="171" spans="3:11" x14ac:dyDescent="0.25">
      <c r="D171" t="s">
        <v>7</v>
      </c>
      <c r="E171" t="s">
        <v>8</v>
      </c>
      <c r="F171" t="s">
        <v>9</v>
      </c>
      <c r="G171" t="s">
        <v>10</v>
      </c>
      <c r="I171" t="s">
        <v>8</v>
      </c>
      <c r="J171" t="s">
        <v>9</v>
      </c>
      <c r="K171" t="s">
        <v>10</v>
      </c>
    </row>
    <row r="172" spans="3:11" x14ac:dyDescent="0.25">
      <c r="C172" t="s">
        <v>11</v>
      </c>
      <c r="D172" t="s">
        <v>168</v>
      </c>
      <c r="E172">
        <v>4.51</v>
      </c>
      <c r="F172">
        <v>1.85</v>
      </c>
      <c r="G172">
        <v>0.65</v>
      </c>
      <c r="I172" t="str">
        <f>"125/138"</f>
        <v>125/138</v>
      </c>
      <c r="J172" t="str">
        <f>"92/97"</f>
        <v>92/97</v>
      </c>
      <c r="K172" t="str">
        <f>"93/96"</f>
        <v>93/96</v>
      </c>
    </row>
    <row r="173" spans="3:11" x14ac:dyDescent="0.25">
      <c r="C173" t="s">
        <v>13</v>
      </c>
      <c r="D173" t="s">
        <v>169</v>
      </c>
      <c r="E173">
        <v>3.69</v>
      </c>
      <c r="F173">
        <v>1.96</v>
      </c>
      <c r="G173">
        <v>0.97</v>
      </c>
      <c r="I173" t="str">
        <f>"96/150"</f>
        <v>96/150</v>
      </c>
      <c r="J173" t="str">
        <f>"23/20"</f>
        <v>23/20</v>
      </c>
      <c r="K173" t="str">
        <f>"87/112"</f>
        <v>87/112</v>
      </c>
    </row>
    <row r="174" spans="3:11" x14ac:dyDescent="0.25">
      <c r="C174" t="s">
        <v>15</v>
      </c>
      <c r="D174" t="s">
        <v>170</v>
      </c>
      <c r="E174">
        <v>5.45</v>
      </c>
      <c r="F174">
        <v>0.36</v>
      </c>
      <c r="G174">
        <v>0.48</v>
      </c>
      <c r="I174" t="str">
        <f>"55/109"</f>
        <v>55/109</v>
      </c>
      <c r="J174" t="str">
        <f>"40/65"</f>
        <v>40/65</v>
      </c>
      <c r="K174" t="str">
        <f>"81/224"</f>
        <v>81/224</v>
      </c>
    </row>
    <row r="175" spans="3:11" x14ac:dyDescent="0.25">
      <c r="C175" t="s">
        <v>17</v>
      </c>
      <c r="D175" t="s">
        <v>171</v>
      </c>
      <c r="E175">
        <v>3.09</v>
      </c>
      <c r="F175">
        <v>1.67</v>
      </c>
      <c r="G175">
        <v>0.99</v>
      </c>
      <c r="I175" t="str">
        <f>"14/13"</f>
        <v>14/13</v>
      </c>
      <c r="J175" t="str">
        <f>"14/16"</f>
        <v>14/16</v>
      </c>
      <c r="K175" t="str">
        <f>"21/17"</f>
        <v>21/17</v>
      </c>
    </row>
    <row r="176" spans="3:11" x14ac:dyDescent="0.25">
      <c r="C176" t="s">
        <v>19</v>
      </c>
      <c r="D176" t="s">
        <v>172</v>
      </c>
      <c r="E176">
        <v>3.26</v>
      </c>
      <c r="F176">
        <v>0.83</v>
      </c>
      <c r="G176">
        <v>1.08</v>
      </c>
      <c r="I176" t="str">
        <f>"20/19"</f>
        <v>20/19</v>
      </c>
      <c r="J176" t="str">
        <f>"26/30"</f>
        <v>26/30</v>
      </c>
      <c r="K176" t="str">
        <f>"34/35"</f>
        <v>34/35</v>
      </c>
    </row>
    <row r="177" spans="2:11" x14ac:dyDescent="0.25">
      <c r="C177" t="s">
        <v>21</v>
      </c>
      <c r="D177" t="s">
        <v>173</v>
      </c>
      <c r="E177">
        <v>3</v>
      </c>
      <c r="F177">
        <v>0.99</v>
      </c>
      <c r="G177">
        <v>0.98</v>
      </c>
      <c r="I177" t="str">
        <f>"21/20"</f>
        <v>21/20</v>
      </c>
      <c r="J177" t="str">
        <f>"26/30"</f>
        <v>26/30</v>
      </c>
      <c r="K177" t="str">
        <f>"47/48"</f>
        <v>47/48</v>
      </c>
    </row>
    <row r="178" spans="2:11" x14ac:dyDescent="0.25">
      <c r="C178" t="s">
        <v>23</v>
      </c>
      <c r="D178" t="s">
        <v>174</v>
      </c>
      <c r="E178">
        <v>4.5999999999999996</v>
      </c>
      <c r="F178">
        <v>-0.34</v>
      </c>
      <c r="G178">
        <v>0.24</v>
      </c>
      <c r="I178" t="str">
        <f>"38/94"</f>
        <v>38/94</v>
      </c>
      <c r="J178" t="str">
        <f>"13/11"</f>
        <v>13/11</v>
      </c>
      <c r="K178" t="str">
        <f>"23/25"</f>
        <v>23/25</v>
      </c>
    </row>
    <row r="179" spans="2:11" x14ac:dyDescent="0.25">
      <c r="C179" t="s">
        <v>25</v>
      </c>
      <c r="D179" t="s">
        <v>175</v>
      </c>
      <c r="E179">
        <v>4.33</v>
      </c>
      <c r="F179">
        <v>1.1000000000000001</v>
      </c>
      <c r="G179">
        <v>-0.96</v>
      </c>
      <c r="I179" t="str">
        <f>"93/252"</f>
        <v>93/252</v>
      </c>
      <c r="J179" t="str">
        <f>"48/61"</f>
        <v>48/61</v>
      </c>
      <c r="K179" t="str">
        <f>"97/181"</f>
        <v>97/181</v>
      </c>
    </row>
    <row r="180" spans="2:11" x14ac:dyDescent="0.25">
      <c r="C180" t="s">
        <v>27</v>
      </c>
      <c r="D180" t="s">
        <v>176</v>
      </c>
      <c r="E180">
        <v>4.17</v>
      </c>
      <c r="F180">
        <v>-0.28000000000000003</v>
      </c>
      <c r="G180">
        <v>0.54</v>
      </c>
      <c r="I180" t="str">
        <f>"38/94"</f>
        <v>38/94</v>
      </c>
      <c r="J180" t="str">
        <f>"13/11"</f>
        <v>13/11</v>
      </c>
      <c r="K180" t="str">
        <f>"23/25"</f>
        <v>23/25</v>
      </c>
    </row>
    <row r="181" spans="2:11" x14ac:dyDescent="0.25">
      <c r="C181" t="s">
        <v>29</v>
      </c>
      <c r="D181" t="s">
        <v>177</v>
      </c>
      <c r="E181">
        <v>3.8</v>
      </c>
      <c r="F181">
        <v>-0.2</v>
      </c>
      <c r="G181">
        <v>-0.28999999999999998</v>
      </c>
      <c r="I181" t="str">
        <f>"38/94"</f>
        <v>38/94</v>
      </c>
      <c r="J181" t="str">
        <f>"13/11"</f>
        <v>13/11</v>
      </c>
      <c r="K181" t="str">
        <f>"24/26"</f>
        <v>24/26</v>
      </c>
    </row>
    <row r="182" spans="2:11" x14ac:dyDescent="0.25">
      <c r="C182" t="s">
        <v>45</v>
      </c>
      <c r="D182" t="s">
        <v>178</v>
      </c>
      <c r="K182" t="s">
        <v>179</v>
      </c>
    </row>
    <row r="184" spans="2:11" x14ac:dyDescent="0.25">
      <c r="B184" t="s">
        <v>140</v>
      </c>
      <c r="C184" t="s">
        <v>141</v>
      </c>
    </row>
    <row r="186" spans="2:11" x14ac:dyDescent="0.25">
      <c r="C186" t="s">
        <v>4</v>
      </c>
      <c r="F186" t="s">
        <v>5</v>
      </c>
      <c r="J186" t="s">
        <v>6</v>
      </c>
    </row>
    <row r="187" spans="2:11" x14ac:dyDescent="0.25">
      <c r="D187" t="s">
        <v>7</v>
      </c>
      <c r="E187" t="s">
        <v>8</v>
      </c>
      <c r="F187" t="s">
        <v>9</v>
      </c>
      <c r="G187" t="s">
        <v>10</v>
      </c>
      <c r="I187" t="s">
        <v>8</v>
      </c>
      <c r="J187" t="s">
        <v>9</v>
      </c>
      <c r="K187" t="s">
        <v>10</v>
      </c>
    </row>
    <row r="188" spans="2:11" x14ac:dyDescent="0.25">
      <c r="C188" t="s">
        <v>180</v>
      </c>
      <c r="D188" t="s">
        <v>181</v>
      </c>
      <c r="E188">
        <v>0.46</v>
      </c>
      <c r="F188">
        <v>0.22</v>
      </c>
      <c r="G188">
        <v>-0.08</v>
      </c>
      <c r="I188" t="str">
        <f>"16/11"</f>
        <v>16/11</v>
      </c>
      <c r="J188" t="str">
        <f>"17/19"</f>
        <v>17/19</v>
      </c>
      <c r="K188" t="str">
        <f>"38/48"</f>
        <v>38/48</v>
      </c>
    </row>
    <row r="189" spans="2:11" x14ac:dyDescent="0.25">
      <c r="C189" t="s">
        <v>45</v>
      </c>
      <c r="D189" t="s">
        <v>182</v>
      </c>
      <c r="K189" t="s">
        <v>154</v>
      </c>
    </row>
    <row r="191" spans="2:11" x14ac:dyDescent="0.25">
      <c r="C191" t="s">
        <v>48</v>
      </c>
      <c r="F191" t="s">
        <v>5</v>
      </c>
      <c r="J191" t="s">
        <v>6</v>
      </c>
    </row>
    <row r="192" spans="2:11" x14ac:dyDescent="0.25">
      <c r="D192" t="s">
        <v>7</v>
      </c>
      <c r="E192" t="s">
        <v>8</v>
      </c>
      <c r="F192" t="s">
        <v>9</v>
      </c>
      <c r="G192" t="s">
        <v>10</v>
      </c>
      <c r="I192" t="s">
        <v>8</v>
      </c>
      <c r="J192" t="s">
        <v>9</v>
      </c>
      <c r="K192" t="s">
        <v>10</v>
      </c>
    </row>
    <row r="193" spans="2:11" x14ac:dyDescent="0.25">
      <c r="C193" t="s">
        <v>45</v>
      </c>
      <c r="D193" t="s">
        <v>142</v>
      </c>
      <c r="K193" t="s">
        <v>160</v>
      </c>
    </row>
    <row r="195" spans="2:11" x14ac:dyDescent="0.25">
      <c r="C195" t="s">
        <v>110</v>
      </c>
      <c r="F195" t="s">
        <v>5</v>
      </c>
      <c r="J195" t="s">
        <v>6</v>
      </c>
    </row>
    <row r="196" spans="2:11" x14ac:dyDescent="0.25">
      <c r="D196" t="s">
        <v>7</v>
      </c>
      <c r="E196" t="s">
        <v>8</v>
      </c>
      <c r="F196" t="s">
        <v>9</v>
      </c>
      <c r="G196" t="s">
        <v>10</v>
      </c>
      <c r="I196" t="s">
        <v>8</v>
      </c>
      <c r="J196" t="s">
        <v>9</v>
      </c>
      <c r="K196" t="s">
        <v>10</v>
      </c>
    </row>
    <row r="197" spans="2:11" x14ac:dyDescent="0.25">
      <c r="C197" t="s">
        <v>45</v>
      </c>
      <c r="D197" t="s">
        <v>142</v>
      </c>
      <c r="K197" t="s">
        <v>167</v>
      </c>
    </row>
    <row r="199" spans="2:11" x14ac:dyDescent="0.25">
      <c r="C199" t="s">
        <v>119</v>
      </c>
      <c r="F199" t="s">
        <v>5</v>
      </c>
      <c r="J199" t="s">
        <v>6</v>
      </c>
    </row>
    <row r="200" spans="2:11" x14ac:dyDescent="0.25">
      <c r="D200" t="s">
        <v>7</v>
      </c>
      <c r="E200" t="s">
        <v>8</v>
      </c>
      <c r="F200" t="s">
        <v>9</v>
      </c>
      <c r="G200" t="s">
        <v>10</v>
      </c>
      <c r="I200" t="s">
        <v>8</v>
      </c>
      <c r="J200" t="s">
        <v>9</v>
      </c>
      <c r="K200" t="s">
        <v>10</v>
      </c>
    </row>
    <row r="201" spans="2:11" x14ac:dyDescent="0.25">
      <c r="C201" t="s">
        <v>45</v>
      </c>
      <c r="D201" t="s">
        <v>142</v>
      </c>
      <c r="K201" t="s">
        <v>179</v>
      </c>
    </row>
    <row r="203" spans="2:11" x14ac:dyDescent="0.25">
      <c r="B203" t="s">
        <v>143</v>
      </c>
      <c r="C203" t="s">
        <v>144</v>
      </c>
    </row>
    <row r="205" spans="2:11" x14ac:dyDescent="0.25">
      <c r="C205" t="s">
        <v>4</v>
      </c>
      <c r="F205" t="s">
        <v>5</v>
      </c>
      <c r="J205" t="s">
        <v>6</v>
      </c>
    </row>
    <row r="206" spans="2:11" x14ac:dyDescent="0.25">
      <c r="D206" t="s">
        <v>7</v>
      </c>
      <c r="E206" t="s">
        <v>8</v>
      </c>
      <c r="F206" t="s">
        <v>9</v>
      </c>
      <c r="G206" t="s">
        <v>10</v>
      </c>
      <c r="I206" t="s">
        <v>8</v>
      </c>
      <c r="J206" t="s">
        <v>9</v>
      </c>
      <c r="K206" t="s">
        <v>10</v>
      </c>
    </row>
    <row r="207" spans="2:11" x14ac:dyDescent="0.25">
      <c r="C207" t="s">
        <v>45</v>
      </c>
      <c r="D207" t="s">
        <v>142</v>
      </c>
      <c r="K207" t="s">
        <v>154</v>
      </c>
    </row>
    <row r="209" spans="3:11" x14ac:dyDescent="0.25">
      <c r="C209" t="s">
        <v>48</v>
      </c>
      <c r="F209" t="s">
        <v>5</v>
      </c>
      <c r="J209" t="s">
        <v>6</v>
      </c>
    </row>
    <row r="210" spans="3:11" x14ac:dyDescent="0.25">
      <c r="D210" t="s">
        <v>7</v>
      </c>
      <c r="E210" t="s">
        <v>8</v>
      </c>
      <c r="F210" t="s">
        <v>9</v>
      </c>
      <c r="G210" t="s">
        <v>10</v>
      </c>
      <c r="I210" t="s">
        <v>8</v>
      </c>
      <c r="J210" t="s">
        <v>9</v>
      </c>
      <c r="K210" t="s">
        <v>10</v>
      </c>
    </row>
    <row r="211" spans="3:11" x14ac:dyDescent="0.25">
      <c r="C211" t="s">
        <v>45</v>
      </c>
      <c r="D211" t="s">
        <v>142</v>
      </c>
      <c r="K211" t="s">
        <v>160</v>
      </c>
    </row>
    <row r="213" spans="3:11" x14ac:dyDescent="0.25">
      <c r="C213" t="s">
        <v>110</v>
      </c>
      <c r="F213" t="s">
        <v>5</v>
      </c>
      <c r="J213" t="s">
        <v>6</v>
      </c>
    </row>
    <row r="214" spans="3:11" x14ac:dyDescent="0.25">
      <c r="D214" t="s">
        <v>7</v>
      </c>
      <c r="E214" t="s">
        <v>8</v>
      </c>
      <c r="F214" t="s">
        <v>9</v>
      </c>
      <c r="G214" t="s">
        <v>10</v>
      </c>
      <c r="I214" t="s">
        <v>8</v>
      </c>
      <c r="J214" t="s">
        <v>9</v>
      </c>
      <c r="K214" t="s">
        <v>10</v>
      </c>
    </row>
    <row r="215" spans="3:11" x14ac:dyDescent="0.25">
      <c r="C215" t="s">
        <v>183</v>
      </c>
      <c r="D215" t="s">
        <v>184</v>
      </c>
      <c r="E215">
        <v>0.47</v>
      </c>
      <c r="F215">
        <v>-0.42</v>
      </c>
      <c r="G215">
        <v>1.65</v>
      </c>
      <c r="I215" t="str">
        <f>"19/22"</f>
        <v>19/22</v>
      </c>
      <c r="J215" t="str">
        <f>"13/14"</f>
        <v>13/14</v>
      </c>
      <c r="K215" t="str">
        <f>"54/62"</f>
        <v>54/62</v>
      </c>
    </row>
    <row r="216" spans="3:11" x14ac:dyDescent="0.25">
      <c r="C216" t="s">
        <v>45</v>
      </c>
      <c r="D216" t="s">
        <v>185</v>
      </c>
      <c r="K216" t="s">
        <v>167</v>
      </c>
    </row>
    <row r="218" spans="3:11" x14ac:dyDescent="0.25">
      <c r="C218" t="s">
        <v>119</v>
      </c>
      <c r="F218" t="s">
        <v>5</v>
      </c>
      <c r="J218" t="s">
        <v>6</v>
      </c>
    </row>
    <row r="219" spans="3:11" x14ac:dyDescent="0.25">
      <c r="D219" t="s">
        <v>7</v>
      </c>
      <c r="E219" t="s">
        <v>8</v>
      </c>
      <c r="F219" t="s">
        <v>9</v>
      </c>
      <c r="G219" t="s">
        <v>10</v>
      </c>
      <c r="I219" t="s">
        <v>8</v>
      </c>
      <c r="J219" t="s">
        <v>9</v>
      </c>
      <c r="K219" t="s">
        <v>10</v>
      </c>
    </row>
    <row r="220" spans="3:11" x14ac:dyDescent="0.25">
      <c r="C220" t="s">
        <v>45</v>
      </c>
      <c r="D220" t="s">
        <v>142</v>
      </c>
      <c r="K220" t="s">
        <v>179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05"/>
  <sheetViews>
    <sheetView workbookViewId="0">
      <selection activeCell="C45" sqref="C45:D45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68.5703125" customWidth="1"/>
    <col min="5" max="5" width="5.7109375" bestFit="1" customWidth="1"/>
    <col min="6" max="6" width="9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186</v>
      </c>
    </row>
    <row r="3" spans="1:11" x14ac:dyDescent="0.25">
      <c r="B3" t="s">
        <v>2</v>
      </c>
      <c r="C3" t="s">
        <v>187</v>
      </c>
    </row>
    <row r="5" spans="1:11" x14ac:dyDescent="0.25">
      <c r="C5" t="s">
        <v>4</v>
      </c>
      <c r="F5" t="s">
        <v>188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189</v>
      </c>
      <c r="D7" t="s">
        <v>67</v>
      </c>
      <c r="E7">
        <v>7.01</v>
      </c>
      <c r="F7">
        <v>7.02</v>
      </c>
      <c r="G7">
        <v>7.06</v>
      </c>
      <c r="I7" t="str">
        <f>"553/2938"</f>
        <v>553/2938</v>
      </c>
      <c r="J7" t="str">
        <f>"443/1252"</f>
        <v>443/1252</v>
      </c>
      <c r="K7" t="str">
        <f>"879/4762"</f>
        <v>879/4762</v>
      </c>
    </row>
    <row r="8" spans="1:11" x14ac:dyDescent="0.25">
      <c r="C8" t="s">
        <v>190</v>
      </c>
      <c r="D8" t="s">
        <v>191</v>
      </c>
      <c r="E8">
        <v>7.02</v>
      </c>
      <c r="F8">
        <v>7.01</v>
      </c>
      <c r="G8">
        <v>7.06</v>
      </c>
      <c r="I8" t="str">
        <f>"623/3350"</f>
        <v>623/3350</v>
      </c>
      <c r="J8" t="str">
        <f>"512/1514"</f>
        <v>512/1514</v>
      </c>
      <c r="K8" t="str">
        <f>"995/5511"</f>
        <v>995/5511</v>
      </c>
    </row>
    <row r="9" spans="1:11" x14ac:dyDescent="0.25">
      <c r="C9" t="s">
        <v>192</v>
      </c>
      <c r="D9" t="s">
        <v>54</v>
      </c>
      <c r="E9">
        <v>7.01</v>
      </c>
      <c r="F9">
        <v>6.95</v>
      </c>
      <c r="G9">
        <v>7.05</v>
      </c>
      <c r="I9" t="str">
        <f>"628/4683"</f>
        <v>628/4683</v>
      </c>
      <c r="J9" t="str">
        <f>"528/1714"</f>
        <v>528/1714</v>
      </c>
      <c r="K9" t="str">
        <f>"973/5229"</f>
        <v>973/5229</v>
      </c>
    </row>
    <row r="10" spans="1:11" x14ac:dyDescent="0.25">
      <c r="C10" t="s">
        <v>193</v>
      </c>
      <c r="D10" t="s">
        <v>194</v>
      </c>
      <c r="E10">
        <v>7</v>
      </c>
      <c r="F10">
        <v>6.96</v>
      </c>
      <c r="G10">
        <v>7.03</v>
      </c>
      <c r="I10" t="str">
        <f>"545/2919"</f>
        <v>545/2919</v>
      </c>
      <c r="J10" t="str">
        <f>"416/1093"</f>
        <v>416/1093</v>
      </c>
      <c r="K10" t="str">
        <f>"802/3240"</f>
        <v>802/3240</v>
      </c>
    </row>
    <row r="11" spans="1:11" x14ac:dyDescent="0.25">
      <c r="C11" t="s">
        <v>195</v>
      </c>
      <c r="D11" t="s">
        <v>83</v>
      </c>
      <c r="E11">
        <v>7.02</v>
      </c>
      <c r="F11">
        <v>6.92</v>
      </c>
      <c r="G11">
        <v>7.03</v>
      </c>
      <c r="I11" t="str">
        <f>"529/3869"</f>
        <v>529/3869</v>
      </c>
      <c r="J11" t="str">
        <f>"369/1181"</f>
        <v>369/1181</v>
      </c>
      <c r="K11" t="str">
        <f>"789/4372"</f>
        <v>789/4372</v>
      </c>
    </row>
    <row r="12" spans="1:11" x14ac:dyDescent="0.25">
      <c r="C12" t="s">
        <v>196</v>
      </c>
      <c r="D12" t="s">
        <v>63</v>
      </c>
      <c r="E12">
        <v>6.99</v>
      </c>
      <c r="F12">
        <v>6.93</v>
      </c>
      <c r="G12">
        <v>7.05</v>
      </c>
      <c r="I12" t="str">
        <f>"599/4405"</f>
        <v>599/4405</v>
      </c>
      <c r="J12" t="str">
        <f>"444/1217"</f>
        <v>444/1217</v>
      </c>
      <c r="K12" t="str">
        <f>"890/4301"</f>
        <v>890/4301</v>
      </c>
    </row>
    <row r="13" spans="1:11" x14ac:dyDescent="0.25">
      <c r="C13" t="s">
        <v>197</v>
      </c>
      <c r="D13" t="s">
        <v>198</v>
      </c>
      <c r="E13">
        <v>7</v>
      </c>
      <c r="F13">
        <v>6.91</v>
      </c>
      <c r="G13">
        <v>7.02</v>
      </c>
      <c r="I13" t="str">
        <f>"502/3747"</f>
        <v>502/3747</v>
      </c>
      <c r="J13" t="str">
        <f>"344/1124"</f>
        <v>344/1124</v>
      </c>
      <c r="K13" t="str">
        <f>"759/4231"</f>
        <v>759/4231</v>
      </c>
    </row>
    <row r="14" spans="1:11" x14ac:dyDescent="0.25">
      <c r="C14" t="s">
        <v>199</v>
      </c>
      <c r="D14" t="s">
        <v>124</v>
      </c>
      <c r="E14">
        <v>7.03</v>
      </c>
      <c r="F14">
        <v>6.87</v>
      </c>
      <c r="G14">
        <v>7.01</v>
      </c>
      <c r="I14" t="str">
        <f>"641/3535"</f>
        <v>641/3535</v>
      </c>
      <c r="J14" t="str">
        <f>"524/1607"</f>
        <v>524/1607</v>
      </c>
      <c r="K14" t="str">
        <f>"956/3839"</f>
        <v>956/3839</v>
      </c>
    </row>
    <row r="15" spans="1:11" x14ac:dyDescent="0.25">
      <c r="C15" t="s">
        <v>200</v>
      </c>
      <c r="D15" t="s">
        <v>77</v>
      </c>
      <c r="E15">
        <v>7.03</v>
      </c>
      <c r="F15">
        <v>6.85</v>
      </c>
      <c r="G15">
        <v>7.03</v>
      </c>
      <c r="I15" t="str">
        <f>"526/3845"</f>
        <v>526/3845</v>
      </c>
      <c r="J15" t="str">
        <f>"369/1181"</f>
        <v>369/1181</v>
      </c>
      <c r="K15" t="str">
        <f>"785/4340"</f>
        <v>785/4340</v>
      </c>
    </row>
    <row r="16" spans="1:11" x14ac:dyDescent="0.25">
      <c r="C16" t="s">
        <v>201</v>
      </c>
      <c r="D16" t="s">
        <v>122</v>
      </c>
      <c r="E16">
        <v>7.01</v>
      </c>
      <c r="F16">
        <v>6.86</v>
      </c>
      <c r="G16">
        <v>7.02</v>
      </c>
      <c r="I16" t="str">
        <f>"533/2925"</f>
        <v>533/2925</v>
      </c>
      <c r="J16" t="str">
        <f>"447/1358"</f>
        <v>447/1358</v>
      </c>
      <c r="K16" t="str">
        <f>"815/3345"</f>
        <v>815/3345</v>
      </c>
    </row>
    <row r="17" spans="3:11" x14ac:dyDescent="0.25">
      <c r="C17" t="s">
        <v>202</v>
      </c>
      <c r="D17" t="s">
        <v>105</v>
      </c>
      <c r="E17">
        <v>6.95</v>
      </c>
      <c r="F17">
        <v>6.88</v>
      </c>
      <c r="G17">
        <v>7.03</v>
      </c>
      <c r="I17" t="str">
        <f>"671/3536"</f>
        <v>671/3536</v>
      </c>
      <c r="J17" t="str">
        <f>"439/868"</f>
        <v>439/868</v>
      </c>
      <c r="K17" t="str">
        <f>"984/3406"</f>
        <v>984/3406</v>
      </c>
    </row>
    <row r="18" spans="3:11" x14ac:dyDescent="0.25">
      <c r="C18" t="s">
        <v>203</v>
      </c>
      <c r="D18" t="s">
        <v>204</v>
      </c>
      <c r="E18">
        <v>6.92</v>
      </c>
      <c r="F18">
        <v>6.89</v>
      </c>
      <c r="G18">
        <v>7.03</v>
      </c>
      <c r="I18" t="str">
        <f>"505/3944"</f>
        <v>505/3944</v>
      </c>
      <c r="J18" t="str">
        <f>"338/954"</f>
        <v>338/954</v>
      </c>
      <c r="K18" t="str">
        <f>"662/2878"</f>
        <v>662/2878</v>
      </c>
    </row>
    <row r="19" spans="3:11" x14ac:dyDescent="0.25">
      <c r="C19" t="s">
        <v>205</v>
      </c>
      <c r="D19" t="s">
        <v>206</v>
      </c>
      <c r="E19">
        <v>6.97</v>
      </c>
      <c r="F19">
        <v>6.82</v>
      </c>
      <c r="G19">
        <v>7.04</v>
      </c>
      <c r="I19" t="str">
        <f>"414/2420"</f>
        <v>414/2420</v>
      </c>
      <c r="J19" t="str">
        <f>"282/708"</f>
        <v>282/708</v>
      </c>
      <c r="K19" t="str">
        <f>"591/2975"</f>
        <v>591/2975</v>
      </c>
    </row>
    <row r="20" spans="3:11" x14ac:dyDescent="0.25">
      <c r="C20" t="s">
        <v>207</v>
      </c>
      <c r="D20" t="s">
        <v>69</v>
      </c>
      <c r="E20">
        <v>6.94</v>
      </c>
      <c r="F20">
        <v>6.87</v>
      </c>
      <c r="G20">
        <v>7.01</v>
      </c>
      <c r="I20" t="str">
        <f>"625/3536"</f>
        <v>625/3536</v>
      </c>
      <c r="J20" t="str">
        <f>"479/1165"</f>
        <v>479/1165</v>
      </c>
      <c r="K20" t="str">
        <f>"920/4036"</f>
        <v>920/4036</v>
      </c>
    </row>
    <row r="21" spans="3:11" x14ac:dyDescent="0.25">
      <c r="C21" t="s">
        <v>208</v>
      </c>
      <c r="D21" t="s">
        <v>75</v>
      </c>
      <c r="E21">
        <v>6.95</v>
      </c>
      <c r="F21">
        <v>6.85</v>
      </c>
      <c r="G21">
        <v>7.02</v>
      </c>
      <c r="I21" t="str">
        <f>"405/2328"</f>
        <v>405/2328</v>
      </c>
      <c r="J21" t="str">
        <f>"275/633"</f>
        <v>275/633</v>
      </c>
      <c r="K21" t="str">
        <f>"564/2712"</f>
        <v>564/2712</v>
      </c>
    </row>
    <row r="22" spans="3:11" x14ac:dyDescent="0.25">
      <c r="C22" t="s">
        <v>209</v>
      </c>
      <c r="D22" t="s">
        <v>99</v>
      </c>
      <c r="E22">
        <v>6.98</v>
      </c>
      <c r="F22">
        <v>6.79</v>
      </c>
      <c r="G22">
        <v>7.02</v>
      </c>
      <c r="I22" t="str">
        <f>"417/2430"</f>
        <v>417/2430</v>
      </c>
      <c r="J22" t="str">
        <f>"282/708"</f>
        <v>282/708</v>
      </c>
      <c r="K22" t="str">
        <f>"596/3006"</f>
        <v>596/3006</v>
      </c>
    </row>
    <row r="23" spans="3:11" x14ac:dyDescent="0.25">
      <c r="C23" t="s">
        <v>210</v>
      </c>
      <c r="D23" t="s">
        <v>211</v>
      </c>
      <c r="E23">
        <v>6.98</v>
      </c>
      <c r="F23">
        <v>6.78</v>
      </c>
      <c r="G23">
        <v>7.02</v>
      </c>
      <c r="I23" t="str">
        <f>"467/2342"</f>
        <v>467/2342</v>
      </c>
      <c r="J23" t="str">
        <f>"346/882"</f>
        <v>346/882</v>
      </c>
      <c r="K23" t="str">
        <f>"704/2626"</f>
        <v>704/2626</v>
      </c>
    </row>
    <row r="24" spans="3:11" x14ac:dyDescent="0.25">
      <c r="C24" t="s">
        <v>212</v>
      </c>
      <c r="D24" t="s">
        <v>34</v>
      </c>
      <c r="E24">
        <v>6.99</v>
      </c>
      <c r="F24">
        <v>6.77</v>
      </c>
      <c r="G24">
        <v>7.02</v>
      </c>
      <c r="I24" t="str">
        <f>"589/6533"</f>
        <v>589/6533</v>
      </c>
      <c r="J24" t="str">
        <f>"437/1378"</f>
        <v>437/1378</v>
      </c>
      <c r="K24" t="str">
        <f>"809/4478"</f>
        <v>809/4478</v>
      </c>
    </row>
    <row r="25" spans="3:11" x14ac:dyDescent="0.25">
      <c r="C25" t="s">
        <v>213</v>
      </c>
      <c r="D25" t="s">
        <v>79</v>
      </c>
      <c r="E25">
        <v>6.99</v>
      </c>
      <c r="F25">
        <v>6.71</v>
      </c>
      <c r="G25">
        <v>7.03</v>
      </c>
      <c r="I25" t="str">
        <f>"405/2328"</f>
        <v>405/2328</v>
      </c>
      <c r="J25" t="str">
        <f>"275/633"</f>
        <v>275/633</v>
      </c>
      <c r="K25" t="str">
        <f>"564/2712"</f>
        <v>564/2712</v>
      </c>
    </row>
    <row r="26" spans="3:11" x14ac:dyDescent="0.25">
      <c r="C26" t="s">
        <v>214</v>
      </c>
      <c r="D26" t="s">
        <v>62</v>
      </c>
      <c r="E26">
        <v>6.93</v>
      </c>
      <c r="F26">
        <v>6.75</v>
      </c>
      <c r="G26">
        <v>7.03</v>
      </c>
      <c r="I26" t="str">
        <f>"480/3310"</f>
        <v>480/3310</v>
      </c>
      <c r="J26" t="str">
        <f>"370/995"</f>
        <v>370/995</v>
      </c>
      <c r="K26" t="str">
        <f>"650/2628"</f>
        <v>650/2628</v>
      </c>
    </row>
    <row r="27" spans="3:11" x14ac:dyDescent="0.25">
      <c r="C27" t="s">
        <v>215</v>
      </c>
      <c r="D27" t="s">
        <v>114</v>
      </c>
      <c r="E27">
        <v>6.92</v>
      </c>
      <c r="F27">
        <v>6.76</v>
      </c>
      <c r="G27">
        <v>7.02</v>
      </c>
      <c r="I27" t="str">
        <f>"391/2915"</f>
        <v>391/2915</v>
      </c>
      <c r="J27" t="str">
        <f>"275/849"</f>
        <v>275/849</v>
      </c>
      <c r="K27" t="str">
        <f>"524/2715"</f>
        <v>524/2715</v>
      </c>
    </row>
    <row r="28" spans="3:11" x14ac:dyDescent="0.25">
      <c r="C28" t="s">
        <v>216</v>
      </c>
      <c r="D28" t="s">
        <v>18</v>
      </c>
      <c r="E28">
        <v>6.95</v>
      </c>
      <c r="F28">
        <v>6.73</v>
      </c>
      <c r="G28">
        <v>6.99</v>
      </c>
      <c r="I28" t="str">
        <f>"346/3422"</f>
        <v>346/3422</v>
      </c>
      <c r="J28" t="str">
        <f>"269/899"</f>
        <v>269/899</v>
      </c>
      <c r="K28" t="str">
        <f>"593/3055"</f>
        <v>593/3055</v>
      </c>
    </row>
    <row r="29" spans="3:11" x14ac:dyDescent="0.25">
      <c r="C29" t="s">
        <v>217</v>
      </c>
      <c r="D29" t="s">
        <v>218</v>
      </c>
      <c r="E29">
        <v>6.95</v>
      </c>
      <c r="F29">
        <v>6.69</v>
      </c>
      <c r="G29">
        <v>7.02</v>
      </c>
      <c r="I29" t="str">
        <f>"460/2035"</f>
        <v>460/2035</v>
      </c>
      <c r="J29" t="str">
        <f>"342/678"</f>
        <v>342/678</v>
      </c>
      <c r="K29" t="str">
        <f>"740/2621"</f>
        <v>740/2621</v>
      </c>
    </row>
    <row r="30" spans="3:11" x14ac:dyDescent="0.25">
      <c r="C30" t="s">
        <v>219</v>
      </c>
      <c r="D30" t="s">
        <v>220</v>
      </c>
      <c r="E30">
        <v>6.95</v>
      </c>
      <c r="F30">
        <v>6.78</v>
      </c>
      <c r="G30">
        <v>6.93</v>
      </c>
      <c r="I30" t="str">
        <f>"370/1674"</f>
        <v>370/1674</v>
      </c>
      <c r="J30" t="str">
        <f>"278/657"</f>
        <v>278/657</v>
      </c>
      <c r="K30" t="str">
        <f>"660/2564"</f>
        <v>660/2564</v>
      </c>
    </row>
    <row r="31" spans="3:11" x14ac:dyDescent="0.25">
      <c r="C31" t="s">
        <v>221</v>
      </c>
      <c r="D31" t="s">
        <v>222</v>
      </c>
      <c r="E31">
        <v>6.9</v>
      </c>
      <c r="F31">
        <v>6.82</v>
      </c>
      <c r="G31">
        <v>6.94</v>
      </c>
      <c r="I31" t="str">
        <f>"428/1746"</f>
        <v>428/1746</v>
      </c>
      <c r="J31" t="str">
        <f>"309/632"</f>
        <v>309/632</v>
      </c>
      <c r="K31" t="str">
        <f>"692/2183"</f>
        <v>692/2183</v>
      </c>
    </row>
    <row r="32" spans="3:11" x14ac:dyDescent="0.25">
      <c r="C32" t="s">
        <v>223</v>
      </c>
      <c r="D32" t="s">
        <v>16</v>
      </c>
      <c r="E32">
        <v>7</v>
      </c>
      <c r="F32">
        <v>6.75</v>
      </c>
      <c r="G32">
        <v>6.9</v>
      </c>
      <c r="I32" t="str">
        <f>"344/6322"</f>
        <v>344/6322</v>
      </c>
      <c r="J32" t="str">
        <f>"184/897"</f>
        <v>184/897</v>
      </c>
      <c r="K32" t="str">
        <f>"381/2595"</f>
        <v>381/2595</v>
      </c>
    </row>
    <row r="33" spans="3:11" x14ac:dyDescent="0.25">
      <c r="C33" t="s">
        <v>224</v>
      </c>
      <c r="D33" t="s">
        <v>24</v>
      </c>
      <c r="E33">
        <v>6.98</v>
      </c>
      <c r="F33">
        <v>6.65</v>
      </c>
      <c r="G33">
        <v>7.01</v>
      </c>
      <c r="I33" t="str">
        <f>"346/3422"</f>
        <v>346/3422</v>
      </c>
      <c r="J33" t="str">
        <f>"267/896"</f>
        <v>267/896</v>
      </c>
      <c r="K33" t="str">
        <f>"591/3051"</f>
        <v>591/3051</v>
      </c>
    </row>
    <row r="34" spans="3:11" x14ac:dyDescent="0.25">
      <c r="C34" t="s">
        <v>225</v>
      </c>
      <c r="D34" t="s">
        <v>226</v>
      </c>
      <c r="E34">
        <v>6.89</v>
      </c>
      <c r="F34">
        <v>6.73</v>
      </c>
      <c r="G34">
        <v>6.98</v>
      </c>
      <c r="I34" t="str">
        <f>"589/2892"</f>
        <v>589/2892</v>
      </c>
      <c r="J34" t="str">
        <f>"376/713"</f>
        <v>376/713</v>
      </c>
      <c r="K34" t="str">
        <f>"912/3088"</f>
        <v>912/3088</v>
      </c>
    </row>
    <row r="35" spans="3:11" x14ac:dyDescent="0.25">
      <c r="C35" t="s">
        <v>227</v>
      </c>
      <c r="D35" t="s">
        <v>228</v>
      </c>
      <c r="E35">
        <v>6.87</v>
      </c>
      <c r="F35">
        <v>6.71</v>
      </c>
      <c r="G35">
        <v>7.02</v>
      </c>
      <c r="I35" t="str">
        <f>"482/3312"</f>
        <v>482/3312</v>
      </c>
      <c r="J35" t="str">
        <f>"372/997"</f>
        <v>372/997</v>
      </c>
      <c r="K35" t="str">
        <f>"653/2634"</f>
        <v>653/2634</v>
      </c>
    </row>
    <row r="36" spans="3:11" x14ac:dyDescent="0.25">
      <c r="C36" t="s">
        <v>229</v>
      </c>
      <c r="D36" t="s">
        <v>230</v>
      </c>
      <c r="E36">
        <v>6.92</v>
      </c>
      <c r="F36">
        <v>6.67</v>
      </c>
      <c r="G36">
        <v>7</v>
      </c>
      <c r="I36" t="str">
        <f>"399/2071"</f>
        <v>399/2071</v>
      </c>
      <c r="J36" t="str">
        <f>"290/739"</f>
        <v>290/739</v>
      </c>
      <c r="K36" t="str">
        <f>"586/2232"</f>
        <v>586/2232</v>
      </c>
    </row>
    <row r="37" spans="3:11" x14ac:dyDescent="0.25">
      <c r="C37" t="s">
        <v>231</v>
      </c>
      <c r="D37" t="s">
        <v>20</v>
      </c>
      <c r="E37">
        <v>7.04</v>
      </c>
      <c r="F37">
        <v>6.62</v>
      </c>
      <c r="G37">
        <v>6.92</v>
      </c>
      <c r="I37" t="str">
        <f>"366/6346"</f>
        <v>366/6346</v>
      </c>
      <c r="J37" t="str">
        <f>"226/947"</f>
        <v>226/947</v>
      </c>
      <c r="K37" t="str">
        <f>"473/2810"</f>
        <v>473/2810</v>
      </c>
    </row>
    <row r="38" spans="3:11" x14ac:dyDescent="0.25">
      <c r="C38" t="s">
        <v>232</v>
      </c>
      <c r="D38" t="s">
        <v>233</v>
      </c>
      <c r="E38">
        <v>6.92</v>
      </c>
      <c r="F38">
        <v>6.63</v>
      </c>
      <c r="G38">
        <v>7</v>
      </c>
      <c r="I38" t="str">
        <f>"487/2669"</f>
        <v>487/2669</v>
      </c>
      <c r="J38" t="str">
        <f>"282/577"</f>
        <v>282/577</v>
      </c>
      <c r="K38" t="str">
        <f>"657/2281"</f>
        <v>657/2281</v>
      </c>
    </row>
    <row r="39" spans="3:11" x14ac:dyDescent="0.25">
      <c r="C39" t="s">
        <v>234</v>
      </c>
      <c r="D39" t="s">
        <v>235</v>
      </c>
      <c r="E39">
        <v>6.89</v>
      </c>
      <c r="F39">
        <v>6.66</v>
      </c>
      <c r="G39">
        <v>6.99</v>
      </c>
      <c r="I39" t="str">
        <f>"506/2702"</f>
        <v>506/2702</v>
      </c>
      <c r="J39" t="str">
        <f>"302/607"</f>
        <v>302/607</v>
      </c>
      <c r="K39" t="str">
        <f>"724/2450"</f>
        <v>724/2450</v>
      </c>
    </row>
    <row r="40" spans="3:11" x14ac:dyDescent="0.25">
      <c r="C40" t="s">
        <v>236</v>
      </c>
      <c r="D40" t="s">
        <v>237</v>
      </c>
      <c r="E40">
        <v>6.95</v>
      </c>
      <c r="F40">
        <v>6.62</v>
      </c>
      <c r="G40">
        <v>6.96</v>
      </c>
      <c r="I40" t="str">
        <f>"331/1414"</f>
        <v>331/1414</v>
      </c>
      <c r="J40" t="str">
        <f>"288/1371"</f>
        <v>288/1371</v>
      </c>
      <c r="K40" t="str">
        <f>"500/1372"</f>
        <v>500/1372</v>
      </c>
    </row>
    <row r="41" spans="3:11" x14ac:dyDescent="0.25">
      <c r="C41" t="s">
        <v>238</v>
      </c>
      <c r="D41" t="s">
        <v>111</v>
      </c>
      <c r="E41">
        <v>6.94</v>
      </c>
      <c r="F41">
        <v>6.72</v>
      </c>
      <c r="G41">
        <v>6.87</v>
      </c>
      <c r="I41" t="str">
        <f>"322/1660"</f>
        <v>322/1660</v>
      </c>
      <c r="J41" t="str">
        <f>"287/1677"</f>
        <v>287/1677</v>
      </c>
      <c r="K41" t="str">
        <f>"481/1467"</f>
        <v>481/1467</v>
      </c>
    </row>
    <row r="42" spans="3:11" x14ac:dyDescent="0.25">
      <c r="C42" t="s">
        <v>239</v>
      </c>
      <c r="D42" t="s">
        <v>240</v>
      </c>
      <c r="E42">
        <v>6.88</v>
      </c>
      <c r="F42">
        <v>6.64</v>
      </c>
      <c r="G42">
        <v>6.98</v>
      </c>
      <c r="I42" t="str">
        <f>"521/2737"</f>
        <v>521/2737</v>
      </c>
      <c r="J42" t="str">
        <f>"303/601"</f>
        <v>303/601</v>
      </c>
      <c r="K42" t="str">
        <f>"720/2439"</f>
        <v>720/2439</v>
      </c>
    </row>
    <row r="43" spans="3:11" x14ac:dyDescent="0.25">
      <c r="C43" t="s">
        <v>241</v>
      </c>
      <c r="D43" t="s">
        <v>242</v>
      </c>
      <c r="E43">
        <v>6.9</v>
      </c>
      <c r="F43">
        <v>6.65</v>
      </c>
      <c r="G43">
        <v>6.94</v>
      </c>
      <c r="I43" t="str">
        <f>"396/1794"</f>
        <v>396/1794</v>
      </c>
      <c r="J43" t="str">
        <f>"294/678"</f>
        <v>294/678</v>
      </c>
      <c r="K43" t="str">
        <f>"691/2694"</f>
        <v>691/2694</v>
      </c>
    </row>
    <row r="44" spans="3:11" x14ac:dyDescent="0.25">
      <c r="C44" t="s">
        <v>243</v>
      </c>
      <c r="D44" t="s">
        <v>244</v>
      </c>
      <c r="E44">
        <v>6.85</v>
      </c>
      <c r="F44">
        <v>6.63</v>
      </c>
      <c r="G44">
        <v>6.91</v>
      </c>
      <c r="I44" t="str">
        <f>"342/2760"</f>
        <v>342/2760</v>
      </c>
      <c r="J44" t="str">
        <f>"173/463"</f>
        <v>173/463</v>
      </c>
      <c r="K44" t="str">
        <f>"371/1492"</f>
        <v>371/1492</v>
      </c>
    </row>
    <row r="45" spans="3:11" x14ac:dyDescent="0.25">
      <c r="C45" t="s">
        <v>45</v>
      </c>
      <c r="D45" t="s">
        <v>245</v>
      </c>
      <c r="K45" t="s">
        <v>47</v>
      </c>
    </row>
    <row r="47" spans="3:11" x14ac:dyDescent="0.25">
      <c r="C47" t="s">
        <v>48</v>
      </c>
      <c r="F47" t="s">
        <v>188</v>
      </c>
      <c r="J47" t="s">
        <v>6</v>
      </c>
    </row>
    <row r="48" spans="3:11" x14ac:dyDescent="0.25">
      <c r="D48" t="s">
        <v>7</v>
      </c>
      <c r="E48" t="s">
        <v>8</v>
      </c>
      <c r="F48" t="s">
        <v>9</v>
      </c>
      <c r="G48" t="s">
        <v>10</v>
      </c>
      <c r="I48" t="s">
        <v>8</v>
      </c>
      <c r="J48" t="s">
        <v>9</v>
      </c>
      <c r="K48" t="s">
        <v>10</v>
      </c>
    </row>
    <row r="49" spans="3:11" x14ac:dyDescent="0.25">
      <c r="C49" t="s">
        <v>189</v>
      </c>
      <c r="D49" t="s">
        <v>101</v>
      </c>
      <c r="E49">
        <v>6.96</v>
      </c>
      <c r="F49">
        <v>6.61</v>
      </c>
      <c r="G49">
        <v>6.98</v>
      </c>
      <c r="I49" t="str">
        <f>"504/2700"</f>
        <v>504/2700</v>
      </c>
      <c r="J49" t="str">
        <f>"294/591"</f>
        <v>294/591</v>
      </c>
      <c r="K49" t="str">
        <f>"692/2374"</f>
        <v>692/2374</v>
      </c>
    </row>
    <row r="50" spans="3:11" x14ac:dyDescent="0.25">
      <c r="C50" t="s">
        <v>190</v>
      </c>
      <c r="D50" t="s">
        <v>91</v>
      </c>
      <c r="E50">
        <v>6.89</v>
      </c>
      <c r="F50">
        <v>6.6</v>
      </c>
      <c r="G50">
        <v>7</v>
      </c>
      <c r="I50" t="str">
        <f>"521/2737"</f>
        <v>521/2737</v>
      </c>
      <c r="J50" t="str">
        <f>"303/601"</f>
        <v>303/601</v>
      </c>
      <c r="K50" t="str">
        <f>"720/2439"</f>
        <v>720/2439</v>
      </c>
    </row>
    <row r="51" spans="3:11" x14ac:dyDescent="0.25">
      <c r="C51" t="s">
        <v>192</v>
      </c>
      <c r="D51" t="s">
        <v>14</v>
      </c>
      <c r="E51">
        <v>7.02</v>
      </c>
      <c r="F51">
        <v>6.57</v>
      </c>
      <c r="G51">
        <v>6.9</v>
      </c>
      <c r="I51" t="str">
        <f>"339/6300"</f>
        <v>339/6300</v>
      </c>
      <c r="J51" t="str">
        <f>"172/883"</f>
        <v>172/883</v>
      </c>
      <c r="K51" t="str">
        <f>"369/2568"</f>
        <v>369/2568</v>
      </c>
    </row>
    <row r="52" spans="3:11" x14ac:dyDescent="0.25">
      <c r="C52" t="s">
        <v>193</v>
      </c>
      <c r="D52" t="s">
        <v>246</v>
      </c>
      <c r="E52">
        <v>6.87</v>
      </c>
      <c r="F52">
        <v>6.62</v>
      </c>
      <c r="G52">
        <v>7</v>
      </c>
      <c r="I52" t="str">
        <f>"525/2773"</f>
        <v>525/2773</v>
      </c>
      <c r="J52" t="str">
        <f>"334/649"</f>
        <v>334/649</v>
      </c>
      <c r="K52" t="str">
        <f>"738/2505"</f>
        <v>738/2505</v>
      </c>
    </row>
    <row r="53" spans="3:11" x14ac:dyDescent="0.25">
      <c r="C53" t="s">
        <v>195</v>
      </c>
      <c r="D53" t="s">
        <v>22</v>
      </c>
      <c r="E53">
        <v>6.97</v>
      </c>
      <c r="F53">
        <v>6.48</v>
      </c>
      <c r="G53">
        <v>7</v>
      </c>
      <c r="I53" t="str">
        <f>"303/2188"</f>
        <v>303/2188</v>
      </c>
      <c r="J53" t="str">
        <f>"228/1264"</f>
        <v>228/1264</v>
      </c>
      <c r="K53" t="str">
        <f>"433/2342"</f>
        <v>433/2342</v>
      </c>
    </row>
    <row r="54" spans="3:11" x14ac:dyDescent="0.25">
      <c r="C54" t="s">
        <v>196</v>
      </c>
      <c r="D54" t="s">
        <v>95</v>
      </c>
      <c r="E54">
        <v>6.88</v>
      </c>
      <c r="F54">
        <v>6.52</v>
      </c>
      <c r="G54">
        <v>7.02</v>
      </c>
      <c r="I54" t="str">
        <f>"378/2964"</f>
        <v>378/2964</v>
      </c>
      <c r="J54" t="str">
        <f>"217/613"</f>
        <v>217/613</v>
      </c>
      <c r="K54" t="str">
        <f>"478/2346"</f>
        <v>478/2346</v>
      </c>
    </row>
    <row r="55" spans="3:11" x14ac:dyDescent="0.25">
      <c r="C55" t="s">
        <v>197</v>
      </c>
      <c r="D55" t="s">
        <v>56</v>
      </c>
      <c r="E55">
        <v>6.9</v>
      </c>
      <c r="F55">
        <v>6.44</v>
      </c>
      <c r="G55">
        <v>7.01</v>
      </c>
      <c r="I55" t="str">
        <f>"301/1880"</f>
        <v>301/1880</v>
      </c>
      <c r="J55" t="str">
        <f>"182/369"</f>
        <v>182/369</v>
      </c>
      <c r="K55" t="str">
        <f>"402/1980"</f>
        <v>402/1980</v>
      </c>
    </row>
    <row r="56" spans="3:11" x14ac:dyDescent="0.25">
      <c r="C56" t="s">
        <v>199</v>
      </c>
      <c r="D56" t="s">
        <v>89</v>
      </c>
      <c r="E56">
        <v>6.88</v>
      </c>
      <c r="F56">
        <v>6.45</v>
      </c>
      <c r="G56">
        <v>6.99</v>
      </c>
      <c r="I56" t="str">
        <f>"213/1714"</f>
        <v>213/1714</v>
      </c>
      <c r="J56" t="str">
        <f>"155/441"</f>
        <v>155/441</v>
      </c>
      <c r="K56" t="str">
        <f>"349/1611"</f>
        <v>349/1611</v>
      </c>
    </row>
    <row r="57" spans="3:11" x14ac:dyDescent="0.25">
      <c r="C57" t="s">
        <v>200</v>
      </c>
      <c r="D57" t="s">
        <v>55</v>
      </c>
      <c r="E57">
        <v>6.91</v>
      </c>
      <c r="F57">
        <v>6.4</v>
      </c>
      <c r="G57">
        <v>6.98</v>
      </c>
      <c r="I57" t="str">
        <f>"308/1908"</f>
        <v>308/1908</v>
      </c>
      <c r="J57" t="str">
        <f>"185/377"</f>
        <v>185/377</v>
      </c>
      <c r="K57" t="str">
        <f>"419/2060"</f>
        <v>419/2060</v>
      </c>
    </row>
    <row r="58" spans="3:11" x14ac:dyDescent="0.25">
      <c r="C58" t="s">
        <v>201</v>
      </c>
      <c r="D58" t="s">
        <v>51</v>
      </c>
      <c r="E58">
        <v>6.95</v>
      </c>
      <c r="F58">
        <v>6.3</v>
      </c>
      <c r="G58">
        <v>7</v>
      </c>
      <c r="I58" t="str">
        <f>"297/1870"</f>
        <v>297/1870</v>
      </c>
      <c r="J58" t="str">
        <f>"181/369"</f>
        <v>181/369</v>
      </c>
      <c r="K58" t="str">
        <f>"392/1961"</f>
        <v>392/1961</v>
      </c>
    </row>
    <row r="59" spans="3:11" x14ac:dyDescent="0.25">
      <c r="C59" t="s">
        <v>202</v>
      </c>
      <c r="D59" t="s">
        <v>52</v>
      </c>
      <c r="E59">
        <v>6.96</v>
      </c>
      <c r="F59">
        <v>6.27</v>
      </c>
      <c r="G59">
        <v>7</v>
      </c>
      <c r="I59" t="str">
        <f>"294/1861"</f>
        <v>294/1861</v>
      </c>
      <c r="J59" t="str">
        <f>"180/367"</f>
        <v>180/367</v>
      </c>
      <c r="K59" t="str">
        <f>"389/1949"</f>
        <v>389/1949</v>
      </c>
    </row>
    <row r="60" spans="3:11" x14ac:dyDescent="0.25">
      <c r="C60" t="s">
        <v>203</v>
      </c>
      <c r="D60" t="s">
        <v>42</v>
      </c>
      <c r="E60">
        <v>6.87</v>
      </c>
      <c r="F60">
        <v>6.4</v>
      </c>
      <c r="G60">
        <v>6.93</v>
      </c>
      <c r="I60" t="str">
        <f>"405/2774"</f>
        <v>405/2774</v>
      </c>
      <c r="J60" t="str">
        <f>"279/781"</f>
        <v>279/781</v>
      </c>
      <c r="K60" t="str">
        <f>"485/1926"</f>
        <v>485/1926</v>
      </c>
    </row>
    <row r="61" spans="3:11" x14ac:dyDescent="0.25">
      <c r="C61" t="s">
        <v>205</v>
      </c>
      <c r="D61" t="s">
        <v>53</v>
      </c>
      <c r="E61">
        <v>6.94</v>
      </c>
      <c r="F61">
        <v>6.28</v>
      </c>
      <c r="G61">
        <v>6.96</v>
      </c>
      <c r="I61" t="str">
        <f>"299/1876"</f>
        <v>299/1876</v>
      </c>
      <c r="J61" t="str">
        <f>"185/375"</f>
        <v>185/375</v>
      </c>
      <c r="K61" t="str">
        <f>"400/1980"</f>
        <v>400/1980</v>
      </c>
    </row>
    <row r="62" spans="3:11" x14ac:dyDescent="0.25">
      <c r="C62" t="s">
        <v>207</v>
      </c>
      <c r="D62" t="s">
        <v>49</v>
      </c>
      <c r="E62">
        <v>6.93</v>
      </c>
      <c r="F62">
        <v>6.26</v>
      </c>
      <c r="G62">
        <v>7</v>
      </c>
      <c r="I62" t="str">
        <f>"296/1866"</f>
        <v>296/1866</v>
      </c>
      <c r="J62" t="str">
        <f>"180/367"</f>
        <v>180/367</v>
      </c>
      <c r="K62" t="str">
        <f>"392/1951"</f>
        <v>392/1951</v>
      </c>
    </row>
    <row r="63" spans="3:11" x14ac:dyDescent="0.25">
      <c r="C63" t="s">
        <v>208</v>
      </c>
      <c r="D63" t="s">
        <v>57</v>
      </c>
      <c r="E63">
        <v>6.97</v>
      </c>
      <c r="F63">
        <v>6.17</v>
      </c>
      <c r="G63">
        <v>7.01</v>
      </c>
      <c r="I63" t="str">
        <f>"294/1861"</f>
        <v>294/1861</v>
      </c>
      <c r="J63" t="str">
        <f>"180/367"</f>
        <v>180/367</v>
      </c>
      <c r="K63" t="str">
        <f>"388/1938"</f>
        <v>388/1938</v>
      </c>
    </row>
    <row r="64" spans="3:11" x14ac:dyDescent="0.25">
      <c r="C64" t="s">
        <v>209</v>
      </c>
      <c r="D64" t="s">
        <v>81</v>
      </c>
      <c r="E64">
        <v>6.9</v>
      </c>
      <c r="F64">
        <v>6.36</v>
      </c>
      <c r="G64">
        <v>6.85</v>
      </c>
      <c r="I64" t="str">
        <f>"340/2619"</f>
        <v>340/2619</v>
      </c>
      <c r="J64" t="str">
        <f>"172/462"</f>
        <v>172/462</v>
      </c>
      <c r="K64" t="str">
        <f>"369/1488"</f>
        <v>369/1488</v>
      </c>
    </row>
    <row r="65" spans="3:11" x14ac:dyDescent="0.25">
      <c r="C65" t="s">
        <v>210</v>
      </c>
      <c r="D65" t="s">
        <v>247</v>
      </c>
      <c r="E65">
        <v>6.85</v>
      </c>
      <c r="F65">
        <v>6.3</v>
      </c>
      <c r="G65">
        <v>6.94</v>
      </c>
      <c r="I65" t="str">
        <f>"341/2623"</f>
        <v>341/2623</v>
      </c>
      <c r="J65" t="str">
        <f>"173/463"</f>
        <v>173/463</v>
      </c>
      <c r="K65" t="str">
        <f>"371/1492"</f>
        <v>371/1492</v>
      </c>
    </row>
    <row r="66" spans="3:11" x14ac:dyDescent="0.25">
      <c r="C66" t="s">
        <v>212</v>
      </c>
      <c r="D66" t="s">
        <v>126</v>
      </c>
      <c r="E66">
        <v>6.88</v>
      </c>
      <c r="F66">
        <v>6.17</v>
      </c>
      <c r="G66">
        <v>6.93</v>
      </c>
      <c r="I66" t="str">
        <f>"848/2641"</f>
        <v>848/2641</v>
      </c>
      <c r="J66" t="str">
        <f>"459/956"</f>
        <v>459/956</v>
      </c>
      <c r="K66" t="str">
        <f>"993/2560"</f>
        <v>993/2560</v>
      </c>
    </row>
    <row r="67" spans="3:11" x14ac:dyDescent="0.25">
      <c r="C67" t="s">
        <v>213</v>
      </c>
      <c r="D67" t="s">
        <v>65</v>
      </c>
      <c r="E67">
        <v>6.85</v>
      </c>
      <c r="F67">
        <v>6.05</v>
      </c>
      <c r="G67">
        <v>6.98</v>
      </c>
      <c r="I67" t="str">
        <f>"196/1530"</f>
        <v>196/1530</v>
      </c>
      <c r="J67" t="str">
        <f>"135/357"</f>
        <v>135/357</v>
      </c>
      <c r="K67" t="str">
        <f>"310/1259"</f>
        <v>310/1259</v>
      </c>
    </row>
    <row r="68" spans="3:11" x14ac:dyDescent="0.25">
      <c r="C68" t="s">
        <v>214</v>
      </c>
      <c r="D68" t="s">
        <v>28</v>
      </c>
      <c r="E68">
        <v>6.86</v>
      </c>
      <c r="F68">
        <v>6.03</v>
      </c>
      <c r="G68">
        <v>6.92</v>
      </c>
      <c r="I68" t="str">
        <f>"256/2834"</f>
        <v>256/2834</v>
      </c>
      <c r="J68" t="str">
        <f>"190/660"</f>
        <v>190/660</v>
      </c>
      <c r="K68" t="str">
        <f>"364/2223"</f>
        <v>364/2223</v>
      </c>
    </row>
    <row r="69" spans="3:11" x14ac:dyDescent="0.25">
      <c r="C69" t="s">
        <v>45</v>
      </c>
      <c r="D69" t="s">
        <v>248</v>
      </c>
      <c r="K69" t="s">
        <v>109</v>
      </c>
    </row>
    <row r="71" spans="3:11" x14ac:dyDescent="0.25">
      <c r="C71" t="s">
        <v>110</v>
      </c>
      <c r="F71" t="s">
        <v>188</v>
      </c>
      <c r="J71" t="s">
        <v>6</v>
      </c>
    </row>
    <row r="72" spans="3:11" x14ac:dyDescent="0.25">
      <c r="D72" t="s">
        <v>7</v>
      </c>
      <c r="E72" t="s">
        <v>8</v>
      </c>
      <c r="F72" t="s">
        <v>9</v>
      </c>
      <c r="G72" t="s">
        <v>10</v>
      </c>
      <c r="I72" t="s">
        <v>8</v>
      </c>
      <c r="J72" t="s">
        <v>9</v>
      </c>
      <c r="K72" t="s">
        <v>10</v>
      </c>
    </row>
    <row r="73" spans="3:11" x14ac:dyDescent="0.25">
      <c r="C73" t="s">
        <v>189</v>
      </c>
      <c r="D73" t="s">
        <v>134</v>
      </c>
      <c r="E73">
        <v>6.93</v>
      </c>
      <c r="F73">
        <v>6.66</v>
      </c>
      <c r="G73">
        <v>6.84</v>
      </c>
      <c r="I73" t="str">
        <f>"228/1084"</f>
        <v>228/1084</v>
      </c>
      <c r="J73" t="str">
        <f>"207/1086"</f>
        <v>207/1086</v>
      </c>
      <c r="K73" t="str">
        <f>"309/935"</f>
        <v>309/935</v>
      </c>
    </row>
    <row r="74" spans="3:11" x14ac:dyDescent="0.25">
      <c r="C74" t="s">
        <v>45</v>
      </c>
      <c r="D74" t="s">
        <v>249</v>
      </c>
      <c r="K74" t="s">
        <v>118</v>
      </c>
    </row>
    <row r="76" spans="3:11" x14ac:dyDescent="0.25">
      <c r="C76" t="s">
        <v>119</v>
      </c>
      <c r="F76" t="s">
        <v>188</v>
      </c>
      <c r="J76" t="s">
        <v>6</v>
      </c>
    </row>
    <row r="77" spans="3:11" x14ac:dyDescent="0.25">
      <c r="D77" t="s">
        <v>7</v>
      </c>
      <c r="E77" t="s">
        <v>8</v>
      </c>
      <c r="F77" t="s">
        <v>9</v>
      </c>
      <c r="G77" t="s">
        <v>10</v>
      </c>
      <c r="I77" t="s">
        <v>8</v>
      </c>
      <c r="J77" t="s">
        <v>9</v>
      </c>
      <c r="K77" t="s">
        <v>10</v>
      </c>
    </row>
    <row r="78" spans="3:11" x14ac:dyDescent="0.25">
      <c r="C78" t="s">
        <v>189</v>
      </c>
      <c r="D78" t="s">
        <v>26</v>
      </c>
      <c r="E78">
        <v>6.79</v>
      </c>
      <c r="F78">
        <v>6.82</v>
      </c>
      <c r="G78">
        <v>7.03</v>
      </c>
      <c r="I78" t="str">
        <f>"452/1721"</f>
        <v>452/1721</v>
      </c>
      <c r="J78" t="str">
        <f>"430/1832"</f>
        <v>430/1832</v>
      </c>
      <c r="K78" t="str">
        <f>"839/3131"</f>
        <v>839/3131</v>
      </c>
    </row>
    <row r="79" spans="3:11" x14ac:dyDescent="0.25">
      <c r="C79" t="s">
        <v>190</v>
      </c>
      <c r="D79" t="s">
        <v>250</v>
      </c>
      <c r="E79">
        <v>6.82</v>
      </c>
      <c r="F79">
        <v>6.83</v>
      </c>
      <c r="G79">
        <v>6.98</v>
      </c>
      <c r="I79" t="str">
        <f>"400/1568"</f>
        <v>400/1568</v>
      </c>
      <c r="J79" t="str">
        <f>"375/887"</f>
        <v>375/887</v>
      </c>
      <c r="K79" t="str">
        <f>"714/2214"</f>
        <v>714/2214</v>
      </c>
    </row>
    <row r="80" spans="3:11" x14ac:dyDescent="0.25">
      <c r="C80" t="s">
        <v>192</v>
      </c>
      <c r="D80" t="s">
        <v>115</v>
      </c>
      <c r="E80">
        <v>6.78</v>
      </c>
      <c r="F80">
        <v>6.67</v>
      </c>
      <c r="G80">
        <v>6.92</v>
      </c>
      <c r="I80" t="str">
        <f>"418/3373"</f>
        <v>418/3373</v>
      </c>
      <c r="J80" t="str">
        <f>"224/593"</f>
        <v>224/593</v>
      </c>
      <c r="K80" t="str">
        <f>"451/1803"</f>
        <v>451/1803</v>
      </c>
    </row>
    <row r="81" spans="2:11" x14ac:dyDescent="0.25">
      <c r="C81" t="s">
        <v>193</v>
      </c>
      <c r="D81" t="s">
        <v>251</v>
      </c>
      <c r="E81">
        <v>6.77</v>
      </c>
      <c r="F81">
        <v>6.62</v>
      </c>
      <c r="G81">
        <v>6.97</v>
      </c>
      <c r="I81" t="str">
        <f>"347/2134"</f>
        <v>347/2134</v>
      </c>
      <c r="J81" t="str">
        <f>"255/736"</f>
        <v>255/736</v>
      </c>
      <c r="K81" t="str">
        <f>"507/2074"</f>
        <v>507/2074</v>
      </c>
    </row>
    <row r="82" spans="2:11" x14ac:dyDescent="0.25">
      <c r="C82" t="s">
        <v>195</v>
      </c>
      <c r="D82" t="s">
        <v>252</v>
      </c>
      <c r="E82">
        <v>6.5</v>
      </c>
      <c r="F82">
        <v>6.64</v>
      </c>
      <c r="G82">
        <v>6.94</v>
      </c>
      <c r="I82" t="str">
        <f>"205/678"</f>
        <v>205/678</v>
      </c>
      <c r="J82" t="str">
        <f>"220/463"</f>
        <v>220/463</v>
      </c>
      <c r="K82" t="str">
        <f>"498/1292"</f>
        <v>498/1292</v>
      </c>
    </row>
    <row r="83" spans="2:11" x14ac:dyDescent="0.25">
      <c r="C83" t="s">
        <v>196</v>
      </c>
      <c r="D83" t="s">
        <v>253</v>
      </c>
      <c r="E83">
        <v>6.1</v>
      </c>
      <c r="F83">
        <v>6.74</v>
      </c>
      <c r="G83">
        <v>6.95</v>
      </c>
      <c r="I83" t="str">
        <f>"330/552"</f>
        <v>330/552</v>
      </c>
      <c r="J83" t="str">
        <f>"430/582"</f>
        <v>430/582</v>
      </c>
      <c r="K83" t="str">
        <f>"970/1867"</f>
        <v>970/1867</v>
      </c>
    </row>
    <row r="84" spans="2:11" x14ac:dyDescent="0.25">
      <c r="C84" t="s">
        <v>45</v>
      </c>
      <c r="D84" t="s">
        <v>254</v>
      </c>
      <c r="K84" t="s">
        <v>139</v>
      </c>
    </row>
    <row r="86" spans="2:11" x14ac:dyDescent="0.25">
      <c r="B86" t="s">
        <v>140</v>
      </c>
      <c r="C86" t="s">
        <v>255</v>
      </c>
    </row>
    <row r="88" spans="2:11" x14ac:dyDescent="0.25">
      <c r="C88" t="s">
        <v>4</v>
      </c>
      <c r="F88" t="s">
        <v>188</v>
      </c>
      <c r="J88" t="s">
        <v>6</v>
      </c>
    </row>
    <row r="89" spans="2:11" x14ac:dyDescent="0.25">
      <c r="D89" t="s">
        <v>7</v>
      </c>
      <c r="E89" t="s">
        <v>8</v>
      </c>
      <c r="F89" t="s">
        <v>9</v>
      </c>
      <c r="G89" t="s">
        <v>10</v>
      </c>
      <c r="I89" t="s">
        <v>8</v>
      </c>
      <c r="J89" t="s">
        <v>9</v>
      </c>
      <c r="K89" t="s">
        <v>10</v>
      </c>
    </row>
    <row r="90" spans="2:11" x14ac:dyDescent="0.25">
      <c r="C90" t="s">
        <v>45</v>
      </c>
      <c r="D90" t="s">
        <v>142</v>
      </c>
      <c r="K90" t="s">
        <v>47</v>
      </c>
    </row>
    <row r="92" spans="2:11" x14ac:dyDescent="0.25">
      <c r="C92" t="s">
        <v>48</v>
      </c>
      <c r="F92" t="s">
        <v>188</v>
      </c>
      <c r="J92" t="s">
        <v>6</v>
      </c>
    </row>
    <row r="93" spans="2:11" x14ac:dyDescent="0.25">
      <c r="D93" t="s">
        <v>7</v>
      </c>
      <c r="E93" t="s">
        <v>8</v>
      </c>
      <c r="F93" t="s">
        <v>9</v>
      </c>
      <c r="G93" t="s">
        <v>10</v>
      </c>
      <c r="I93" t="s">
        <v>8</v>
      </c>
      <c r="J93" t="s">
        <v>9</v>
      </c>
      <c r="K93" t="s">
        <v>10</v>
      </c>
    </row>
    <row r="94" spans="2:11" x14ac:dyDescent="0.25">
      <c r="C94" t="s">
        <v>256</v>
      </c>
      <c r="D94" t="s">
        <v>257</v>
      </c>
      <c r="E94">
        <v>7.02</v>
      </c>
      <c r="F94">
        <v>6.59</v>
      </c>
      <c r="G94">
        <v>7.03</v>
      </c>
      <c r="I94" t="str">
        <f>"481/1394"</f>
        <v>481/1394</v>
      </c>
      <c r="J94" t="str">
        <f>"323/502"</f>
        <v>323/502</v>
      </c>
      <c r="K94" t="str">
        <f>"816/2856"</f>
        <v>816/2856</v>
      </c>
    </row>
    <row r="95" spans="2:11" x14ac:dyDescent="0.25">
      <c r="C95" t="s">
        <v>45</v>
      </c>
      <c r="D95" t="s">
        <v>258</v>
      </c>
      <c r="K95" t="s">
        <v>109</v>
      </c>
    </row>
    <row r="97" spans="2:11" x14ac:dyDescent="0.25">
      <c r="C97" t="s">
        <v>110</v>
      </c>
      <c r="F97" t="s">
        <v>188</v>
      </c>
      <c r="J97" t="s">
        <v>6</v>
      </c>
    </row>
    <row r="98" spans="2:11" x14ac:dyDescent="0.25">
      <c r="D98" t="s">
        <v>7</v>
      </c>
      <c r="E98" t="s">
        <v>8</v>
      </c>
      <c r="F98" t="s">
        <v>9</v>
      </c>
      <c r="G98" t="s">
        <v>10</v>
      </c>
      <c r="I98" t="s">
        <v>8</v>
      </c>
      <c r="J98" t="s">
        <v>9</v>
      </c>
      <c r="K98" t="s">
        <v>10</v>
      </c>
    </row>
    <row r="99" spans="2:11" x14ac:dyDescent="0.25">
      <c r="C99" t="s">
        <v>45</v>
      </c>
      <c r="D99" t="s">
        <v>142</v>
      </c>
      <c r="K99" t="s">
        <v>118</v>
      </c>
    </row>
    <row r="101" spans="2:11" x14ac:dyDescent="0.25">
      <c r="C101" t="s">
        <v>119</v>
      </c>
      <c r="F101" t="s">
        <v>188</v>
      </c>
      <c r="J101" t="s">
        <v>6</v>
      </c>
    </row>
    <row r="102" spans="2:11" x14ac:dyDescent="0.25">
      <c r="D102" t="s">
        <v>7</v>
      </c>
      <c r="E102" t="s">
        <v>8</v>
      </c>
      <c r="F102" t="s">
        <v>9</v>
      </c>
      <c r="G102" t="s">
        <v>10</v>
      </c>
      <c r="I102" t="s">
        <v>8</v>
      </c>
      <c r="J102" t="s">
        <v>9</v>
      </c>
      <c r="K102" t="s">
        <v>10</v>
      </c>
    </row>
    <row r="103" spans="2:11" x14ac:dyDescent="0.25">
      <c r="C103" t="s">
        <v>45</v>
      </c>
      <c r="D103" t="s">
        <v>142</v>
      </c>
      <c r="K103" t="s">
        <v>139</v>
      </c>
    </row>
    <row r="105" spans="2:11" x14ac:dyDescent="0.25">
      <c r="B105" t="s">
        <v>143</v>
      </c>
      <c r="C105" t="s">
        <v>259</v>
      </c>
    </row>
    <row r="107" spans="2:11" x14ac:dyDescent="0.25">
      <c r="C107" t="s">
        <v>4</v>
      </c>
      <c r="F107" t="s">
        <v>188</v>
      </c>
      <c r="J107" t="s">
        <v>6</v>
      </c>
    </row>
    <row r="108" spans="2:11" x14ac:dyDescent="0.25">
      <c r="D108" t="s">
        <v>7</v>
      </c>
      <c r="E108" t="s">
        <v>8</v>
      </c>
      <c r="F108" t="s">
        <v>9</v>
      </c>
      <c r="G108" t="s">
        <v>10</v>
      </c>
      <c r="I108" t="s">
        <v>8</v>
      </c>
      <c r="J108" t="s">
        <v>9</v>
      </c>
      <c r="K108" t="s">
        <v>10</v>
      </c>
    </row>
    <row r="109" spans="2:11" x14ac:dyDescent="0.25">
      <c r="C109" t="s">
        <v>45</v>
      </c>
      <c r="D109" t="s">
        <v>142</v>
      </c>
      <c r="K109" t="s">
        <v>47</v>
      </c>
    </row>
    <row r="111" spans="2:11" x14ac:dyDescent="0.25">
      <c r="C111" t="s">
        <v>48</v>
      </c>
      <c r="F111" t="s">
        <v>188</v>
      </c>
      <c r="J111" t="s">
        <v>6</v>
      </c>
    </row>
    <row r="112" spans="2:11" x14ac:dyDescent="0.25">
      <c r="D112" t="s">
        <v>7</v>
      </c>
      <c r="E112" t="s">
        <v>8</v>
      </c>
      <c r="F112" t="s">
        <v>9</v>
      </c>
      <c r="G112" t="s">
        <v>10</v>
      </c>
      <c r="I112" t="s">
        <v>8</v>
      </c>
      <c r="J112" t="s">
        <v>9</v>
      </c>
      <c r="K112" t="s">
        <v>10</v>
      </c>
    </row>
    <row r="113" spans="1:11" x14ac:dyDescent="0.25">
      <c r="C113" t="s">
        <v>45</v>
      </c>
      <c r="D113" t="s">
        <v>142</v>
      </c>
      <c r="K113" t="s">
        <v>109</v>
      </c>
    </row>
    <row r="115" spans="1:11" x14ac:dyDescent="0.25">
      <c r="C115" t="s">
        <v>110</v>
      </c>
      <c r="F115" t="s">
        <v>188</v>
      </c>
      <c r="J115" t="s">
        <v>6</v>
      </c>
    </row>
    <row r="116" spans="1:11" x14ac:dyDescent="0.25">
      <c r="D116" t="s">
        <v>7</v>
      </c>
      <c r="E116" t="s">
        <v>8</v>
      </c>
      <c r="F116" t="s">
        <v>9</v>
      </c>
      <c r="G116" t="s">
        <v>10</v>
      </c>
      <c r="I116" t="s">
        <v>8</v>
      </c>
      <c r="J116" t="s">
        <v>9</v>
      </c>
      <c r="K116" t="s">
        <v>10</v>
      </c>
    </row>
    <row r="117" spans="1:11" x14ac:dyDescent="0.25">
      <c r="C117" t="s">
        <v>45</v>
      </c>
      <c r="D117" t="s">
        <v>142</v>
      </c>
      <c r="K117" t="s">
        <v>118</v>
      </c>
    </row>
    <row r="119" spans="1:11" x14ac:dyDescent="0.25">
      <c r="C119" t="s">
        <v>119</v>
      </c>
      <c r="F119" t="s">
        <v>188</v>
      </c>
      <c r="J119" t="s">
        <v>6</v>
      </c>
    </row>
    <row r="120" spans="1:11" x14ac:dyDescent="0.25">
      <c r="D120" t="s">
        <v>7</v>
      </c>
      <c r="E120" t="s">
        <v>8</v>
      </c>
      <c r="F120" t="s">
        <v>9</v>
      </c>
      <c r="G120" t="s">
        <v>10</v>
      </c>
      <c r="I120" t="s">
        <v>8</v>
      </c>
      <c r="J120" t="s">
        <v>9</v>
      </c>
      <c r="K120" t="s">
        <v>10</v>
      </c>
    </row>
    <row r="121" spans="1:11" x14ac:dyDescent="0.25">
      <c r="C121" t="s">
        <v>180</v>
      </c>
      <c r="D121" t="s">
        <v>260</v>
      </c>
      <c r="E121">
        <v>4.6399999999999997</v>
      </c>
      <c r="F121">
        <v>6.1</v>
      </c>
      <c r="G121">
        <v>6.31</v>
      </c>
      <c r="I121" t="str">
        <f>"194/254"</f>
        <v>194/254</v>
      </c>
      <c r="J121" t="str">
        <f>"338/418"</f>
        <v>338/418</v>
      </c>
      <c r="K121" t="str">
        <f>"605/848"</f>
        <v>605/848</v>
      </c>
    </row>
    <row r="122" spans="1:11" x14ac:dyDescent="0.25">
      <c r="C122" t="s">
        <v>45</v>
      </c>
      <c r="D122" t="s">
        <v>261</v>
      </c>
      <c r="K122" t="s">
        <v>139</v>
      </c>
    </row>
    <row r="126" spans="1:11" x14ac:dyDescent="0.25">
      <c r="A126" t="s">
        <v>0</v>
      </c>
      <c r="B126" t="s">
        <v>262</v>
      </c>
    </row>
    <row r="128" spans="1:11" x14ac:dyDescent="0.25">
      <c r="B128" t="s">
        <v>2</v>
      </c>
      <c r="C128" t="s">
        <v>187</v>
      </c>
    </row>
    <row r="130" spans="3:11" x14ac:dyDescent="0.25">
      <c r="C130" t="s">
        <v>4</v>
      </c>
      <c r="F130" t="s">
        <v>188</v>
      </c>
      <c r="J130" t="s">
        <v>6</v>
      </c>
    </row>
    <row r="131" spans="3:11" x14ac:dyDescent="0.25">
      <c r="D131" t="s">
        <v>7</v>
      </c>
      <c r="E131" t="s">
        <v>8</v>
      </c>
      <c r="F131" t="s">
        <v>9</v>
      </c>
      <c r="G131" t="s">
        <v>10</v>
      </c>
      <c r="I131" t="s">
        <v>8</v>
      </c>
      <c r="J131" t="s">
        <v>9</v>
      </c>
      <c r="K131" t="s">
        <v>10</v>
      </c>
    </row>
    <row r="132" spans="3:11" x14ac:dyDescent="0.25">
      <c r="C132" t="s">
        <v>189</v>
      </c>
      <c r="D132" t="s">
        <v>263</v>
      </c>
      <c r="E132">
        <v>-0.46</v>
      </c>
      <c r="F132">
        <v>1.35</v>
      </c>
      <c r="G132">
        <v>1.52</v>
      </c>
      <c r="I132" t="str">
        <f>"21/20"</f>
        <v>21/20</v>
      </c>
      <c r="J132" t="str">
        <f>"26/30"</f>
        <v>26/30</v>
      </c>
      <c r="K132" t="str">
        <f>"40/42"</f>
        <v>40/42</v>
      </c>
    </row>
    <row r="133" spans="3:11" x14ac:dyDescent="0.25">
      <c r="C133" t="s">
        <v>190</v>
      </c>
      <c r="D133" t="s">
        <v>147</v>
      </c>
      <c r="E133">
        <v>-0.43</v>
      </c>
      <c r="F133">
        <v>0.8</v>
      </c>
      <c r="G133">
        <v>1.8</v>
      </c>
      <c r="I133" t="str">
        <f>"27/24"</f>
        <v>27/24</v>
      </c>
      <c r="J133" t="str">
        <f>"30/36"</f>
        <v>30/36</v>
      </c>
      <c r="K133" t="str">
        <f>"65/68"</f>
        <v>65/68</v>
      </c>
    </row>
    <row r="134" spans="3:11" x14ac:dyDescent="0.25">
      <c r="C134" t="s">
        <v>192</v>
      </c>
      <c r="D134" t="s">
        <v>264</v>
      </c>
      <c r="E134">
        <v>-0.4</v>
      </c>
      <c r="F134">
        <v>1.21</v>
      </c>
      <c r="G134">
        <v>0.91</v>
      </c>
      <c r="I134" t="str">
        <f>"20/19"</f>
        <v>20/19</v>
      </c>
      <c r="J134" t="str">
        <f>"26/30"</f>
        <v>26/30</v>
      </c>
      <c r="K134" t="str">
        <f>"33/33"</f>
        <v>33/33</v>
      </c>
    </row>
    <row r="135" spans="3:11" x14ac:dyDescent="0.25">
      <c r="C135" t="s">
        <v>193</v>
      </c>
      <c r="D135" t="s">
        <v>265</v>
      </c>
      <c r="E135">
        <v>-0.52</v>
      </c>
      <c r="F135">
        <v>1.38</v>
      </c>
      <c r="G135">
        <v>0.84</v>
      </c>
      <c r="I135" t="str">
        <f>"20/19"</f>
        <v>20/19</v>
      </c>
      <c r="J135" t="str">
        <f>"26/30"</f>
        <v>26/30</v>
      </c>
      <c r="K135" t="str">
        <f>"33/33"</f>
        <v>33/33</v>
      </c>
    </row>
    <row r="136" spans="3:11" x14ac:dyDescent="0.25">
      <c r="C136" t="s">
        <v>195</v>
      </c>
      <c r="D136" t="s">
        <v>266</v>
      </c>
      <c r="E136">
        <v>-0.62</v>
      </c>
      <c r="F136">
        <v>1.27</v>
      </c>
      <c r="G136">
        <v>0.6</v>
      </c>
      <c r="I136" t="str">
        <f>"20/19"</f>
        <v>20/19</v>
      </c>
      <c r="J136" t="str">
        <f>"26/30"</f>
        <v>26/30</v>
      </c>
      <c r="K136" t="str">
        <f>"34/35"</f>
        <v>34/35</v>
      </c>
    </row>
    <row r="137" spans="3:11" x14ac:dyDescent="0.25">
      <c r="C137" t="s">
        <v>196</v>
      </c>
      <c r="D137" t="s">
        <v>172</v>
      </c>
      <c r="E137">
        <v>-0.49</v>
      </c>
      <c r="F137">
        <v>1.36</v>
      </c>
      <c r="G137">
        <v>0.34</v>
      </c>
      <c r="I137" t="str">
        <f>"20/19"</f>
        <v>20/19</v>
      </c>
      <c r="J137" t="str">
        <f>"26/30"</f>
        <v>26/30</v>
      </c>
      <c r="K137" t="str">
        <f>"34/35"</f>
        <v>34/35</v>
      </c>
    </row>
    <row r="138" spans="3:11" x14ac:dyDescent="0.25">
      <c r="C138" t="s">
        <v>197</v>
      </c>
      <c r="D138" t="s">
        <v>267</v>
      </c>
      <c r="E138">
        <v>-0.46</v>
      </c>
      <c r="F138">
        <v>0.87</v>
      </c>
      <c r="G138">
        <v>0.56999999999999995</v>
      </c>
      <c r="I138" t="str">
        <f>"20/19"</f>
        <v>20/19</v>
      </c>
      <c r="J138" t="str">
        <f>"26/30"</f>
        <v>26/30</v>
      </c>
      <c r="K138" t="str">
        <f>"34/35"</f>
        <v>34/35</v>
      </c>
    </row>
    <row r="139" spans="3:11" x14ac:dyDescent="0.25">
      <c r="C139" t="s">
        <v>45</v>
      </c>
      <c r="D139" t="s">
        <v>268</v>
      </c>
      <c r="K139" t="s">
        <v>154</v>
      </c>
    </row>
    <row r="141" spans="3:11" x14ac:dyDescent="0.25">
      <c r="C141" t="s">
        <v>48</v>
      </c>
      <c r="F141" t="s">
        <v>188</v>
      </c>
      <c r="J141" t="s">
        <v>6</v>
      </c>
    </row>
    <row r="142" spans="3:11" x14ac:dyDescent="0.25">
      <c r="D142" t="s">
        <v>7</v>
      </c>
      <c r="E142" t="s">
        <v>8</v>
      </c>
      <c r="F142" t="s">
        <v>9</v>
      </c>
      <c r="G142" t="s">
        <v>10</v>
      </c>
      <c r="I142" t="s">
        <v>8</v>
      </c>
      <c r="J142" t="s">
        <v>9</v>
      </c>
      <c r="K142" t="s">
        <v>10</v>
      </c>
    </row>
    <row r="143" spans="3:11" x14ac:dyDescent="0.25">
      <c r="C143" t="s">
        <v>189</v>
      </c>
      <c r="D143" t="s">
        <v>173</v>
      </c>
      <c r="E143">
        <v>-0.4</v>
      </c>
      <c r="F143">
        <v>1.53</v>
      </c>
      <c r="G143">
        <v>1.36</v>
      </c>
      <c r="I143" t="str">
        <f>"21/20"</f>
        <v>21/20</v>
      </c>
      <c r="J143" t="str">
        <f>"26/30"</f>
        <v>26/30</v>
      </c>
      <c r="K143" t="str">
        <f>"47/48"</f>
        <v>47/48</v>
      </c>
    </row>
    <row r="144" spans="3:11" x14ac:dyDescent="0.25">
      <c r="C144" t="s">
        <v>190</v>
      </c>
      <c r="D144" t="s">
        <v>163</v>
      </c>
      <c r="E144">
        <v>-0.2</v>
      </c>
      <c r="F144">
        <v>1.71</v>
      </c>
      <c r="G144">
        <v>0.78</v>
      </c>
      <c r="I144" t="str">
        <f>"20/16"</f>
        <v>20/16</v>
      </c>
      <c r="J144" t="str">
        <f>"12/17"</f>
        <v>12/17</v>
      </c>
      <c r="K144" t="str">
        <f>"39/119"</f>
        <v>39/119</v>
      </c>
    </row>
    <row r="145" spans="3:11" x14ac:dyDescent="0.25">
      <c r="C145" t="s">
        <v>192</v>
      </c>
      <c r="D145" t="s">
        <v>269</v>
      </c>
      <c r="E145">
        <v>-0.57999999999999996</v>
      </c>
      <c r="F145">
        <v>1.71</v>
      </c>
      <c r="G145">
        <v>0.27</v>
      </c>
      <c r="I145" t="str">
        <f>"97/100"</f>
        <v>97/100</v>
      </c>
      <c r="J145" t="str">
        <f>"83/166"</f>
        <v>83/166</v>
      </c>
      <c r="K145" t="str">
        <f>"81/92"</f>
        <v>81/92</v>
      </c>
    </row>
    <row r="146" spans="3:11" x14ac:dyDescent="0.25">
      <c r="C146" t="s">
        <v>45</v>
      </c>
      <c r="D146" t="s">
        <v>270</v>
      </c>
      <c r="K146" t="s">
        <v>160</v>
      </c>
    </row>
    <row r="148" spans="3:11" x14ac:dyDescent="0.25">
      <c r="C148" t="s">
        <v>110</v>
      </c>
      <c r="F148" t="s">
        <v>188</v>
      </c>
      <c r="J148" t="s">
        <v>6</v>
      </c>
    </row>
    <row r="149" spans="3:11" x14ac:dyDescent="0.25">
      <c r="D149" t="s">
        <v>7</v>
      </c>
      <c r="E149" t="s">
        <v>8</v>
      </c>
      <c r="F149" t="s">
        <v>9</v>
      </c>
      <c r="G149" t="s">
        <v>10</v>
      </c>
      <c r="I149" t="s">
        <v>8</v>
      </c>
      <c r="J149" t="s">
        <v>9</v>
      </c>
      <c r="K149" t="s">
        <v>10</v>
      </c>
    </row>
    <row r="150" spans="3:11" x14ac:dyDescent="0.25">
      <c r="C150" t="s">
        <v>189</v>
      </c>
      <c r="D150" t="s">
        <v>271</v>
      </c>
      <c r="E150">
        <v>-0.86</v>
      </c>
      <c r="F150">
        <v>1.18</v>
      </c>
      <c r="G150">
        <v>5</v>
      </c>
      <c r="I150" t="str">
        <f>"62/83"</f>
        <v>62/83</v>
      </c>
      <c r="J150" t="str">
        <f>"36/71"</f>
        <v>36/71</v>
      </c>
      <c r="K150" t="str">
        <f>"96/230"</f>
        <v>96/230</v>
      </c>
    </row>
    <row r="151" spans="3:11" x14ac:dyDescent="0.25">
      <c r="C151" t="s">
        <v>190</v>
      </c>
      <c r="D151" t="s">
        <v>133</v>
      </c>
      <c r="E151">
        <v>0.94</v>
      </c>
      <c r="F151">
        <v>-1.3</v>
      </c>
      <c r="G151">
        <v>4.91</v>
      </c>
      <c r="I151" t="str">
        <f>"145/307"</f>
        <v>145/307</v>
      </c>
      <c r="J151" t="str">
        <f>"96/166"</f>
        <v>96/166</v>
      </c>
      <c r="K151" t="str">
        <f>"149/387"</f>
        <v>149/387</v>
      </c>
    </row>
    <row r="152" spans="3:11" x14ac:dyDescent="0.25">
      <c r="C152" t="s">
        <v>192</v>
      </c>
      <c r="D152" t="s">
        <v>128</v>
      </c>
      <c r="E152">
        <v>-0.63</v>
      </c>
      <c r="F152">
        <v>-1.36</v>
      </c>
      <c r="G152">
        <v>4.97</v>
      </c>
      <c r="I152" t="str">
        <f>"222/356"</f>
        <v>222/356</v>
      </c>
      <c r="J152" t="str">
        <f>"166/293"</f>
        <v>166/293</v>
      </c>
      <c r="K152" t="str">
        <f>"254/659"</f>
        <v>254/659</v>
      </c>
    </row>
    <row r="153" spans="3:11" x14ac:dyDescent="0.25">
      <c r="C153" t="s">
        <v>193</v>
      </c>
      <c r="D153" t="s">
        <v>272</v>
      </c>
      <c r="E153">
        <v>-0.7</v>
      </c>
      <c r="F153">
        <v>0.5</v>
      </c>
      <c r="G153">
        <v>3.01</v>
      </c>
      <c r="I153" t="str">
        <f>"20/21"</f>
        <v>20/21</v>
      </c>
      <c r="J153" t="str">
        <f>"32/41"</f>
        <v>32/41</v>
      </c>
      <c r="K153" t="str">
        <f>"57/110"</f>
        <v>57/110</v>
      </c>
    </row>
    <row r="154" spans="3:11" x14ac:dyDescent="0.25">
      <c r="C154" t="s">
        <v>195</v>
      </c>
      <c r="D154" t="s">
        <v>273</v>
      </c>
      <c r="E154">
        <v>-0.54</v>
      </c>
      <c r="F154">
        <v>-1.35</v>
      </c>
      <c r="G154">
        <v>4.6900000000000004</v>
      </c>
      <c r="I154" t="str">
        <f>"113/174"</f>
        <v>113/174</v>
      </c>
      <c r="J154" t="str">
        <f>"88/141"</f>
        <v>88/141</v>
      </c>
      <c r="K154" t="str">
        <f>"128/339"</f>
        <v>128/339</v>
      </c>
    </row>
    <row r="155" spans="3:11" x14ac:dyDescent="0.25">
      <c r="C155" t="s">
        <v>196</v>
      </c>
      <c r="D155" t="s">
        <v>274</v>
      </c>
      <c r="E155">
        <v>-0.37</v>
      </c>
      <c r="F155">
        <v>0.72</v>
      </c>
      <c r="G155">
        <v>2.17</v>
      </c>
      <c r="I155" t="str">
        <f>"21/20"</f>
        <v>21/20</v>
      </c>
      <c r="J155" t="str">
        <f>"27/31"</f>
        <v>27/31</v>
      </c>
      <c r="K155" t="str">
        <f>"47/48"</f>
        <v>47/48</v>
      </c>
    </row>
    <row r="156" spans="3:11" x14ac:dyDescent="0.25">
      <c r="C156" t="s">
        <v>197</v>
      </c>
      <c r="D156" t="s">
        <v>275</v>
      </c>
      <c r="E156">
        <v>-0.7</v>
      </c>
      <c r="F156">
        <v>-1.48</v>
      </c>
      <c r="G156">
        <v>4.7</v>
      </c>
      <c r="I156" t="str">
        <f>"103/162"</f>
        <v>103/162</v>
      </c>
      <c r="J156" t="str">
        <f>"85/138"</f>
        <v>85/138</v>
      </c>
      <c r="K156" t="str">
        <f>"123/327"</f>
        <v>123/327</v>
      </c>
    </row>
    <row r="157" spans="3:11" x14ac:dyDescent="0.25">
      <c r="C157" t="s">
        <v>199</v>
      </c>
      <c r="D157" t="s">
        <v>276</v>
      </c>
      <c r="E157">
        <v>-0.6</v>
      </c>
      <c r="F157">
        <v>-1.88</v>
      </c>
      <c r="G157">
        <v>4.75</v>
      </c>
      <c r="I157" t="str">
        <f>"112/173"</f>
        <v>112/173</v>
      </c>
      <c r="J157" t="str">
        <f>"87/140"</f>
        <v>87/140</v>
      </c>
      <c r="K157" t="str">
        <f>"128/339"</f>
        <v>128/339</v>
      </c>
    </row>
    <row r="158" spans="3:11" x14ac:dyDescent="0.25">
      <c r="C158" t="s">
        <v>200</v>
      </c>
      <c r="D158" t="s">
        <v>277</v>
      </c>
      <c r="E158">
        <v>-0.4</v>
      </c>
      <c r="F158">
        <v>0.38</v>
      </c>
      <c r="G158">
        <v>1.95</v>
      </c>
      <c r="I158" t="str">
        <f>"24/22"</f>
        <v>24/22</v>
      </c>
      <c r="J158" t="str">
        <f>"29/35"</f>
        <v>29/35</v>
      </c>
      <c r="K158" t="str">
        <f>"51/55"</f>
        <v>51/55</v>
      </c>
    </row>
    <row r="159" spans="3:11" x14ac:dyDescent="0.25">
      <c r="C159" t="s">
        <v>201</v>
      </c>
      <c r="D159" t="s">
        <v>278</v>
      </c>
      <c r="E159">
        <v>-0.9</v>
      </c>
      <c r="F159">
        <v>0.53</v>
      </c>
      <c r="G159">
        <v>1.95</v>
      </c>
      <c r="I159" t="str">
        <f>"23/29"</f>
        <v>23/29</v>
      </c>
      <c r="J159" t="str">
        <f>"31/39"</f>
        <v>31/39</v>
      </c>
      <c r="K159" t="str">
        <f>"46/93"</f>
        <v>46/93</v>
      </c>
    </row>
    <row r="160" spans="3:11" x14ac:dyDescent="0.25">
      <c r="C160" t="s">
        <v>45</v>
      </c>
      <c r="D160" t="s">
        <v>279</v>
      </c>
      <c r="K160" t="s">
        <v>167</v>
      </c>
    </row>
    <row r="162" spans="2:11" x14ac:dyDescent="0.25">
      <c r="C162" t="s">
        <v>119</v>
      </c>
      <c r="F162" t="s">
        <v>188</v>
      </c>
      <c r="J162" t="s">
        <v>6</v>
      </c>
    </row>
    <row r="163" spans="2:11" x14ac:dyDescent="0.25">
      <c r="D163" t="s">
        <v>7</v>
      </c>
      <c r="E163" t="s">
        <v>8</v>
      </c>
      <c r="F163" t="s">
        <v>9</v>
      </c>
      <c r="G163" t="s">
        <v>10</v>
      </c>
      <c r="I163" t="s">
        <v>8</v>
      </c>
      <c r="J163" t="s">
        <v>9</v>
      </c>
      <c r="K163" t="s">
        <v>10</v>
      </c>
    </row>
    <row r="164" spans="2:11" x14ac:dyDescent="0.25">
      <c r="C164" t="s">
        <v>189</v>
      </c>
      <c r="D164" t="s">
        <v>280</v>
      </c>
      <c r="E164">
        <v>2.74</v>
      </c>
      <c r="F164">
        <v>1.01</v>
      </c>
      <c r="G164">
        <v>1.83</v>
      </c>
      <c r="I164" t="str">
        <f>"51/88"</f>
        <v>51/88</v>
      </c>
      <c r="J164" t="str">
        <f>"21/31"</f>
        <v>21/31</v>
      </c>
      <c r="K164" t="str">
        <f>"42/70"</f>
        <v>42/70</v>
      </c>
    </row>
    <row r="165" spans="2:11" x14ac:dyDescent="0.25">
      <c r="C165" t="s">
        <v>190</v>
      </c>
      <c r="D165" t="s">
        <v>281</v>
      </c>
      <c r="E165">
        <v>2.57</v>
      </c>
      <c r="F165">
        <v>0.98</v>
      </c>
      <c r="G165">
        <v>1.92</v>
      </c>
      <c r="I165" t="str">
        <f>"50/87"</f>
        <v>50/87</v>
      </c>
      <c r="J165" t="str">
        <f>"21/31"</f>
        <v>21/31</v>
      </c>
      <c r="K165" t="str">
        <f>"39/65"</f>
        <v>39/65</v>
      </c>
    </row>
    <row r="166" spans="2:11" x14ac:dyDescent="0.25">
      <c r="C166" t="s">
        <v>192</v>
      </c>
      <c r="D166" t="s">
        <v>152</v>
      </c>
      <c r="E166">
        <v>2.56</v>
      </c>
      <c r="F166">
        <v>-0.74</v>
      </c>
      <c r="G166">
        <v>1.19</v>
      </c>
      <c r="I166" t="str">
        <f>"29/30"</f>
        <v>29/30</v>
      </c>
      <c r="J166" t="str">
        <f>"11/17"</f>
        <v>11/17</v>
      </c>
      <c r="K166" t="str">
        <f>"34/43"</f>
        <v>34/43</v>
      </c>
    </row>
    <row r="167" spans="2:11" x14ac:dyDescent="0.25">
      <c r="C167" t="s">
        <v>193</v>
      </c>
      <c r="D167" t="s">
        <v>151</v>
      </c>
      <c r="E167">
        <v>2.96</v>
      </c>
      <c r="F167">
        <v>-0.74</v>
      </c>
      <c r="G167">
        <v>0.71</v>
      </c>
      <c r="I167" t="str">
        <f>"29/30"</f>
        <v>29/30</v>
      </c>
      <c r="J167" t="str">
        <f>"11/17"</f>
        <v>11/17</v>
      </c>
      <c r="K167" t="str">
        <f>"34/43"</f>
        <v>34/43</v>
      </c>
    </row>
    <row r="168" spans="2:11" x14ac:dyDescent="0.25">
      <c r="C168" t="s">
        <v>195</v>
      </c>
      <c r="D168" t="s">
        <v>282</v>
      </c>
      <c r="E168">
        <v>3.09</v>
      </c>
      <c r="F168">
        <v>-0.37</v>
      </c>
      <c r="G168">
        <v>-1.08</v>
      </c>
      <c r="I168" t="str">
        <f>"287/553"</f>
        <v>287/553</v>
      </c>
      <c r="J168" t="str">
        <f>"174/179"</f>
        <v>174/179</v>
      </c>
      <c r="K168" t="str">
        <f>"271/462"</f>
        <v>271/462</v>
      </c>
    </row>
    <row r="169" spans="2:11" x14ac:dyDescent="0.25">
      <c r="C169" t="s">
        <v>45</v>
      </c>
      <c r="D169" t="s">
        <v>283</v>
      </c>
      <c r="K169" t="s">
        <v>179</v>
      </c>
    </row>
    <row r="171" spans="2:11" x14ac:dyDescent="0.25">
      <c r="B171" t="s">
        <v>140</v>
      </c>
      <c r="C171" t="s">
        <v>255</v>
      </c>
    </row>
    <row r="173" spans="2:11" x14ac:dyDescent="0.25">
      <c r="C173" t="s">
        <v>4</v>
      </c>
      <c r="F173" t="s">
        <v>188</v>
      </c>
      <c r="J173" t="s">
        <v>6</v>
      </c>
    </row>
    <row r="174" spans="2:11" x14ac:dyDescent="0.25">
      <c r="D174" t="s">
        <v>7</v>
      </c>
      <c r="E174" t="s">
        <v>8</v>
      </c>
      <c r="F174" t="s">
        <v>9</v>
      </c>
      <c r="G174" t="s">
        <v>10</v>
      </c>
      <c r="I174" t="s">
        <v>8</v>
      </c>
      <c r="J174" t="s">
        <v>9</v>
      </c>
      <c r="K174" t="s">
        <v>10</v>
      </c>
    </row>
    <row r="175" spans="2:11" x14ac:dyDescent="0.25">
      <c r="C175" t="s">
        <v>45</v>
      </c>
      <c r="D175" t="s">
        <v>142</v>
      </c>
      <c r="K175" t="s">
        <v>154</v>
      </c>
    </row>
    <row r="177" spans="2:11" x14ac:dyDescent="0.25">
      <c r="C177" t="s">
        <v>48</v>
      </c>
      <c r="F177" t="s">
        <v>188</v>
      </c>
      <c r="J177" t="s">
        <v>6</v>
      </c>
    </row>
    <row r="178" spans="2:11" x14ac:dyDescent="0.25">
      <c r="D178" t="s">
        <v>7</v>
      </c>
      <c r="E178" t="s">
        <v>8</v>
      </c>
      <c r="F178" t="s">
        <v>9</v>
      </c>
      <c r="G178" t="s">
        <v>10</v>
      </c>
      <c r="I178" t="s">
        <v>8</v>
      </c>
      <c r="J178" t="s">
        <v>9</v>
      </c>
      <c r="K178" t="s">
        <v>10</v>
      </c>
    </row>
    <row r="179" spans="2:11" x14ac:dyDescent="0.25">
      <c r="C179" t="s">
        <v>45</v>
      </c>
      <c r="D179" t="s">
        <v>142</v>
      </c>
      <c r="K179" t="s">
        <v>160</v>
      </c>
    </row>
    <row r="181" spans="2:11" x14ac:dyDescent="0.25">
      <c r="C181" t="s">
        <v>110</v>
      </c>
      <c r="F181" t="s">
        <v>188</v>
      </c>
      <c r="J181" t="s">
        <v>6</v>
      </c>
    </row>
    <row r="182" spans="2:11" x14ac:dyDescent="0.25">
      <c r="D182" t="s">
        <v>7</v>
      </c>
      <c r="E182" t="s">
        <v>8</v>
      </c>
      <c r="F182" t="s">
        <v>9</v>
      </c>
      <c r="G182" t="s">
        <v>10</v>
      </c>
      <c r="I182" t="s">
        <v>8</v>
      </c>
      <c r="J182" t="s">
        <v>9</v>
      </c>
      <c r="K182" t="s">
        <v>10</v>
      </c>
    </row>
    <row r="183" spans="2:11" x14ac:dyDescent="0.25">
      <c r="C183" t="s">
        <v>45</v>
      </c>
      <c r="D183" t="s">
        <v>142</v>
      </c>
      <c r="K183" t="s">
        <v>167</v>
      </c>
    </row>
    <row r="185" spans="2:11" x14ac:dyDescent="0.25">
      <c r="C185" t="s">
        <v>119</v>
      </c>
      <c r="F185" t="s">
        <v>188</v>
      </c>
      <c r="J185" t="s">
        <v>6</v>
      </c>
    </row>
    <row r="186" spans="2:11" x14ac:dyDescent="0.25">
      <c r="D186" t="s">
        <v>7</v>
      </c>
      <c r="E186" t="s">
        <v>8</v>
      </c>
      <c r="F186" t="s">
        <v>9</v>
      </c>
      <c r="G186" t="s">
        <v>10</v>
      </c>
      <c r="I186" t="s">
        <v>8</v>
      </c>
      <c r="J186" t="s">
        <v>9</v>
      </c>
      <c r="K186" t="s">
        <v>10</v>
      </c>
    </row>
    <row r="187" spans="2:11" x14ac:dyDescent="0.25">
      <c r="C187" t="s">
        <v>45</v>
      </c>
      <c r="D187" t="s">
        <v>142</v>
      </c>
      <c r="K187" t="s">
        <v>179</v>
      </c>
    </row>
    <row r="189" spans="2:11" x14ac:dyDescent="0.25">
      <c r="B189" t="s">
        <v>143</v>
      </c>
      <c r="C189" t="s">
        <v>259</v>
      </c>
    </row>
    <row r="191" spans="2:11" x14ac:dyDescent="0.25">
      <c r="C191" t="s">
        <v>4</v>
      </c>
      <c r="F191" t="s">
        <v>188</v>
      </c>
      <c r="J191" t="s">
        <v>6</v>
      </c>
    </row>
    <row r="192" spans="2:11" x14ac:dyDescent="0.25">
      <c r="D192" t="s">
        <v>7</v>
      </c>
      <c r="E192" t="s">
        <v>8</v>
      </c>
      <c r="F192" t="s">
        <v>9</v>
      </c>
      <c r="G192" t="s">
        <v>10</v>
      </c>
      <c r="I192" t="s">
        <v>8</v>
      </c>
      <c r="J192" t="s">
        <v>9</v>
      </c>
      <c r="K192" t="s">
        <v>10</v>
      </c>
    </row>
    <row r="193" spans="3:11" x14ac:dyDescent="0.25">
      <c r="C193" t="s">
        <v>45</v>
      </c>
      <c r="D193" t="s">
        <v>142</v>
      </c>
      <c r="K193" t="s">
        <v>154</v>
      </c>
    </row>
    <row r="195" spans="3:11" x14ac:dyDescent="0.25">
      <c r="C195" t="s">
        <v>48</v>
      </c>
      <c r="F195" t="s">
        <v>188</v>
      </c>
      <c r="J195" t="s">
        <v>6</v>
      </c>
    </row>
    <row r="196" spans="3:11" x14ac:dyDescent="0.25">
      <c r="D196" t="s">
        <v>7</v>
      </c>
      <c r="E196" t="s">
        <v>8</v>
      </c>
      <c r="F196" t="s">
        <v>9</v>
      </c>
      <c r="G196" t="s">
        <v>10</v>
      </c>
      <c r="I196" t="s">
        <v>8</v>
      </c>
      <c r="J196" t="s">
        <v>9</v>
      </c>
      <c r="K196" t="s">
        <v>10</v>
      </c>
    </row>
    <row r="197" spans="3:11" x14ac:dyDescent="0.25">
      <c r="C197" t="s">
        <v>45</v>
      </c>
      <c r="D197" t="s">
        <v>142</v>
      </c>
      <c r="K197" t="s">
        <v>160</v>
      </c>
    </row>
    <row r="199" spans="3:11" x14ac:dyDescent="0.25">
      <c r="C199" t="s">
        <v>110</v>
      </c>
      <c r="F199" t="s">
        <v>188</v>
      </c>
      <c r="J199" t="s">
        <v>6</v>
      </c>
    </row>
    <row r="200" spans="3:11" x14ac:dyDescent="0.25">
      <c r="D200" t="s">
        <v>7</v>
      </c>
      <c r="E200" t="s">
        <v>8</v>
      </c>
      <c r="F200" t="s">
        <v>9</v>
      </c>
      <c r="G200" t="s">
        <v>10</v>
      </c>
      <c r="I200" t="s">
        <v>8</v>
      </c>
      <c r="J200" t="s">
        <v>9</v>
      </c>
      <c r="K200" t="s">
        <v>10</v>
      </c>
    </row>
    <row r="201" spans="3:11" x14ac:dyDescent="0.25">
      <c r="C201" t="s">
        <v>45</v>
      </c>
      <c r="D201" t="s">
        <v>142</v>
      </c>
      <c r="K201" t="s">
        <v>167</v>
      </c>
    </row>
    <row r="203" spans="3:11" x14ac:dyDescent="0.25">
      <c r="C203" t="s">
        <v>119</v>
      </c>
      <c r="F203" t="s">
        <v>188</v>
      </c>
      <c r="J203" t="s">
        <v>6</v>
      </c>
    </row>
    <row r="204" spans="3:11" x14ac:dyDescent="0.25">
      <c r="D204" t="s">
        <v>7</v>
      </c>
      <c r="E204" t="s">
        <v>8</v>
      </c>
      <c r="F204" t="s">
        <v>9</v>
      </c>
      <c r="G204" t="s">
        <v>10</v>
      </c>
      <c r="I204" t="s">
        <v>8</v>
      </c>
      <c r="J204" t="s">
        <v>9</v>
      </c>
      <c r="K204" t="s">
        <v>10</v>
      </c>
    </row>
    <row r="205" spans="3:11" x14ac:dyDescent="0.25">
      <c r="C205" t="s">
        <v>45</v>
      </c>
      <c r="D205" t="s">
        <v>142</v>
      </c>
      <c r="K205" t="s">
        <v>179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00"/>
  <sheetViews>
    <sheetView workbookViewId="0">
      <selection activeCell="C13" sqref="C13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82.7109375" bestFit="1" customWidth="1"/>
    <col min="5" max="5" width="5.7109375" bestFit="1" customWidth="1"/>
    <col min="6" max="6" width="9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284</v>
      </c>
    </row>
    <row r="3" spans="1:11" x14ac:dyDescent="0.25">
      <c r="B3" t="s">
        <v>2</v>
      </c>
      <c r="C3" t="s">
        <v>285</v>
      </c>
    </row>
    <row r="5" spans="1:11" x14ac:dyDescent="0.25">
      <c r="C5" t="s">
        <v>4</v>
      </c>
      <c r="F5" t="s">
        <v>286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287</v>
      </c>
      <c r="D7" t="s">
        <v>191</v>
      </c>
      <c r="E7">
        <v>6.98</v>
      </c>
      <c r="F7">
        <v>7.02</v>
      </c>
      <c r="G7">
        <v>7.02</v>
      </c>
      <c r="I7" t="str">
        <f>"623/3350"</f>
        <v>623/3350</v>
      </c>
      <c r="J7" t="str">
        <f>"512/1514"</f>
        <v>512/1514</v>
      </c>
      <c r="K7" t="str">
        <f>"995/5511"</f>
        <v>995/5511</v>
      </c>
    </row>
    <row r="8" spans="1:11" x14ac:dyDescent="0.25">
      <c r="C8" t="s">
        <v>288</v>
      </c>
      <c r="D8" t="s">
        <v>67</v>
      </c>
      <c r="E8">
        <v>6.93</v>
      </c>
      <c r="F8">
        <v>6.99</v>
      </c>
      <c r="G8">
        <v>7</v>
      </c>
      <c r="I8" t="str">
        <f>"553/2938"</f>
        <v>553/2938</v>
      </c>
      <c r="J8" t="str">
        <f>"443/1252"</f>
        <v>443/1252</v>
      </c>
      <c r="K8" t="str">
        <f>"879/4762"</f>
        <v>879/4762</v>
      </c>
    </row>
    <row r="9" spans="1:11" x14ac:dyDescent="0.25">
      <c r="C9" t="s">
        <v>289</v>
      </c>
      <c r="D9" t="s">
        <v>99</v>
      </c>
      <c r="E9">
        <v>6.94</v>
      </c>
      <c r="F9">
        <v>6.92</v>
      </c>
      <c r="G9">
        <v>7.01</v>
      </c>
      <c r="I9" t="str">
        <f>"417/2430"</f>
        <v>417/2430</v>
      </c>
      <c r="J9" t="str">
        <f>"282/708"</f>
        <v>282/708</v>
      </c>
      <c r="K9" t="str">
        <f>"596/3006"</f>
        <v>596/3006</v>
      </c>
    </row>
    <row r="10" spans="1:11" x14ac:dyDescent="0.25">
      <c r="C10" t="s">
        <v>290</v>
      </c>
      <c r="D10" t="s">
        <v>79</v>
      </c>
      <c r="E10">
        <v>6.95</v>
      </c>
      <c r="F10">
        <v>6.89</v>
      </c>
      <c r="G10">
        <v>6.98</v>
      </c>
      <c r="I10" t="str">
        <f>"405/2328"</f>
        <v>405/2328</v>
      </c>
      <c r="J10" t="str">
        <f>"275/633"</f>
        <v>275/633</v>
      </c>
      <c r="K10" t="str">
        <f>"564/2712"</f>
        <v>564/2712</v>
      </c>
    </row>
    <row r="11" spans="1:11" x14ac:dyDescent="0.25">
      <c r="C11" t="s">
        <v>291</v>
      </c>
      <c r="D11" t="s">
        <v>206</v>
      </c>
      <c r="E11">
        <v>6.86</v>
      </c>
      <c r="F11">
        <v>6.91</v>
      </c>
      <c r="G11">
        <v>7.03</v>
      </c>
      <c r="I11" t="str">
        <f>"414/2420"</f>
        <v>414/2420</v>
      </c>
      <c r="J11" t="str">
        <f>"282/708"</f>
        <v>282/708</v>
      </c>
      <c r="K11" t="str">
        <f>"591/2975"</f>
        <v>591/2975</v>
      </c>
    </row>
    <row r="12" spans="1:11" x14ac:dyDescent="0.25">
      <c r="C12" t="s">
        <v>292</v>
      </c>
      <c r="D12" t="s">
        <v>75</v>
      </c>
      <c r="E12">
        <v>6.9</v>
      </c>
      <c r="F12">
        <v>6.87</v>
      </c>
      <c r="G12">
        <v>7.01</v>
      </c>
      <c r="I12" t="str">
        <f>"405/2328"</f>
        <v>405/2328</v>
      </c>
      <c r="J12" t="str">
        <f>"275/633"</f>
        <v>275/633</v>
      </c>
      <c r="K12" t="str">
        <f>"564/2712"</f>
        <v>564/2712</v>
      </c>
    </row>
    <row r="13" spans="1:11" x14ac:dyDescent="0.25">
      <c r="C13" t="s">
        <v>293</v>
      </c>
      <c r="D13" t="s">
        <v>55</v>
      </c>
      <c r="E13">
        <v>6.89</v>
      </c>
      <c r="F13">
        <v>6.84</v>
      </c>
      <c r="G13">
        <v>6.98</v>
      </c>
      <c r="I13" t="str">
        <f>"308/1908"</f>
        <v>308/1908</v>
      </c>
      <c r="J13" t="str">
        <f>"185/377"</f>
        <v>185/377</v>
      </c>
      <c r="K13" t="str">
        <f>"419/2060"</f>
        <v>419/2060</v>
      </c>
    </row>
    <row r="14" spans="1:11" x14ac:dyDescent="0.25">
      <c r="C14" t="s">
        <v>294</v>
      </c>
      <c r="D14" t="s">
        <v>26</v>
      </c>
      <c r="E14">
        <v>7</v>
      </c>
      <c r="F14">
        <v>6.9</v>
      </c>
      <c r="G14">
        <v>6.8</v>
      </c>
      <c r="I14" t="str">
        <f>"452/1721"</f>
        <v>452/1721</v>
      </c>
      <c r="J14" t="str">
        <f>"430/1832"</f>
        <v>430/1832</v>
      </c>
      <c r="K14" t="str">
        <f>"839/3131"</f>
        <v>839/3131</v>
      </c>
    </row>
    <row r="15" spans="1:11" x14ac:dyDescent="0.25">
      <c r="C15" t="s">
        <v>295</v>
      </c>
      <c r="D15" t="s">
        <v>52</v>
      </c>
      <c r="E15">
        <v>6.94</v>
      </c>
      <c r="F15">
        <v>6.81</v>
      </c>
      <c r="G15">
        <v>6.95</v>
      </c>
      <c r="I15" t="str">
        <f>"294/1861"</f>
        <v>294/1861</v>
      </c>
      <c r="J15" t="str">
        <f>"180/367"</f>
        <v>180/367</v>
      </c>
      <c r="K15" t="str">
        <f>"389/1949"</f>
        <v>389/1949</v>
      </c>
    </row>
    <row r="16" spans="1:11" x14ac:dyDescent="0.25">
      <c r="C16" t="s">
        <v>296</v>
      </c>
      <c r="D16" t="s">
        <v>57</v>
      </c>
      <c r="E16">
        <v>6.88</v>
      </c>
      <c r="F16">
        <v>6.83</v>
      </c>
      <c r="G16">
        <v>6.97</v>
      </c>
      <c r="I16" t="str">
        <f>"294/1861"</f>
        <v>294/1861</v>
      </c>
      <c r="J16" t="str">
        <f>"180/367"</f>
        <v>180/367</v>
      </c>
      <c r="K16" t="str">
        <f>"388/1938"</f>
        <v>388/1938</v>
      </c>
    </row>
    <row r="17" spans="3:11" x14ac:dyDescent="0.25">
      <c r="C17" t="s">
        <v>297</v>
      </c>
      <c r="D17" t="s">
        <v>18</v>
      </c>
      <c r="E17">
        <v>6.98</v>
      </c>
      <c r="F17">
        <v>6.68</v>
      </c>
      <c r="G17">
        <v>6.95</v>
      </c>
      <c r="I17" t="str">
        <f>"346/3422"</f>
        <v>346/3422</v>
      </c>
      <c r="J17" t="str">
        <f>"269/899"</f>
        <v>269/899</v>
      </c>
      <c r="K17" t="str">
        <f>"593/3055"</f>
        <v>593/3055</v>
      </c>
    </row>
    <row r="18" spans="3:11" x14ac:dyDescent="0.25">
      <c r="C18" t="s">
        <v>298</v>
      </c>
      <c r="D18" t="s">
        <v>24</v>
      </c>
      <c r="E18">
        <v>6.98</v>
      </c>
      <c r="F18">
        <v>6.68</v>
      </c>
      <c r="G18">
        <v>6.93</v>
      </c>
      <c r="I18" t="str">
        <f>"346/3422"</f>
        <v>346/3422</v>
      </c>
      <c r="J18" t="str">
        <f>"267/896"</f>
        <v>267/896</v>
      </c>
      <c r="K18" t="str">
        <f>"591/3051"</f>
        <v>591/3051</v>
      </c>
    </row>
    <row r="19" spans="3:11" x14ac:dyDescent="0.25">
      <c r="C19" t="s">
        <v>299</v>
      </c>
      <c r="D19" t="s">
        <v>51</v>
      </c>
      <c r="E19">
        <v>6.86</v>
      </c>
      <c r="F19">
        <v>6.75</v>
      </c>
      <c r="G19">
        <v>6.98</v>
      </c>
      <c r="I19" t="str">
        <f>"297/1870"</f>
        <v>297/1870</v>
      </c>
      <c r="J19" t="str">
        <f>"181/369"</f>
        <v>181/369</v>
      </c>
      <c r="K19" t="str">
        <f>"392/1961"</f>
        <v>392/1961</v>
      </c>
    </row>
    <row r="20" spans="3:11" x14ac:dyDescent="0.25">
      <c r="C20" t="s">
        <v>300</v>
      </c>
      <c r="D20" t="s">
        <v>49</v>
      </c>
      <c r="E20">
        <v>6.83</v>
      </c>
      <c r="F20">
        <v>6.75</v>
      </c>
      <c r="G20">
        <v>6.99</v>
      </c>
      <c r="I20" t="str">
        <f>"296/1866"</f>
        <v>296/1866</v>
      </c>
      <c r="J20" t="str">
        <f>"180/367"</f>
        <v>180/367</v>
      </c>
      <c r="K20" t="str">
        <f>"392/1951"</f>
        <v>392/1951</v>
      </c>
    </row>
    <row r="21" spans="3:11" x14ac:dyDescent="0.25">
      <c r="C21" t="s">
        <v>301</v>
      </c>
      <c r="D21" t="s">
        <v>56</v>
      </c>
      <c r="E21">
        <v>6.84</v>
      </c>
      <c r="F21">
        <v>6.7</v>
      </c>
      <c r="G21">
        <v>7.02</v>
      </c>
      <c r="I21" t="str">
        <f>"301/1880"</f>
        <v>301/1880</v>
      </c>
      <c r="J21" t="str">
        <f>"182/369"</f>
        <v>182/369</v>
      </c>
      <c r="K21" t="str">
        <f>"402/1980"</f>
        <v>402/1980</v>
      </c>
    </row>
    <row r="22" spans="3:11" x14ac:dyDescent="0.25">
      <c r="C22" t="s">
        <v>302</v>
      </c>
      <c r="D22" t="s">
        <v>53</v>
      </c>
      <c r="E22">
        <v>6.85</v>
      </c>
      <c r="F22">
        <v>6.71</v>
      </c>
      <c r="G22">
        <v>7</v>
      </c>
      <c r="I22" t="str">
        <f>"299/1876"</f>
        <v>299/1876</v>
      </c>
      <c r="J22" t="str">
        <f>"185/375"</f>
        <v>185/375</v>
      </c>
      <c r="K22" t="str">
        <f>"400/1980"</f>
        <v>400/1980</v>
      </c>
    </row>
    <row r="23" spans="3:11" x14ac:dyDescent="0.25">
      <c r="C23" t="s">
        <v>303</v>
      </c>
      <c r="D23" t="s">
        <v>127</v>
      </c>
      <c r="E23">
        <v>6.87</v>
      </c>
      <c r="F23">
        <v>6.86</v>
      </c>
      <c r="G23">
        <v>6.75</v>
      </c>
      <c r="I23" t="str">
        <f>"485/1835"</f>
        <v>485/1835</v>
      </c>
      <c r="J23" t="str">
        <f>"486/1830"</f>
        <v>486/1830</v>
      </c>
      <c r="K23" t="str">
        <f>"899/2778"</f>
        <v>899/2778</v>
      </c>
    </row>
    <row r="24" spans="3:11" x14ac:dyDescent="0.25">
      <c r="C24" t="s">
        <v>304</v>
      </c>
      <c r="D24" t="s">
        <v>305</v>
      </c>
      <c r="E24">
        <v>6.87</v>
      </c>
      <c r="F24">
        <v>6.96</v>
      </c>
      <c r="G24">
        <v>6.63</v>
      </c>
      <c r="I24" t="str">
        <f>"179/319"</f>
        <v>179/319</v>
      </c>
      <c r="J24" t="str">
        <f>"136/280"</f>
        <v>136/280</v>
      </c>
      <c r="K24" t="str">
        <f>"382/1351"</f>
        <v>382/1351</v>
      </c>
    </row>
    <row r="25" spans="3:11" x14ac:dyDescent="0.25">
      <c r="C25" t="s">
        <v>306</v>
      </c>
      <c r="D25" t="s">
        <v>22</v>
      </c>
      <c r="E25">
        <v>6.86</v>
      </c>
      <c r="F25">
        <v>6.8</v>
      </c>
      <c r="G25">
        <v>6.77</v>
      </c>
      <c r="I25" t="str">
        <f>"303/2188"</f>
        <v>303/2188</v>
      </c>
      <c r="J25" t="str">
        <f>"228/1264"</f>
        <v>228/1264</v>
      </c>
      <c r="K25" t="str">
        <f>"433/2342"</f>
        <v>433/2342</v>
      </c>
    </row>
    <row r="26" spans="3:11" x14ac:dyDescent="0.25">
      <c r="C26" t="s">
        <v>307</v>
      </c>
      <c r="D26" t="s">
        <v>112</v>
      </c>
      <c r="E26">
        <v>7.03</v>
      </c>
      <c r="F26">
        <v>6.85</v>
      </c>
      <c r="G26">
        <v>6.54</v>
      </c>
      <c r="I26" t="str">
        <f>"377/1237"</f>
        <v>377/1237</v>
      </c>
      <c r="J26" t="str">
        <f>"346/1289"</f>
        <v>346/1289</v>
      </c>
      <c r="K26" t="str">
        <f>"689/2249"</f>
        <v>689/2249</v>
      </c>
    </row>
    <row r="27" spans="3:11" x14ac:dyDescent="0.25">
      <c r="C27" t="s">
        <v>308</v>
      </c>
      <c r="D27" t="s">
        <v>309</v>
      </c>
      <c r="E27">
        <v>7.05</v>
      </c>
      <c r="F27">
        <v>6.79</v>
      </c>
      <c r="G27">
        <v>6.56</v>
      </c>
      <c r="I27" t="str">
        <f>"223/604"</f>
        <v>223/604</v>
      </c>
      <c r="J27" t="str">
        <f>"192/709"</f>
        <v>192/709</v>
      </c>
      <c r="K27" t="str">
        <f>"347/948"</f>
        <v>347/948</v>
      </c>
    </row>
    <row r="28" spans="3:11" x14ac:dyDescent="0.25">
      <c r="C28" t="s">
        <v>310</v>
      </c>
      <c r="D28" t="s">
        <v>124</v>
      </c>
      <c r="E28">
        <v>6.96</v>
      </c>
      <c r="F28">
        <v>6.58</v>
      </c>
      <c r="G28">
        <v>6.83</v>
      </c>
      <c r="I28" t="str">
        <f>"641/3535"</f>
        <v>641/3535</v>
      </c>
      <c r="J28" t="str">
        <f>"524/1607"</f>
        <v>524/1607</v>
      </c>
      <c r="K28" t="str">
        <f>"956/3839"</f>
        <v>956/3839</v>
      </c>
    </row>
    <row r="29" spans="3:11" x14ac:dyDescent="0.25">
      <c r="C29" t="s">
        <v>311</v>
      </c>
      <c r="D29" t="s">
        <v>113</v>
      </c>
      <c r="E29">
        <v>7.01</v>
      </c>
      <c r="F29">
        <v>6.81</v>
      </c>
      <c r="G29">
        <v>6.5</v>
      </c>
      <c r="I29" t="str">
        <f>"377/1237"</f>
        <v>377/1237</v>
      </c>
      <c r="J29" t="str">
        <f>"349/1292"</f>
        <v>349/1292</v>
      </c>
      <c r="K29" t="str">
        <f>"694/2254"</f>
        <v>694/2254</v>
      </c>
    </row>
    <row r="30" spans="3:11" x14ac:dyDescent="0.25">
      <c r="C30" t="s">
        <v>312</v>
      </c>
      <c r="D30" t="s">
        <v>28</v>
      </c>
      <c r="E30">
        <v>6.97</v>
      </c>
      <c r="F30">
        <v>6.5</v>
      </c>
      <c r="G30">
        <v>6.78</v>
      </c>
      <c r="I30" t="str">
        <f>"256/2834"</f>
        <v>256/2834</v>
      </c>
      <c r="J30" t="str">
        <f>"190/660"</f>
        <v>190/660</v>
      </c>
      <c r="K30" t="str">
        <f>"364/2223"</f>
        <v>364/2223</v>
      </c>
    </row>
    <row r="31" spans="3:11" x14ac:dyDescent="0.25">
      <c r="C31" t="s">
        <v>313</v>
      </c>
      <c r="D31" t="s">
        <v>122</v>
      </c>
      <c r="E31">
        <v>6.96</v>
      </c>
      <c r="F31">
        <v>6.53</v>
      </c>
      <c r="G31">
        <v>6.75</v>
      </c>
      <c r="I31" t="str">
        <f>"533/2925"</f>
        <v>533/2925</v>
      </c>
      <c r="J31" t="str">
        <f>"447/1358"</f>
        <v>447/1358</v>
      </c>
      <c r="K31" t="str">
        <f>"815/3345"</f>
        <v>815/3345</v>
      </c>
    </row>
    <row r="32" spans="3:11" x14ac:dyDescent="0.25">
      <c r="C32" t="s">
        <v>314</v>
      </c>
      <c r="D32" t="s">
        <v>36</v>
      </c>
      <c r="E32">
        <v>6.78</v>
      </c>
      <c r="F32">
        <v>6.67</v>
      </c>
      <c r="G32">
        <v>6.78</v>
      </c>
      <c r="I32" t="str">
        <f>"144/1184"</f>
        <v>144/1184</v>
      </c>
      <c r="J32" t="str">
        <f>"88/245"</f>
        <v>88/245</v>
      </c>
      <c r="K32" t="str">
        <f>"169/1046"</f>
        <v>169/1046</v>
      </c>
    </row>
    <row r="33" spans="3:11" x14ac:dyDescent="0.25">
      <c r="C33" t="s">
        <v>315</v>
      </c>
      <c r="D33" t="s">
        <v>194</v>
      </c>
      <c r="E33">
        <v>6.82</v>
      </c>
      <c r="F33">
        <v>6.48</v>
      </c>
      <c r="G33">
        <v>6.91</v>
      </c>
      <c r="I33" t="str">
        <f>"545/2919"</f>
        <v>545/2919</v>
      </c>
      <c r="J33" t="str">
        <f>"416/1093"</f>
        <v>416/1093</v>
      </c>
      <c r="K33" t="str">
        <f>"802/3240"</f>
        <v>802/3240</v>
      </c>
    </row>
    <row r="34" spans="3:11" x14ac:dyDescent="0.25">
      <c r="C34" t="s">
        <v>316</v>
      </c>
      <c r="D34" t="s">
        <v>50</v>
      </c>
      <c r="E34">
        <v>6.81</v>
      </c>
      <c r="F34">
        <v>6.77</v>
      </c>
      <c r="G34">
        <v>6.6</v>
      </c>
      <c r="I34" t="str">
        <f>"141/1179"</f>
        <v>141/1179</v>
      </c>
      <c r="J34" t="str">
        <f>"87/244"</f>
        <v>87/244</v>
      </c>
      <c r="K34" t="str">
        <f>"154/983"</f>
        <v>154/983</v>
      </c>
    </row>
    <row r="35" spans="3:11" x14ac:dyDescent="0.25">
      <c r="C35" t="s">
        <v>317</v>
      </c>
      <c r="D35" t="s">
        <v>111</v>
      </c>
      <c r="E35">
        <v>6.75</v>
      </c>
      <c r="F35">
        <v>6.89</v>
      </c>
      <c r="G35">
        <v>6.46</v>
      </c>
      <c r="I35" t="str">
        <f>"322/1660"</f>
        <v>322/1660</v>
      </c>
      <c r="J35" t="str">
        <f>"287/1677"</f>
        <v>287/1677</v>
      </c>
      <c r="K35" t="str">
        <f>"481/1467"</f>
        <v>481/1467</v>
      </c>
    </row>
    <row r="36" spans="3:11" x14ac:dyDescent="0.25">
      <c r="C36" t="s">
        <v>318</v>
      </c>
      <c r="D36" t="s">
        <v>121</v>
      </c>
      <c r="E36">
        <v>6.65</v>
      </c>
      <c r="F36">
        <v>6.77</v>
      </c>
      <c r="G36">
        <v>6.64</v>
      </c>
      <c r="I36" t="str">
        <f>"265/1251"</f>
        <v>265/1251</v>
      </c>
      <c r="J36" t="str">
        <f>"232/1220"</f>
        <v>232/1220</v>
      </c>
      <c r="K36" t="str">
        <f>"366/1042"</f>
        <v>366/1042</v>
      </c>
    </row>
    <row r="37" spans="3:11" x14ac:dyDescent="0.25">
      <c r="C37" t="s">
        <v>319</v>
      </c>
      <c r="D37" t="s">
        <v>211</v>
      </c>
      <c r="E37">
        <v>6.65</v>
      </c>
      <c r="F37">
        <v>6.53</v>
      </c>
      <c r="G37">
        <v>6.75</v>
      </c>
      <c r="I37" t="str">
        <f>"467/2342"</f>
        <v>467/2342</v>
      </c>
      <c r="J37" t="str">
        <f>"346/882"</f>
        <v>346/882</v>
      </c>
      <c r="K37" t="str">
        <f>"704/2626"</f>
        <v>704/2626</v>
      </c>
    </row>
    <row r="38" spans="3:11" x14ac:dyDescent="0.25">
      <c r="C38" t="s">
        <v>320</v>
      </c>
      <c r="D38" t="s">
        <v>321</v>
      </c>
      <c r="E38">
        <v>6.61</v>
      </c>
      <c r="F38">
        <v>6.65</v>
      </c>
      <c r="G38">
        <v>6.29</v>
      </c>
      <c r="I38" t="str">
        <f>"275/1291"</f>
        <v>275/1291</v>
      </c>
      <c r="J38" t="str">
        <f>"181/1025"</f>
        <v>181/1025</v>
      </c>
      <c r="K38" t="str">
        <f>"375/1274"</f>
        <v>375/1274</v>
      </c>
    </row>
    <row r="39" spans="3:11" x14ac:dyDescent="0.25">
      <c r="C39" t="s">
        <v>45</v>
      </c>
      <c r="D39" t="s">
        <v>322</v>
      </c>
      <c r="K39" t="s">
        <v>47</v>
      </c>
    </row>
    <row r="41" spans="3:11" x14ac:dyDescent="0.25">
      <c r="C41" t="s">
        <v>48</v>
      </c>
      <c r="F41" t="s">
        <v>286</v>
      </c>
      <c r="J41" t="s">
        <v>6</v>
      </c>
    </row>
    <row r="42" spans="3:11" x14ac:dyDescent="0.25">
      <c r="D42" t="s">
        <v>7</v>
      </c>
      <c r="E42" t="s">
        <v>8</v>
      </c>
      <c r="F42" t="s">
        <v>9</v>
      </c>
      <c r="G42" t="s">
        <v>10</v>
      </c>
      <c r="I42" t="s">
        <v>8</v>
      </c>
      <c r="J42" t="s">
        <v>9</v>
      </c>
      <c r="K42" t="s">
        <v>10</v>
      </c>
    </row>
    <row r="43" spans="3:11" x14ac:dyDescent="0.25">
      <c r="C43" t="s">
        <v>287</v>
      </c>
      <c r="D43" t="s">
        <v>65</v>
      </c>
      <c r="E43">
        <v>6.87</v>
      </c>
      <c r="F43">
        <v>5.97</v>
      </c>
      <c r="G43">
        <v>6.85</v>
      </c>
      <c r="I43" t="str">
        <f>"196/1530"</f>
        <v>196/1530</v>
      </c>
      <c r="J43" t="str">
        <f>"135/357"</f>
        <v>135/357</v>
      </c>
      <c r="K43" t="str">
        <f>"310/1259"</f>
        <v>310/1259</v>
      </c>
    </row>
    <row r="44" spans="3:11" x14ac:dyDescent="0.25">
      <c r="C44" t="s">
        <v>288</v>
      </c>
      <c r="D44" t="s">
        <v>63</v>
      </c>
      <c r="E44">
        <v>6.89</v>
      </c>
      <c r="F44">
        <v>5.9</v>
      </c>
      <c r="G44">
        <v>6.75</v>
      </c>
      <c r="I44" t="str">
        <f>"599/4405"</f>
        <v>599/4405</v>
      </c>
      <c r="J44" t="str">
        <f>"444/1217"</f>
        <v>444/1217</v>
      </c>
      <c r="K44" t="str">
        <f>"890/4301"</f>
        <v>890/4301</v>
      </c>
    </row>
    <row r="45" spans="3:11" x14ac:dyDescent="0.25">
      <c r="C45" t="s">
        <v>289</v>
      </c>
      <c r="D45" t="s">
        <v>89</v>
      </c>
      <c r="E45">
        <v>6.9</v>
      </c>
      <c r="F45">
        <v>5.93</v>
      </c>
      <c r="G45">
        <v>6.69</v>
      </c>
      <c r="I45" t="str">
        <f>"213/1714"</f>
        <v>213/1714</v>
      </c>
      <c r="J45" t="str">
        <f>"155/441"</f>
        <v>155/441</v>
      </c>
      <c r="K45" t="str">
        <f>"349/1611"</f>
        <v>349/1611</v>
      </c>
    </row>
    <row r="46" spans="3:11" x14ac:dyDescent="0.25">
      <c r="C46" t="s">
        <v>290</v>
      </c>
      <c r="D46" t="s">
        <v>59</v>
      </c>
      <c r="E46">
        <v>6.78</v>
      </c>
      <c r="F46">
        <v>6.09</v>
      </c>
      <c r="G46">
        <v>6.51</v>
      </c>
      <c r="I46" t="str">
        <f>"136/1345"</f>
        <v>136/1345</v>
      </c>
      <c r="J46" t="str">
        <f>"86/237"</f>
        <v>86/237</v>
      </c>
      <c r="K46" t="str">
        <f>"155/809"</f>
        <v>155/809</v>
      </c>
    </row>
    <row r="47" spans="3:11" x14ac:dyDescent="0.25">
      <c r="C47" t="s">
        <v>291</v>
      </c>
      <c r="D47" t="s">
        <v>230</v>
      </c>
      <c r="E47">
        <v>6.63</v>
      </c>
      <c r="F47">
        <v>5.99</v>
      </c>
      <c r="G47">
        <v>6.76</v>
      </c>
      <c r="I47" t="str">
        <f>"399/2071"</f>
        <v>399/2071</v>
      </c>
      <c r="J47" t="str">
        <f>"290/739"</f>
        <v>290/739</v>
      </c>
      <c r="K47" t="str">
        <f>"586/2232"</f>
        <v>586/2232</v>
      </c>
    </row>
    <row r="48" spans="3:11" x14ac:dyDescent="0.25">
      <c r="C48" t="s">
        <v>292</v>
      </c>
      <c r="D48" t="s">
        <v>323</v>
      </c>
      <c r="E48">
        <v>6.77</v>
      </c>
      <c r="F48">
        <v>5.23</v>
      </c>
      <c r="G48">
        <v>6.93</v>
      </c>
      <c r="I48" t="str">
        <f>"218/750"</f>
        <v>218/750</v>
      </c>
      <c r="J48" t="str">
        <f>"231/518"</f>
        <v>231/518</v>
      </c>
      <c r="K48" t="str">
        <f>"536/1411"</f>
        <v>536/1411</v>
      </c>
    </row>
    <row r="49" spans="3:11" x14ac:dyDescent="0.25">
      <c r="C49" t="s">
        <v>293</v>
      </c>
      <c r="D49" t="s">
        <v>252</v>
      </c>
      <c r="E49">
        <v>6.86</v>
      </c>
      <c r="F49">
        <v>4.53</v>
      </c>
      <c r="G49">
        <v>6.86</v>
      </c>
      <c r="I49" t="str">
        <f>"205/678"</f>
        <v>205/678</v>
      </c>
      <c r="J49" t="str">
        <f>"220/463"</f>
        <v>220/463</v>
      </c>
      <c r="K49" t="str">
        <f>"498/1292"</f>
        <v>498/1292</v>
      </c>
    </row>
    <row r="50" spans="3:11" x14ac:dyDescent="0.25">
      <c r="C50" t="s">
        <v>294</v>
      </c>
      <c r="D50" t="s">
        <v>114</v>
      </c>
      <c r="E50">
        <v>6.68</v>
      </c>
      <c r="F50">
        <v>4.71</v>
      </c>
      <c r="G50">
        <v>6.78</v>
      </c>
      <c r="I50" t="str">
        <f>"391/2915"</f>
        <v>391/2915</v>
      </c>
      <c r="J50" t="str">
        <f>"275/849"</f>
        <v>275/849</v>
      </c>
      <c r="K50" t="str">
        <f>"524/2715"</f>
        <v>524/2715</v>
      </c>
    </row>
    <row r="51" spans="3:11" x14ac:dyDescent="0.25">
      <c r="C51" t="s">
        <v>295</v>
      </c>
      <c r="D51" t="s">
        <v>324</v>
      </c>
      <c r="E51">
        <v>6.74</v>
      </c>
      <c r="F51">
        <v>1.52</v>
      </c>
      <c r="G51">
        <v>6.79</v>
      </c>
      <c r="I51" t="str">
        <f>"157/546"</f>
        <v>157/546</v>
      </c>
      <c r="J51" t="str">
        <f>"164/320"</f>
        <v>164/320</v>
      </c>
      <c r="K51" t="str">
        <f>"350/878"</f>
        <v>350/878</v>
      </c>
    </row>
    <row r="52" spans="3:11" x14ac:dyDescent="0.25">
      <c r="C52" t="s">
        <v>296</v>
      </c>
      <c r="D52" t="s">
        <v>325</v>
      </c>
      <c r="E52">
        <v>6.73</v>
      </c>
      <c r="F52">
        <v>1.36</v>
      </c>
      <c r="G52">
        <v>6.84</v>
      </c>
      <c r="I52" t="str">
        <f>"170/584"</f>
        <v>170/584</v>
      </c>
      <c r="J52" t="str">
        <f>"179/345"</f>
        <v>179/345</v>
      </c>
      <c r="K52" t="str">
        <f>"390/994"</f>
        <v>390/994</v>
      </c>
    </row>
    <row r="53" spans="3:11" x14ac:dyDescent="0.25">
      <c r="C53" t="s">
        <v>45</v>
      </c>
      <c r="D53" t="s">
        <v>326</v>
      </c>
      <c r="K53" t="s">
        <v>109</v>
      </c>
    </row>
    <row r="55" spans="3:11" x14ac:dyDescent="0.25">
      <c r="C55" t="s">
        <v>110</v>
      </c>
      <c r="F55" t="s">
        <v>286</v>
      </c>
      <c r="J55" t="s">
        <v>6</v>
      </c>
    </row>
    <row r="56" spans="3:11" x14ac:dyDescent="0.25">
      <c r="D56" t="s">
        <v>7</v>
      </c>
      <c r="E56" t="s">
        <v>8</v>
      </c>
      <c r="F56" t="s">
        <v>9</v>
      </c>
      <c r="G56" t="s">
        <v>10</v>
      </c>
      <c r="I56" t="s">
        <v>8</v>
      </c>
      <c r="J56" t="s">
        <v>9</v>
      </c>
      <c r="K56" t="s">
        <v>10</v>
      </c>
    </row>
    <row r="57" spans="3:11" x14ac:dyDescent="0.25">
      <c r="C57" t="s">
        <v>287</v>
      </c>
      <c r="D57" t="s">
        <v>327</v>
      </c>
      <c r="E57">
        <v>7.04</v>
      </c>
      <c r="F57">
        <v>6.66</v>
      </c>
      <c r="G57">
        <v>6.16</v>
      </c>
      <c r="I57" t="str">
        <f>"184/469"</f>
        <v>184/469</v>
      </c>
      <c r="J57" t="str">
        <f>"170/625"</f>
        <v>170/625</v>
      </c>
      <c r="K57" t="str">
        <f>"303/688"</f>
        <v>303/688</v>
      </c>
    </row>
    <row r="58" spans="3:11" x14ac:dyDescent="0.25">
      <c r="C58" t="s">
        <v>288</v>
      </c>
      <c r="D58" t="s">
        <v>328</v>
      </c>
      <c r="E58">
        <v>6.77</v>
      </c>
      <c r="F58">
        <v>7.02</v>
      </c>
      <c r="G58">
        <v>5.72</v>
      </c>
      <c r="I58" t="str">
        <f>"529/1088"</f>
        <v>529/1088</v>
      </c>
      <c r="J58" t="str">
        <f>"391/483"</f>
        <v>391/483</v>
      </c>
      <c r="K58" t="str">
        <f>"875/2050"</f>
        <v>875/2050</v>
      </c>
    </row>
    <row r="59" spans="3:11" x14ac:dyDescent="0.25">
      <c r="C59" t="s">
        <v>289</v>
      </c>
      <c r="D59" t="s">
        <v>329</v>
      </c>
      <c r="E59">
        <v>6.75</v>
      </c>
      <c r="F59">
        <v>7.01</v>
      </c>
      <c r="G59">
        <v>5.12</v>
      </c>
      <c r="I59" t="str">
        <f>"394/787"</f>
        <v>394/787</v>
      </c>
      <c r="J59" t="str">
        <f>"320/389"</f>
        <v>320/389</v>
      </c>
      <c r="K59" t="str">
        <f>"717/1667"</f>
        <v>717/1667</v>
      </c>
    </row>
    <row r="60" spans="3:11" x14ac:dyDescent="0.25">
      <c r="C60" t="s">
        <v>290</v>
      </c>
      <c r="D60" t="s">
        <v>330</v>
      </c>
      <c r="E60">
        <v>6.81</v>
      </c>
      <c r="F60">
        <v>6.84</v>
      </c>
      <c r="G60">
        <v>5.09</v>
      </c>
      <c r="I60" t="str">
        <f>"388/851"</f>
        <v>388/851</v>
      </c>
      <c r="J60" t="str">
        <f>"208/258"</f>
        <v>208/258</v>
      </c>
      <c r="K60" t="str">
        <f>"484/1332"</f>
        <v>484/1332</v>
      </c>
    </row>
    <row r="61" spans="3:11" x14ac:dyDescent="0.25">
      <c r="C61" t="s">
        <v>291</v>
      </c>
      <c r="D61" t="s">
        <v>331</v>
      </c>
      <c r="E61">
        <v>6.87</v>
      </c>
      <c r="F61">
        <v>7.01</v>
      </c>
      <c r="G61">
        <v>4.34</v>
      </c>
      <c r="I61" t="str">
        <f>"681/1112"</f>
        <v>681/1112</v>
      </c>
      <c r="J61" t="str">
        <f>"442/625"</f>
        <v>442/625</v>
      </c>
      <c r="K61" t="str">
        <f>"871/1889"</f>
        <v>871/1889</v>
      </c>
    </row>
    <row r="62" spans="3:11" x14ac:dyDescent="0.25">
      <c r="C62" t="s">
        <v>292</v>
      </c>
      <c r="D62" t="s">
        <v>116</v>
      </c>
      <c r="E62">
        <v>7.03</v>
      </c>
      <c r="F62">
        <v>6.53</v>
      </c>
      <c r="G62">
        <v>3.97</v>
      </c>
      <c r="I62" t="str">
        <f>"164/425"</f>
        <v>164/425</v>
      </c>
      <c r="J62" t="str">
        <f>"143/535"</f>
        <v>143/535</v>
      </c>
      <c r="K62" t="str">
        <f>"190/398"</f>
        <v>190/398</v>
      </c>
    </row>
    <row r="63" spans="3:11" x14ac:dyDescent="0.25">
      <c r="C63" t="s">
        <v>293</v>
      </c>
      <c r="D63" t="s">
        <v>332</v>
      </c>
      <c r="E63">
        <v>6.74</v>
      </c>
      <c r="F63">
        <v>6.98</v>
      </c>
      <c r="G63">
        <v>3.45</v>
      </c>
      <c r="I63" t="str">
        <f>"459/702"</f>
        <v>459/702</v>
      </c>
      <c r="J63" t="str">
        <f>"277/378"</f>
        <v>277/378</v>
      </c>
      <c r="K63" t="str">
        <f>"562/1204"</f>
        <v>562/1204</v>
      </c>
    </row>
    <row r="64" spans="3:11" x14ac:dyDescent="0.25">
      <c r="C64" t="s">
        <v>294</v>
      </c>
      <c r="D64" t="s">
        <v>333</v>
      </c>
      <c r="E64">
        <v>6.75</v>
      </c>
      <c r="F64">
        <v>6.52</v>
      </c>
      <c r="G64">
        <v>2.57</v>
      </c>
      <c r="I64" t="str">
        <f>"190/248"</f>
        <v>190/248</v>
      </c>
      <c r="J64" t="str">
        <f>"103/121"</f>
        <v>103/121</v>
      </c>
      <c r="K64" t="str">
        <f>"262/442"</f>
        <v>262/442</v>
      </c>
    </row>
    <row r="65" spans="2:11" x14ac:dyDescent="0.25">
      <c r="C65" t="s">
        <v>45</v>
      </c>
      <c r="D65" t="s">
        <v>334</v>
      </c>
      <c r="K65" t="s">
        <v>118</v>
      </c>
    </row>
    <row r="67" spans="2:11" x14ac:dyDescent="0.25">
      <c r="C67" t="s">
        <v>119</v>
      </c>
      <c r="F67" t="s">
        <v>286</v>
      </c>
      <c r="J67" t="s">
        <v>6</v>
      </c>
    </row>
    <row r="68" spans="2:11" x14ac:dyDescent="0.25">
      <c r="D68" t="s">
        <v>7</v>
      </c>
      <c r="E68" t="s">
        <v>8</v>
      </c>
      <c r="F68" t="s">
        <v>9</v>
      </c>
      <c r="G68" t="s">
        <v>10</v>
      </c>
      <c r="I68" t="s">
        <v>8</v>
      </c>
      <c r="J68" t="s">
        <v>9</v>
      </c>
      <c r="K68" t="s">
        <v>10</v>
      </c>
    </row>
    <row r="69" spans="2:11" x14ac:dyDescent="0.25">
      <c r="C69" t="s">
        <v>287</v>
      </c>
      <c r="D69" t="s">
        <v>54</v>
      </c>
      <c r="E69">
        <v>6.6</v>
      </c>
      <c r="F69">
        <v>6.71</v>
      </c>
      <c r="G69">
        <v>6.88</v>
      </c>
      <c r="I69" t="str">
        <f>"628/4683"</f>
        <v>628/4683</v>
      </c>
      <c r="J69" t="str">
        <f>"528/1714"</f>
        <v>528/1714</v>
      </c>
      <c r="K69" t="str">
        <f>"973/5229"</f>
        <v>973/5229</v>
      </c>
    </row>
    <row r="70" spans="2:11" x14ac:dyDescent="0.25">
      <c r="C70" t="s">
        <v>288</v>
      </c>
      <c r="D70" t="s">
        <v>237</v>
      </c>
      <c r="E70">
        <v>6.51</v>
      </c>
      <c r="F70">
        <v>6.89</v>
      </c>
      <c r="G70">
        <v>6.73</v>
      </c>
      <c r="I70" t="str">
        <f>"331/1414"</f>
        <v>331/1414</v>
      </c>
      <c r="J70" t="str">
        <f>"288/1371"</f>
        <v>288/1371</v>
      </c>
      <c r="K70" t="str">
        <f>"500/1372"</f>
        <v>500/1372</v>
      </c>
    </row>
    <row r="71" spans="2:11" x14ac:dyDescent="0.25">
      <c r="C71" t="s">
        <v>289</v>
      </c>
      <c r="D71" t="s">
        <v>335</v>
      </c>
      <c r="E71">
        <v>4.16</v>
      </c>
      <c r="F71">
        <v>6.51</v>
      </c>
      <c r="G71">
        <v>6.17</v>
      </c>
      <c r="I71" t="str">
        <f>"192/310"</f>
        <v>192/310</v>
      </c>
      <c r="J71" t="str">
        <f>"183/316"</f>
        <v>183/316</v>
      </c>
      <c r="K71" t="str">
        <f>"301/487"</f>
        <v>301/487</v>
      </c>
    </row>
    <row r="72" spans="2:11" x14ac:dyDescent="0.25">
      <c r="C72" t="s">
        <v>45</v>
      </c>
      <c r="D72" t="s">
        <v>336</v>
      </c>
      <c r="K72" t="s">
        <v>139</v>
      </c>
    </row>
    <row r="74" spans="2:11" x14ac:dyDescent="0.25">
      <c r="B74" t="s">
        <v>140</v>
      </c>
      <c r="C74" t="s">
        <v>337</v>
      </c>
    </row>
    <row r="76" spans="2:11" x14ac:dyDescent="0.25">
      <c r="C76" t="s">
        <v>4</v>
      </c>
      <c r="F76" t="s">
        <v>286</v>
      </c>
      <c r="J76" t="s">
        <v>6</v>
      </c>
    </row>
    <row r="77" spans="2:11" x14ac:dyDescent="0.25">
      <c r="D77" t="s">
        <v>7</v>
      </c>
      <c r="E77" t="s">
        <v>8</v>
      </c>
      <c r="F77" t="s">
        <v>9</v>
      </c>
      <c r="G77" t="s">
        <v>10</v>
      </c>
      <c r="I77" t="s">
        <v>8</v>
      </c>
      <c r="J77" t="s">
        <v>9</v>
      </c>
      <c r="K77" t="s">
        <v>10</v>
      </c>
    </row>
    <row r="78" spans="2:11" x14ac:dyDescent="0.25">
      <c r="C78" t="s">
        <v>45</v>
      </c>
      <c r="D78" t="s">
        <v>142</v>
      </c>
      <c r="K78" t="s">
        <v>47</v>
      </c>
    </row>
    <row r="80" spans="2:11" x14ac:dyDescent="0.25">
      <c r="C80" t="s">
        <v>48</v>
      </c>
      <c r="F80" t="s">
        <v>286</v>
      </c>
      <c r="J80" t="s">
        <v>6</v>
      </c>
    </row>
    <row r="81" spans="2:11" x14ac:dyDescent="0.25">
      <c r="D81" t="s">
        <v>7</v>
      </c>
      <c r="E81" t="s">
        <v>8</v>
      </c>
      <c r="F81" t="s">
        <v>9</v>
      </c>
      <c r="G81" t="s">
        <v>10</v>
      </c>
      <c r="I81" t="s">
        <v>8</v>
      </c>
      <c r="J81" t="s">
        <v>9</v>
      </c>
      <c r="K81" t="s">
        <v>10</v>
      </c>
    </row>
    <row r="82" spans="2:11" x14ac:dyDescent="0.25">
      <c r="C82" t="s">
        <v>45</v>
      </c>
      <c r="D82" t="s">
        <v>142</v>
      </c>
      <c r="K82" t="s">
        <v>109</v>
      </c>
    </row>
    <row r="84" spans="2:11" x14ac:dyDescent="0.25">
      <c r="C84" t="s">
        <v>110</v>
      </c>
      <c r="F84" t="s">
        <v>286</v>
      </c>
      <c r="J84" t="s">
        <v>6</v>
      </c>
    </row>
    <row r="85" spans="2:11" x14ac:dyDescent="0.25">
      <c r="D85" t="s">
        <v>7</v>
      </c>
      <c r="E85" t="s">
        <v>8</v>
      </c>
      <c r="F85" t="s">
        <v>9</v>
      </c>
      <c r="G85" t="s">
        <v>10</v>
      </c>
      <c r="I85" t="s">
        <v>8</v>
      </c>
      <c r="J85" t="s">
        <v>9</v>
      </c>
      <c r="K85" t="s">
        <v>10</v>
      </c>
    </row>
    <row r="86" spans="2:11" x14ac:dyDescent="0.25">
      <c r="C86" t="s">
        <v>45</v>
      </c>
      <c r="D86" t="s">
        <v>142</v>
      </c>
      <c r="K86" t="s">
        <v>118</v>
      </c>
    </row>
    <row r="88" spans="2:11" x14ac:dyDescent="0.25">
      <c r="C88" t="s">
        <v>119</v>
      </c>
      <c r="F88" t="s">
        <v>286</v>
      </c>
      <c r="J88" t="s">
        <v>6</v>
      </c>
    </row>
    <row r="89" spans="2:11" x14ac:dyDescent="0.25">
      <c r="D89" t="s">
        <v>7</v>
      </c>
      <c r="E89" t="s">
        <v>8</v>
      </c>
      <c r="F89" t="s">
        <v>9</v>
      </c>
      <c r="G89" t="s">
        <v>10</v>
      </c>
      <c r="I89" t="s">
        <v>8</v>
      </c>
      <c r="J89" t="s">
        <v>9</v>
      </c>
      <c r="K89" t="s">
        <v>10</v>
      </c>
    </row>
    <row r="90" spans="2:11" x14ac:dyDescent="0.25">
      <c r="C90" t="s">
        <v>45</v>
      </c>
      <c r="D90" t="s">
        <v>142</v>
      </c>
      <c r="K90" t="s">
        <v>139</v>
      </c>
    </row>
    <row r="92" spans="2:11" x14ac:dyDescent="0.25">
      <c r="B92" t="s">
        <v>143</v>
      </c>
      <c r="C92" t="s">
        <v>338</v>
      </c>
    </row>
    <row r="94" spans="2:11" x14ac:dyDescent="0.25">
      <c r="C94" t="s">
        <v>4</v>
      </c>
      <c r="F94" t="s">
        <v>286</v>
      </c>
      <c r="J94" t="s">
        <v>6</v>
      </c>
    </row>
    <row r="95" spans="2:11" x14ac:dyDescent="0.25">
      <c r="D95" t="s">
        <v>7</v>
      </c>
      <c r="E95" t="s">
        <v>8</v>
      </c>
      <c r="F95" t="s">
        <v>9</v>
      </c>
      <c r="G95" t="s">
        <v>10</v>
      </c>
      <c r="I95" t="s">
        <v>8</v>
      </c>
      <c r="J95" t="s">
        <v>9</v>
      </c>
      <c r="K95" t="s">
        <v>10</v>
      </c>
    </row>
    <row r="96" spans="2:11" x14ac:dyDescent="0.25">
      <c r="C96" t="s">
        <v>45</v>
      </c>
      <c r="D96" t="s">
        <v>142</v>
      </c>
      <c r="K96" t="s">
        <v>47</v>
      </c>
    </row>
    <row r="98" spans="1:11" x14ac:dyDescent="0.25">
      <c r="C98" t="s">
        <v>48</v>
      </c>
      <c r="F98" t="s">
        <v>286</v>
      </c>
      <c r="J98" t="s">
        <v>6</v>
      </c>
    </row>
    <row r="99" spans="1:11" x14ac:dyDescent="0.25">
      <c r="D99" t="s">
        <v>7</v>
      </c>
      <c r="E99" t="s">
        <v>8</v>
      </c>
      <c r="F99" t="s">
        <v>9</v>
      </c>
      <c r="G99" t="s">
        <v>10</v>
      </c>
      <c r="I99" t="s">
        <v>8</v>
      </c>
      <c r="J99" t="s">
        <v>9</v>
      </c>
      <c r="K99" t="s">
        <v>10</v>
      </c>
    </row>
    <row r="100" spans="1:11" x14ac:dyDescent="0.25">
      <c r="C100" t="s">
        <v>45</v>
      </c>
      <c r="D100" t="s">
        <v>142</v>
      </c>
      <c r="K100" t="s">
        <v>109</v>
      </c>
    </row>
    <row r="102" spans="1:11" x14ac:dyDescent="0.25">
      <c r="C102" t="s">
        <v>110</v>
      </c>
      <c r="F102" t="s">
        <v>286</v>
      </c>
      <c r="J102" t="s">
        <v>6</v>
      </c>
    </row>
    <row r="103" spans="1:11" x14ac:dyDescent="0.25">
      <c r="D103" t="s">
        <v>7</v>
      </c>
      <c r="E103" t="s">
        <v>8</v>
      </c>
      <c r="F103" t="s">
        <v>9</v>
      </c>
      <c r="G103" t="s">
        <v>10</v>
      </c>
      <c r="I103" t="s">
        <v>8</v>
      </c>
      <c r="J103" t="s">
        <v>9</v>
      </c>
      <c r="K103" t="s">
        <v>10</v>
      </c>
    </row>
    <row r="104" spans="1:11" x14ac:dyDescent="0.25">
      <c r="C104" t="s">
        <v>45</v>
      </c>
      <c r="D104" t="s">
        <v>142</v>
      </c>
      <c r="K104" t="s">
        <v>118</v>
      </c>
    </row>
    <row r="106" spans="1:11" x14ac:dyDescent="0.25">
      <c r="C106" t="s">
        <v>119</v>
      </c>
      <c r="F106" t="s">
        <v>286</v>
      </c>
      <c r="J106" t="s">
        <v>6</v>
      </c>
    </row>
    <row r="107" spans="1:11" x14ac:dyDescent="0.25">
      <c r="D107" t="s">
        <v>7</v>
      </c>
      <c r="E107" t="s">
        <v>8</v>
      </c>
      <c r="F107" t="s">
        <v>9</v>
      </c>
      <c r="G107" t="s">
        <v>10</v>
      </c>
      <c r="I107" t="s">
        <v>8</v>
      </c>
      <c r="J107" t="s">
        <v>9</v>
      </c>
      <c r="K107" t="s">
        <v>10</v>
      </c>
    </row>
    <row r="108" spans="1:11" x14ac:dyDescent="0.25">
      <c r="C108" t="s">
        <v>45</v>
      </c>
      <c r="D108" t="s">
        <v>142</v>
      </c>
      <c r="K108" t="s">
        <v>139</v>
      </c>
    </row>
    <row r="112" spans="1:11" x14ac:dyDescent="0.25">
      <c r="A112" t="s">
        <v>0</v>
      </c>
      <c r="B112" t="s">
        <v>339</v>
      </c>
    </row>
    <row r="114" spans="2:11" x14ac:dyDescent="0.25">
      <c r="B114" t="s">
        <v>2</v>
      </c>
      <c r="C114" t="s">
        <v>285</v>
      </c>
    </row>
    <row r="116" spans="2:11" x14ac:dyDescent="0.25">
      <c r="C116" t="s">
        <v>4</v>
      </c>
      <c r="F116" t="s">
        <v>286</v>
      </c>
      <c r="J116" t="s">
        <v>6</v>
      </c>
    </row>
    <row r="117" spans="2:11" x14ac:dyDescent="0.25">
      <c r="D117" t="s">
        <v>7</v>
      </c>
      <c r="E117" t="s">
        <v>8</v>
      </c>
      <c r="F117" t="s">
        <v>9</v>
      </c>
      <c r="G117" t="s">
        <v>10</v>
      </c>
      <c r="I117" t="s">
        <v>8</v>
      </c>
      <c r="J117" t="s">
        <v>9</v>
      </c>
      <c r="K117" t="s">
        <v>10</v>
      </c>
    </row>
    <row r="118" spans="2:11" x14ac:dyDescent="0.25">
      <c r="C118" t="s">
        <v>287</v>
      </c>
      <c r="D118" t="s">
        <v>340</v>
      </c>
      <c r="E118">
        <v>-0.64</v>
      </c>
      <c r="F118">
        <v>-0.31</v>
      </c>
      <c r="G118">
        <v>-1.61</v>
      </c>
      <c r="I118" t="str">
        <f>"26/52"</f>
        <v>26/52</v>
      </c>
      <c r="J118" t="str">
        <f>"39/84"</f>
        <v>39/84</v>
      </c>
      <c r="K118" t="str">
        <f>"71/185"</f>
        <v>71/185</v>
      </c>
    </row>
    <row r="119" spans="2:11" x14ac:dyDescent="0.25">
      <c r="C119" t="s">
        <v>288</v>
      </c>
      <c r="D119" t="s">
        <v>341</v>
      </c>
      <c r="E119">
        <v>-0.47</v>
      </c>
      <c r="F119">
        <v>-0.69</v>
      </c>
      <c r="G119">
        <v>-1.42</v>
      </c>
      <c r="I119" t="str">
        <f>"42/76"</f>
        <v>42/76</v>
      </c>
      <c r="J119" t="str">
        <f>"66/121"</f>
        <v>66/121</v>
      </c>
      <c r="K119" t="str">
        <f>"113/270"</f>
        <v>113/270</v>
      </c>
    </row>
    <row r="120" spans="2:11" x14ac:dyDescent="0.25">
      <c r="C120" t="s">
        <v>289</v>
      </c>
      <c r="D120" t="s">
        <v>342</v>
      </c>
      <c r="E120">
        <v>-0.65</v>
      </c>
      <c r="F120">
        <v>-0.35</v>
      </c>
      <c r="G120">
        <v>-1.65</v>
      </c>
      <c r="I120" t="str">
        <f>"34/60"</f>
        <v>34/60</v>
      </c>
      <c r="J120" t="str">
        <f>"44/92"</f>
        <v>44/92</v>
      </c>
      <c r="K120" t="str">
        <f>"76/197"</f>
        <v>76/197</v>
      </c>
    </row>
    <row r="121" spans="2:11" x14ac:dyDescent="0.25">
      <c r="C121" t="s">
        <v>290</v>
      </c>
      <c r="D121" t="s">
        <v>343</v>
      </c>
      <c r="E121">
        <v>-0.56999999999999995</v>
      </c>
      <c r="F121">
        <v>-0.84</v>
      </c>
      <c r="G121">
        <v>-1.53</v>
      </c>
      <c r="I121" t="str">
        <f>"23/45"</f>
        <v>23/45</v>
      </c>
      <c r="J121" t="str">
        <f>"26/53"</f>
        <v>26/53</v>
      </c>
      <c r="K121" t="str">
        <f>"66/173"</f>
        <v>66/173</v>
      </c>
    </row>
    <row r="122" spans="2:11" x14ac:dyDescent="0.25">
      <c r="C122" t="s">
        <v>291</v>
      </c>
      <c r="D122" t="s">
        <v>344</v>
      </c>
      <c r="E122">
        <v>-0.66</v>
      </c>
      <c r="F122">
        <v>-0.46</v>
      </c>
      <c r="G122">
        <v>-1.92</v>
      </c>
      <c r="I122" t="str">
        <f>"26/52"</f>
        <v>26/52</v>
      </c>
      <c r="J122" t="str">
        <f>"39/84"</f>
        <v>39/84</v>
      </c>
      <c r="K122" t="str">
        <f>"71/185"</f>
        <v>71/185</v>
      </c>
    </row>
    <row r="123" spans="2:11" x14ac:dyDescent="0.25">
      <c r="C123" t="s">
        <v>292</v>
      </c>
      <c r="D123" t="s">
        <v>345</v>
      </c>
      <c r="E123">
        <v>-0.51</v>
      </c>
      <c r="F123">
        <v>-0.56000000000000005</v>
      </c>
      <c r="G123">
        <v>-2.02</v>
      </c>
      <c r="I123" t="str">
        <f>"42/76"</f>
        <v>42/76</v>
      </c>
      <c r="J123" t="str">
        <f>"66/121"</f>
        <v>66/121</v>
      </c>
      <c r="K123" t="str">
        <f>"113/270"</f>
        <v>113/270</v>
      </c>
    </row>
    <row r="124" spans="2:11" x14ac:dyDescent="0.25">
      <c r="C124" t="s">
        <v>45</v>
      </c>
      <c r="D124" t="s">
        <v>346</v>
      </c>
      <c r="K124" t="s">
        <v>154</v>
      </c>
    </row>
    <row r="126" spans="2:11" x14ac:dyDescent="0.25">
      <c r="C126" t="s">
        <v>48</v>
      </c>
      <c r="F126" t="s">
        <v>286</v>
      </c>
      <c r="J126" t="s">
        <v>6</v>
      </c>
    </row>
    <row r="127" spans="2:11" x14ac:dyDescent="0.25">
      <c r="D127" t="s">
        <v>7</v>
      </c>
      <c r="E127" t="s">
        <v>8</v>
      </c>
      <c r="F127" t="s">
        <v>9</v>
      </c>
      <c r="G127" t="s">
        <v>10</v>
      </c>
      <c r="I127" t="s">
        <v>8</v>
      </c>
      <c r="J127" t="s">
        <v>9</v>
      </c>
      <c r="K127" t="s">
        <v>10</v>
      </c>
    </row>
    <row r="128" spans="2:11" x14ac:dyDescent="0.25">
      <c r="C128" t="s">
        <v>287</v>
      </c>
      <c r="D128" t="s">
        <v>347</v>
      </c>
      <c r="E128">
        <v>-1.1200000000000001</v>
      </c>
      <c r="F128">
        <v>3.21</v>
      </c>
      <c r="G128">
        <v>-1.41</v>
      </c>
      <c r="I128" t="str">
        <f>"51/80"</f>
        <v>51/80</v>
      </c>
      <c r="J128" t="str">
        <f>"21/23"</f>
        <v>21/23</v>
      </c>
      <c r="K128" t="str">
        <f>"45/77"</f>
        <v>45/77</v>
      </c>
    </row>
    <row r="129" spans="3:11" x14ac:dyDescent="0.25">
      <c r="C129" t="s">
        <v>288</v>
      </c>
      <c r="D129" t="s">
        <v>348</v>
      </c>
      <c r="E129">
        <v>-1.1299999999999999</v>
      </c>
      <c r="F129">
        <v>2.54</v>
      </c>
      <c r="G129">
        <v>-1.0900000000000001</v>
      </c>
      <c r="I129" t="str">
        <f>"56/89"</f>
        <v>56/89</v>
      </c>
      <c r="J129" t="str">
        <f>"25/29"</f>
        <v>25/29</v>
      </c>
      <c r="K129" t="str">
        <f>"49/85"</f>
        <v>49/85</v>
      </c>
    </row>
    <row r="130" spans="3:11" x14ac:dyDescent="0.25">
      <c r="C130" t="s">
        <v>289</v>
      </c>
      <c r="D130" t="s">
        <v>349</v>
      </c>
      <c r="E130">
        <v>-0.66</v>
      </c>
      <c r="F130">
        <v>-0.04</v>
      </c>
      <c r="G130">
        <v>-1.25</v>
      </c>
      <c r="I130" t="str">
        <f>"27/53"</f>
        <v>27/53</v>
      </c>
      <c r="J130" t="str">
        <f>"41/86"</f>
        <v>41/86</v>
      </c>
      <c r="K130" t="str">
        <f>"71/185"</f>
        <v>71/185</v>
      </c>
    </row>
    <row r="131" spans="3:11" x14ac:dyDescent="0.25">
      <c r="C131" t="s">
        <v>290</v>
      </c>
      <c r="D131" t="s">
        <v>350</v>
      </c>
      <c r="E131">
        <v>-0.55000000000000004</v>
      </c>
      <c r="F131">
        <v>-0.16</v>
      </c>
      <c r="G131">
        <v>-1.72</v>
      </c>
      <c r="I131" t="str">
        <f>"26/52"</f>
        <v>26/52</v>
      </c>
      <c r="J131" t="str">
        <f>"39/84"</f>
        <v>39/84</v>
      </c>
      <c r="K131" t="str">
        <f>"71/185"</f>
        <v>71/185</v>
      </c>
    </row>
    <row r="132" spans="3:11" x14ac:dyDescent="0.25">
      <c r="C132" t="s">
        <v>291</v>
      </c>
      <c r="D132" t="s">
        <v>351</v>
      </c>
      <c r="E132">
        <v>-0.62</v>
      </c>
      <c r="F132">
        <v>-0.2</v>
      </c>
      <c r="G132">
        <v>-1.64</v>
      </c>
      <c r="I132" t="str">
        <f>"27/53"</f>
        <v>27/53</v>
      </c>
      <c r="J132" t="str">
        <f>"42/87"</f>
        <v>42/87</v>
      </c>
      <c r="K132" t="str">
        <f>"74/199"</f>
        <v>74/199</v>
      </c>
    </row>
    <row r="133" spans="3:11" x14ac:dyDescent="0.25">
      <c r="C133" t="s">
        <v>292</v>
      </c>
      <c r="D133" t="s">
        <v>352</v>
      </c>
      <c r="E133">
        <v>-0.66</v>
      </c>
      <c r="F133">
        <v>-0.12</v>
      </c>
      <c r="G133">
        <v>-1.74</v>
      </c>
      <c r="I133" t="str">
        <f>"27/53"</f>
        <v>27/53</v>
      </c>
      <c r="J133" t="str">
        <f>"40/85"</f>
        <v>40/85</v>
      </c>
      <c r="K133" t="str">
        <f>"69/182"</f>
        <v>69/182</v>
      </c>
    </row>
    <row r="134" spans="3:11" x14ac:dyDescent="0.25">
      <c r="C134" t="s">
        <v>293</v>
      </c>
      <c r="D134" t="s">
        <v>353</v>
      </c>
      <c r="E134">
        <v>-0.56000000000000005</v>
      </c>
      <c r="F134">
        <v>-0.11</v>
      </c>
      <c r="G134">
        <v>-1.91</v>
      </c>
      <c r="I134" t="str">
        <f>"26/52"</f>
        <v>26/52</v>
      </c>
      <c r="J134" t="str">
        <f>"39/84"</f>
        <v>39/84</v>
      </c>
      <c r="K134" t="str">
        <f>"71/185"</f>
        <v>71/185</v>
      </c>
    </row>
    <row r="135" spans="3:11" x14ac:dyDescent="0.25">
      <c r="C135" t="s">
        <v>294</v>
      </c>
      <c r="D135" t="s">
        <v>354</v>
      </c>
      <c r="E135">
        <v>-0.63</v>
      </c>
      <c r="F135">
        <v>-0.21</v>
      </c>
      <c r="G135">
        <v>-1.76</v>
      </c>
      <c r="I135" t="str">
        <f>"26/52"</f>
        <v>26/52</v>
      </c>
      <c r="J135" t="str">
        <f>"38/83"</f>
        <v>38/83</v>
      </c>
      <c r="K135" t="str">
        <f>"69/182"</f>
        <v>69/182</v>
      </c>
    </row>
    <row r="136" spans="3:11" x14ac:dyDescent="0.25">
      <c r="C136" t="s">
        <v>295</v>
      </c>
      <c r="D136" t="s">
        <v>355</v>
      </c>
      <c r="E136">
        <v>-0.8</v>
      </c>
      <c r="F136">
        <v>-0.12</v>
      </c>
      <c r="G136">
        <v>-1.67</v>
      </c>
      <c r="I136" t="str">
        <f>"26/52"</f>
        <v>26/52</v>
      </c>
      <c r="J136" t="str">
        <f>"39/84"</f>
        <v>39/84</v>
      </c>
      <c r="K136" t="str">
        <f>"71/185"</f>
        <v>71/185</v>
      </c>
    </row>
    <row r="137" spans="3:11" x14ac:dyDescent="0.25">
      <c r="C137" t="s">
        <v>296</v>
      </c>
      <c r="D137" t="s">
        <v>356</v>
      </c>
      <c r="E137">
        <v>-0.71</v>
      </c>
      <c r="F137">
        <v>-0.17</v>
      </c>
      <c r="G137">
        <v>-1.72</v>
      </c>
      <c r="I137" t="str">
        <f>"26/52"</f>
        <v>26/52</v>
      </c>
      <c r="J137" t="str">
        <f>"44/90"</f>
        <v>44/90</v>
      </c>
      <c r="K137" t="str">
        <f>"83/217"</f>
        <v>83/217</v>
      </c>
    </row>
    <row r="138" spans="3:11" x14ac:dyDescent="0.25">
      <c r="C138" t="s">
        <v>297</v>
      </c>
      <c r="D138" t="s">
        <v>357</v>
      </c>
      <c r="E138">
        <v>-0.78</v>
      </c>
      <c r="F138">
        <v>-0.16</v>
      </c>
      <c r="G138">
        <v>-1.72</v>
      </c>
      <c r="I138" t="str">
        <f>"27/53"</f>
        <v>27/53</v>
      </c>
      <c r="J138" t="str">
        <f>"40/85"</f>
        <v>40/85</v>
      </c>
      <c r="K138" t="str">
        <f>"69/182"</f>
        <v>69/182</v>
      </c>
    </row>
    <row r="139" spans="3:11" x14ac:dyDescent="0.25">
      <c r="C139" t="s">
        <v>298</v>
      </c>
      <c r="D139" t="s">
        <v>358</v>
      </c>
      <c r="E139">
        <v>-0.9</v>
      </c>
      <c r="F139">
        <v>-0.24</v>
      </c>
      <c r="G139">
        <v>-1.54</v>
      </c>
      <c r="I139" t="str">
        <f>"27/53"</f>
        <v>27/53</v>
      </c>
      <c r="J139" t="str">
        <f>"41/86"</f>
        <v>41/86</v>
      </c>
      <c r="K139" t="str">
        <f>"71/185"</f>
        <v>71/185</v>
      </c>
    </row>
    <row r="140" spans="3:11" x14ac:dyDescent="0.25">
      <c r="C140" t="s">
        <v>299</v>
      </c>
      <c r="D140" t="s">
        <v>359</v>
      </c>
      <c r="E140">
        <v>-0.7</v>
      </c>
      <c r="F140">
        <v>-0.11</v>
      </c>
      <c r="G140">
        <v>-1.87</v>
      </c>
      <c r="I140" t="str">
        <f>"26/52"</f>
        <v>26/52</v>
      </c>
      <c r="J140" t="str">
        <f>"38/83"</f>
        <v>38/83</v>
      </c>
      <c r="K140" t="str">
        <f>"69/182"</f>
        <v>69/182</v>
      </c>
    </row>
    <row r="141" spans="3:11" x14ac:dyDescent="0.25">
      <c r="C141" t="s">
        <v>300</v>
      </c>
      <c r="D141" t="s">
        <v>360</v>
      </c>
      <c r="E141">
        <v>-0.76</v>
      </c>
      <c r="F141">
        <v>-0.22</v>
      </c>
      <c r="G141">
        <v>-1.76</v>
      </c>
      <c r="I141" t="str">
        <f>"27/53"</f>
        <v>27/53</v>
      </c>
      <c r="J141" t="str">
        <f>"40/85"</f>
        <v>40/85</v>
      </c>
      <c r="K141" t="str">
        <f>"69/182"</f>
        <v>69/182</v>
      </c>
    </row>
    <row r="142" spans="3:11" x14ac:dyDescent="0.25">
      <c r="C142" t="s">
        <v>301</v>
      </c>
      <c r="D142" t="s">
        <v>361</v>
      </c>
      <c r="E142">
        <v>-0.81</v>
      </c>
      <c r="F142">
        <v>-0.26</v>
      </c>
      <c r="G142">
        <v>-1.75</v>
      </c>
      <c r="I142" t="str">
        <f>"34/60"</f>
        <v>34/60</v>
      </c>
      <c r="J142" t="str">
        <f>"44/92"</f>
        <v>44/92</v>
      </c>
      <c r="K142" t="str">
        <f>"78/205"</f>
        <v>78/205</v>
      </c>
    </row>
    <row r="143" spans="3:11" x14ac:dyDescent="0.25">
      <c r="C143" t="s">
        <v>45</v>
      </c>
      <c r="D143" t="s">
        <v>362</v>
      </c>
      <c r="K143" t="s">
        <v>160</v>
      </c>
    </row>
    <row r="145" spans="3:11" x14ac:dyDescent="0.25">
      <c r="C145" t="s">
        <v>110</v>
      </c>
      <c r="F145" t="s">
        <v>286</v>
      </c>
      <c r="J145" t="s">
        <v>6</v>
      </c>
    </row>
    <row r="146" spans="3:11" x14ac:dyDescent="0.25">
      <c r="D146" t="s">
        <v>7</v>
      </c>
      <c r="E146" t="s">
        <v>8</v>
      </c>
      <c r="F146" t="s">
        <v>9</v>
      </c>
      <c r="G146" t="s">
        <v>10</v>
      </c>
      <c r="I146" t="s">
        <v>8</v>
      </c>
      <c r="J146" t="s">
        <v>9</v>
      </c>
      <c r="K146" t="s">
        <v>10</v>
      </c>
    </row>
    <row r="147" spans="3:11" x14ac:dyDescent="0.25">
      <c r="C147" t="s">
        <v>287</v>
      </c>
      <c r="D147" t="s">
        <v>162</v>
      </c>
      <c r="E147">
        <v>-0.65</v>
      </c>
      <c r="F147">
        <v>-0.62</v>
      </c>
      <c r="G147">
        <v>2.09</v>
      </c>
      <c r="I147" t="str">
        <f>"40/40"</f>
        <v>40/40</v>
      </c>
      <c r="J147" t="str">
        <f>"40/46"</f>
        <v>40/46</v>
      </c>
      <c r="K147" t="str">
        <f>"123/141"</f>
        <v>123/141</v>
      </c>
    </row>
    <row r="148" spans="3:11" x14ac:dyDescent="0.25">
      <c r="C148" t="s">
        <v>288</v>
      </c>
      <c r="D148" t="s">
        <v>363</v>
      </c>
      <c r="E148">
        <v>-0.57999999999999996</v>
      </c>
      <c r="F148">
        <v>-0.62</v>
      </c>
      <c r="G148">
        <v>1.26</v>
      </c>
      <c r="I148" t="str">
        <f>"103/237"</f>
        <v>103/237</v>
      </c>
      <c r="J148" t="str">
        <f>"65/112"</f>
        <v>65/112</v>
      </c>
      <c r="K148" t="str">
        <f>"117/315"</f>
        <v>117/315</v>
      </c>
    </row>
    <row r="149" spans="3:11" x14ac:dyDescent="0.25">
      <c r="C149" t="s">
        <v>289</v>
      </c>
      <c r="D149" t="s">
        <v>364</v>
      </c>
      <c r="E149">
        <v>-0.86</v>
      </c>
      <c r="F149">
        <v>-1.04</v>
      </c>
      <c r="G149">
        <v>-0.36</v>
      </c>
      <c r="I149" t="str">
        <f>"33/69"</f>
        <v>33/69</v>
      </c>
      <c r="J149" t="str">
        <f>"47/110"</f>
        <v>47/110</v>
      </c>
      <c r="K149" t="str">
        <f>"88/298"</f>
        <v>88/298</v>
      </c>
    </row>
    <row r="150" spans="3:11" x14ac:dyDescent="0.25">
      <c r="C150" t="s">
        <v>45</v>
      </c>
      <c r="D150" t="s">
        <v>365</v>
      </c>
      <c r="K150" t="s">
        <v>167</v>
      </c>
    </row>
    <row r="152" spans="3:11" x14ac:dyDescent="0.25">
      <c r="C152" t="s">
        <v>119</v>
      </c>
      <c r="F152" t="s">
        <v>286</v>
      </c>
      <c r="J152" t="s">
        <v>6</v>
      </c>
    </row>
    <row r="153" spans="3:11" x14ac:dyDescent="0.25">
      <c r="D153" t="s">
        <v>7</v>
      </c>
      <c r="E153" t="s">
        <v>8</v>
      </c>
      <c r="F153" t="s">
        <v>9</v>
      </c>
      <c r="G153" t="s">
        <v>10</v>
      </c>
      <c r="I153" t="s">
        <v>8</v>
      </c>
      <c r="J153" t="s">
        <v>9</v>
      </c>
      <c r="K153" t="s">
        <v>10</v>
      </c>
    </row>
    <row r="154" spans="3:11" x14ac:dyDescent="0.25">
      <c r="C154" t="s">
        <v>287</v>
      </c>
      <c r="D154" t="s">
        <v>366</v>
      </c>
      <c r="E154">
        <v>5.75</v>
      </c>
      <c r="F154">
        <v>-1.29</v>
      </c>
      <c r="G154">
        <v>-1</v>
      </c>
      <c r="I154" t="str">
        <f>"114/502"</f>
        <v>114/502</v>
      </c>
      <c r="J154" t="str">
        <f>"55/84"</f>
        <v>55/84</v>
      </c>
      <c r="K154" t="str">
        <f>"105/145"</f>
        <v>105/145</v>
      </c>
    </row>
    <row r="155" spans="3:11" x14ac:dyDescent="0.25">
      <c r="C155" t="s">
        <v>288</v>
      </c>
      <c r="D155" t="s">
        <v>367</v>
      </c>
      <c r="E155">
        <v>4.66</v>
      </c>
      <c r="F155">
        <v>-0.52</v>
      </c>
      <c r="G155">
        <v>-0.78</v>
      </c>
      <c r="I155" t="str">
        <f>"52/208"</f>
        <v>52/208</v>
      </c>
      <c r="J155" t="str">
        <f>"11/17"</f>
        <v>11/17</v>
      </c>
      <c r="K155" t="str">
        <f>"31/51"</f>
        <v>31/51</v>
      </c>
    </row>
    <row r="156" spans="3:11" x14ac:dyDescent="0.25">
      <c r="C156" t="s">
        <v>289</v>
      </c>
      <c r="D156" t="s">
        <v>368</v>
      </c>
      <c r="E156">
        <v>3.86</v>
      </c>
      <c r="F156">
        <v>-0.5</v>
      </c>
      <c r="G156">
        <v>-1.51</v>
      </c>
      <c r="I156" t="str">
        <f>"139/352"</f>
        <v>139/352</v>
      </c>
      <c r="J156" t="str">
        <f>"207/318"</f>
        <v>207/318</v>
      </c>
      <c r="K156" t="str">
        <f>"227/557"</f>
        <v>227/557</v>
      </c>
    </row>
    <row r="157" spans="3:11" x14ac:dyDescent="0.25">
      <c r="C157" t="s">
        <v>290</v>
      </c>
      <c r="D157" t="s">
        <v>369</v>
      </c>
      <c r="E157">
        <v>3.81</v>
      </c>
      <c r="F157">
        <v>-1.7</v>
      </c>
      <c r="G157">
        <v>-0.66</v>
      </c>
      <c r="I157" t="str">
        <f>"114/242"</f>
        <v>114/242</v>
      </c>
      <c r="J157" t="str">
        <f>"133/197"</f>
        <v>133/197</v>
      </c>
      <c r="K157" t="str">
        <f>"225/419"</f>
        <v>225/419</v>
      </c>
    </row>
    <row r="158" spans="3:11" x14ac:dyDescent="0.25">
      <c r="C158" t="s">
        <v>291</v>
      </c>
      <c r="D158" t="s">
        <v>370</v>
      </c>
      <c r="E158">
        <v>3.43</v>
      </c>
      <c r="F158">
        <v>-1.39</v>
      </c>
      <c r="G158">
        <v>-0.95</v>
      </c>
      <c r="I158" t="str">
        <f>"101/220"</f>
        <v>101/220</v>
      </c>
      <c r="J158" t="str">
        <f>"114/168"</f>
        <v>114/168</v>
      </c>
      <c r="K158" t="str">
        <f>"190/374"</f>
        <v>190/374</v>
      </c>
    </row>
    <row r="159" spans="3:11" x14ac:dyDescent="0.25">
      <c r="C159" t="s">
        <v>292</v>
      </c>
      <c r="D159" t="s">
        <v>371</v>
      </c>
      <c r="E159">
        <v>3.17</v>
      </c>
      <c r="F159">
        <v>-1.1299999999999999</v>
      </c>
      <c r="G159">
        <v>-1.42</v>
      </c>
      <c r="I159" t="str">
        <f>"125/254"</f>
        <v>125/254</v>
      </c>
      <c r="J159" t="str">
        <f>"150/212"</f>
        <v>150/212</v>
      </c>
      <c r="K159" t="str">
        <f>"310/510"</f>
        <v>310/510</v>
      </c>
    </row>
    <row r="160" spans="3:11" x14ac:dyDescent="0.25">
      <c r="C160" t="s">
        <v>293</v>
      </c>
      <c r="D160" t="s">
        <v>372</v>
      </c>
      <c r="E160">
        <v>2.9</v>
      </c>
      <c r="F160">
        <v>-0.9</v>
      </c>
      <c r="G160">
        <v>-1.83</v>
      </c>
      <c r="I160" t="str">
        <f>"93/152"</f>
        <v>93/152</v>
      </c>
      <c r="J160" t="str">
        <f>"39/54"</f>
        <v>39/54</v>
      </c>
      <c r="K160" t="str">
        <f>"119/145"</f>
        <v>119/145</v>
      </c>
    </row>
    <row r="161" spans="2:11" x14ac:dyDescent="0.25">
      <c r="C161" t="s">
        <v>294</v>
      </c>
      <c r="D161" t="s">
        <v>373</v>
      </c>
      <c r="E161">
        <v>-0.2</v>
      </c>
      <c r="F161">
        <v>-0.54</v>
      </c>
      <c r="G161">
        <v>-0.7</v>
      </c>
      <c r="I161" t="str">
        <f>"18/16"</f>
        <v>18/16</v>
      </c>
      <c r="J161" t="str">
        <f>"24/40"</f>
        <v>24/40</v>
      </c>
      <c r="K161" t="str">
        <f>"48/106"</f>
        <v>48/106</v>
      </c>
    </row>
    <row r="162" spans="2:11" x14ac:dyDescent="0.25">
      <c r="C162" t="s">
        <v>295</v>
      </c>
      <c r="D162" t="s">
        <v>374</v>
      </c>
      <c r="E162">
        <v>0.44</v>
      </c>
      <c r="F162">
        <v>-0.79</v>
      </c>
      <c r="G162">
        <v>-1.88</v>
      </c>
      <c r="I162" t="str">
        <f>"33/67"</f>
        <v>33/67</v>
      </c>
      <c r="J162" t="str">
        <f>"54/107"</f>
        <v>54/107</v>
      </c>
      <c r="K162" t="str">
        <f>"107/271"</f>
        <v>107/271</v>
      </c>
    </row>
    <row r="163" spans="2:11" x14ac:dyDescent="0.25">
      <c r="C163" t="s">
        <v>296</v>
      </c>
      <c r="D163" t="s">
        <v>375</v>
      </c>
      <c r="E163">
        <v>-0.38</v>
      </c>
      <c r="F163">
        <v>-0.57999999999999996</v>
      </c>
      <c r="G163">
        <v>-2.11</v>
      </c>
      <c r="I163" t="str">
        <f>"23/45"</f>
        <v>23/45</v>
      </c>
      <c r="J163" t="str">
        <f>"26/53"</f>
        <v>26/53</v>
      </c>
      <c r="K163" t="str">
        <f>"66/173"</f>
        <v>66/173</v>
      </c>
    </row>
    <row r="164" spans="2:11" x14ac:dyDescent="0.25">
      <c r="C164" t="s">
        <v>45</v>
      </c>
      <c r="D164" t="s">
        <v>376</v>
      </c>
      <c r="K164" t="s">
        <v>179</v>
      </c>
    </row>
    <row r="166" spans="2:11" x14ac:dyDescent="0.25">
      <c r="B166" t="s">
        <v>140</v>
      </c>
      <c r="C166" t="s">
        <v>337</v>
      </c>
    </row>
    <row r="168" spans="2:11" x14ac:dyDescent="0.25">
      <c r="C168" t="s">
        <v>4</v>
      </c>
      <c r="F168" t="s">
        <v>286</v>
      </c>
      <c r="J168" t="s">
        <v>6</v>
      </c>
    </row>
    <row r="169" spans="2:11" x14ac:dyDescent="0.25">
      <c r="D169" t="s">
        <v>7</v>
      </c>
      <c r="E169" t="s">
        <v>8</v>
      </c>
      <c r="F169" t="s">
        <v>9</v>
      </c>
      <c r="G169" t="s">
        <v>10</v>
      </c>
      <c r="I169" t="s">
        <v>8</v>
      </c>
      <c r="J169" t="s">
        <v>9</v>
      </c>
      <c r="K169" t="s">
        <v>10</v>
      </c>
    </row>
    <row r="170" spans="2:11" x14ac:dyDescent="0.25">
      <c r="C170" t="s">
        <v>45</v>
      </c>
      <c r="D170" t="s">
        <v>142</v>
      </c>
      <c r="K170" t="s">
        <v>154</v>
      </c>
    </row>
    <row r="172" spans="2:11" x14ac:dyDescent="0.25">
      <c r="C172" t="s">
        <v>48</v>
      </c>
      <c r="F172" t="s">
        <v>286</v>
      </c>
      <c r="J172" t="s">
        <v>6</v>
      </c>
    </row>
    <row r="173" spans="2:11" x14ac:dyDescent="0.25">
      <c r="D173" t="s">
        <v>7</v>
      </c>
      <c r="E173" t="s">
        <v>8</v>
      </c>
      <c r="F173" t="s">
        <v>9</v>
      </c>
      <c r="G173" t="s">
        <v>10</v>
      </c>
      <c r="I173" t="s">
        <v>8</v>
      </c>
      <c r="J173" t="s">
        <v>9</v>
      </c>
      <c r="K173" t="s">
        <v>10</v>
      </c>
    </row>
    <row r="174" spans="2:11" x14ac:dyDescent="0.25">
      <c r="C174" t="s">
        <v>45</v>
      </c>
      <c r="D174" t="s">
        <v>142</v>
      </c>
      <c r="K174" t="s">
        <v>160</v>
      </c>
    </row>
    <row r="176" spans="2:11" x14ac:dyDescent="0.25">
      <c r="C176" t="s">
        <v>110</v>
      </c>
      <c r="F176" t="s">
        <v>286</v>
      </c>
      <c r="J176" t="s">
        <v>6</v>
      </c>
    </row>
    <row r="177" spans="2:11" x14ac:dyDescent="0.25">
      <c r="D177" t="s">
        <v>7</v>
      </c>
      <c r="E177" t="s">
        <v>8</v>
      </c>
      <c r="F177" t="s">
        <v>9</v>
      </c>
      <c r="G177" t="s">
        <v>10</v>
      </c>
      <c r="I177" t="s">
        <v>8</v>
      </c>
      <c r="J177" t="s">
        <v>9</v>
      </c>
      <c r="K177" t="s">
        <v>10</v>
      </c>
    </row>
    <row r="178" spans="2:11" x14ac:dyDescent="0.25">
      <c r="C178" t="s">
        <v>45</v>
      </c>
      <c r="D178" t="s">
        <v>142</v>
      </c>
      <c r="K178" t="s">
        <v>167</v>
      </c>
    </row>
    <row r="180" spans="2:11" x14ac:dyDescent="0.25">
      <c r="C180" t="s">
        <v>119</v>
      </c>
      <c r="F180" t="s">
        <v>286</v>
      </c>
      <c r="J180" t="s">
        <v>6</v>
      </c>
    </row>
    <row r="181" spans="2:11" x14ac:dyDescent="0.25">
      <c r="D181" t="s">
        <v>7</v>
      </c>
      <c r="E181" t="s">
        <v>8</v>
      </c>
      <c r="F181" t="s">
        <v>9</v>
      </c>
      <c r="G181" t="s">
        <v>10</v>
      </c>
      <c r="I181" t="s">
        <v>8</v>
      </c>
      <c r="J181" t="s">
        <v>9</v>
      </c>
      <c r="K181" t="s">
        <v>10</v>
      </c>
    </row>
    <row r="182" spans="2:11" x14ac:dyDescent="0.25">
      <c r="C182" t="s">
        <v>45</v>
      </c>
      <c r="D182" t="s">
        <v>142</v>
      </c>
      <c r="K182" t="s">
        <v>179</v>
      </c>
    </row>
    <row r="184" spans="2:11" x14ac:dyDescent="0.25">
      <c r="B184" t="s">
        <v>143</v>
      </c>
      <c r="C184" t="s">
        <v>338</v>
      </c>
    </row>
    <row r="186" spans="2:11" x14ac:dyDescent="0.25">
      <c r="C186" t="s">
        <v>4</v>
      </c>
      <c r="F186" t="s">
        <v>286</v>
      </c>
      <c r="J186" t="s">
        <v>6</v>
      </c>
    </row>
    <row r="187" spans="2:11" x14ac:dyDescent="0.25">
      <c r="D187" t="s">
        <v>7</v>
      </c>
      <c r="E187" t="s">
        <v>8</v>
      </c>
      <c r="F187" t="s">
        <v>9</v>
      </c>
      <c r="G187" t="s">
        <v>10</v>
      </c>
      <c r="I187" t="s">
        <v>8</v>
      </c>
      <c r="J187" t="s">
        <v>9</v>
      </c>
      <c r="K187" t="s">
        <v>10</v>
      </c>
    </row>
    <row r="188" spans="2:11" x14ac:dyDescent="0.25">
      <c r="C188" t="s">
        <v>45</v>
      </c>
      <c r="D188" t="s">
        <v>142</v>
      </c>
      <c r="K188" t="s">
        <v>154</v>
      </c>
    </row>
    <row r="190" spans="2:11" x14ac:dyDescent="0.25">
      <c r="C190" t="s">
        <v>48</v>
      </c>
      <c r="F190" t="s">
        <v>286</v>
      </c>
      <c r="J190" t="s">
        <v>6</v>
      </c>
    </row>
    <row r="191" spans="2:11" x14ac:dyDescent="0.25">
      <c r="D191" t="s">
        <v>7</v>
      </c>
      <c r="E191" t="s">
        <v>8</v>
      </c>
      <c r="F191" t="s">
        <v>9</v>
      </c>
      <c r="G191" t="s">
        <v>10</v>
      </c>
      <c r="I191" t="s">
        <v>8</v>
      </c>
      <c r="J191" t="s">
        <v>9</v>
      </c>
      <c r="K191" t="s">
        <v>10</v>
      </c>
    </row>
    <row r="192" spans="2:11" x14ac:dyDescent="0.25">
      <c r="C192" t="s">
        <v>45</v>
      </c>
      <c r="D192" t="s">
        <v>142</v>
      </c>
      <c r="K192" t="s">
        <v>160</v>
      </c>
    </row>
    <row r="194" spans="3:11" x14ac:dyDescent="0.25">
      <c r="C194" t="s">
        <v>110</v>
      </c>
      <c r="F194" t="s">
        <v>286</v>
      </c>
      <c r="J194" t="s">
        <v>6</v>
      </c>
    </row>
    <row r="195" spans="3:11" x14ac:dyDescent="0.25">
      <c r="D195" t="s">
        <v>7</v>
      </c>
      <c r="E195" t="s">
        <v>8</v>
      </c>
      <c r="F195" t="s">
        <v>9</v>
      </c>
      <c r="G195" t="s">
        <v>10</v>
      </c>
      <c r="I195" t="s">
        <v>8</v>
      </c>
      <c r="J195" t="s">
        <v>9</v>
      </c>
      <c r="K195" t="s">
        <v>10</v>
      </c>
    </row>
    <row r="196" spans="3:11" x14ac:dyDescent="0.25">
      <c r="C196" t="s">
        <v>45</v>
      </c>
      <c r="D196" t="s">
        <v>142</v>
      </c>
      <c r="K196" t="s">
        <v>167</v>
      </c>
    </row>
    <row r="198" spans="3:11" x14ac:dyDescent="0.25">
      <c r="C198" t="s">
        <v>119</v>
      </c>
      <c r="F198" t="s">
        <v>286</v>
      </c>
      <c r="J198" t="s">
        <v>6</v>
      </c>
    </row>
    <row r="199" spans="3:11" x14ac:dyDescent="0.25">
      <c r="D199" t="s">
        <v>7</v>
      </c>
      <c r="E199" t="s">
        <v>8</v>
      </c>
      <c r="F199" t="s">
        <v>9</v>
      </c>
      <c r="G199" t="s">
        <v>10</v>
      </c>
      <c r="I199" t="s">
        <v>8</v>
      </c>
      <c r="J199" t="s">
        <v>9</v>
      </c>
      <c r="K199" t="s">
        <v>10</v>
      </c>
    </row>
    <row r="200" spans="3:11" x14ac:dyDescent="0.25">
      <c r="C200" t="s">
        <v>45</v>
      </c>
      <c r="D200" t="s">
        <v>142</v>
      </c>
      <c r="K200" t="s">
        <v>179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workbookViewId="0">
      <selection activeCell="N20" sqref="N20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69.7109375" bestFit="1" customWidth="1"/>
    <col min="5" max="5" width="5.7109375" bestFit="1" customWidth="1"/>
    <col min="6" max="6" width="9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377</v>
      </c>
    </row>
    <row r="3" spans="1:11" x14ac:dyDescent="0.25">
      <c r="B3" t="s">
        <v>2</v>
      </c>
      <c r="C3" t="s">
        <v>378</v>
      </c>
    </row>
    <row r="5" spans="1:11" x14ac:dyDescent="0.25">
      <c r="C5" t="s">
        <v>4</v>
      </c>
      <c r="F5" t="s">
        <v>379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380</v>
      </c>
      <c r="D7" t="s">
        <v>12</v>
      </c>
      <c r="E7">
        <v>6.03</v>
      </c>
      <c r="F7">
        <v>6.57</v>
      </c>
      <c r="G7">
        <v>6.51</v>
      </c>
      <c r="I7" t="str">
        <f>"296/2839"</f>
        <v>296/2839</v>
      </c>
      <c r="J7" t="str">
        <f>"158/389"</f>
        <v>158/389</v>
      </c>
      <c r="K7" t="str">
        <f>"302/2108"</f>
        <v>302/2108</v>
      </c>
    </row>
    <row r="8" spans="1:11" x14ac:dyDescent="0.25">
      <c r="C8" t="s">
        <v>381</v>
      </c>
      <c r="D8" t="s">
        <v>36</v>
      </c>
      <c r="E8">
        <v>6.08</v>
      </c>
      <c r="F8">
        <v>5.88</v>
      </c>
      <c r="G8">
        <v>6.59</v>
      </c>
      <c r="I8" t="str">
        <f>"144/1184"</f>
        <v>144/1184</v>
      </c>
      <c r="J8" t="str">
        <f>"88/245"</f>
        <v>88/245</v>
      </c>
      <c r="K8" t="str">
        <f>"169/1046"</f>
        <v>169/1046</v>
      </c>
    </row>
    <row r="9" spans="1:11" x14ac:dyDescent="0.25">
      <c r="C9" t="s">
        <v>382</v>
      </c>
      <c r="D9" t="s">
        <v>18</v>
      </c>
      <c r="E9">
        <v>6.86</v>
      </c>
      <c r="F9">
        <v>5.47</v>
      </c>
      <c r="G9">
        <v>6.01</v>
      </c>
      <c r="I9" t="str">
        <f>"346/3422"</f>
        <v>346/3422</v>
      </c>
      <c r="J9" t="str">
        <f>"269/899"</f>
        <v>269/899</v>
      </c>
      <c r="K9" t="str">
        <f>"593/3055"</f>
        <v>593/3055</v>
      </c>
    </row>
    <row r="10" spans="1:11" x14ac:dyDescent="0.25">
      <c r="C10" t="s">
        <v>383</v>
      </c>
      <c r="D10" t="s">
        <v>16</v>
      </c>
      <c r="E10">
        <v>6.93</v>
      </c>
      <c r="F10">
        <v>5.34</v>
      </c>
      <c r="G10">
        <v>5.96</v>
      </c>
      <c r="I10" t="str">
        <f>"344/6322"</f>
        <v>344/6322</v>
      </c>
      <c r="J10" t="str">
        <f>"184/897"</f>
        <v>184/897</v>
      </c>
      <c r="K10" t="str">
        <f>"381/2595"</f>
        <v>381/2595</v>
      </c>
    </row>
    <row r="11" spans="1:11" x14ac:dyDescent="0.25">
      <c r="C11" t="s">
        <v>384</v>
      </c>
      <c r="D11" t="s">
        <v>50</v>
      </c>
      <c r="E11">
        <v>6.41</v>
      </c>
      <c r="F11">
        <v>5.32</v>
      </c>
      <c r="G11">
        <v>6.45</v>
      </c>
      <c r="I11" t="str">
        <f>"141/1179"</f>
        <v>141/1179</v>
      </c>
      <c r="J11" t="str">
        <f>"87/244"</f>
        <v>87/244</v>
      </c>
      <c r="K11" t="str">
        <f>"154/983"</f>
        <v>154/983</v>
      </c>
    </row>
    <row r="12" spans="1:11" x14ac:dyDescent="0.25">
      <c r="C12" t="s">
        <v>385</v>
      </c>
      <c r="D12" t="s">
        <v>54</v>
      </c>
      <c r="E12">
        <v>6.27</v>
      </c>
      <c r="F12">
        <v>5.35</v>
      </c>
      <c r="G12">
        <v>6.36</v>
      </c>
      <c r="I12" t="str">
        <f>"628/4683"</f>
        <v>628/4683</v>
      </c>
      <c r="J12" t="str">
        <f>"528/1714"</f>
        <v>528/1714</v>
      </c>
      <c r="K12" t="str">
        <f>"973/5229"</f>
        <v>973/5229</v>
      </c>
    </row>
    <row r="13" spans="1:11" x14ac:dyDescent="0.25">
      <c r="C13" t="s">
        <v>386</v>
      </c>
      <c r="D13" t="s">
        <v>14</v>
      </c>
      <c r="E13">
        <v>6.88</v>
      </c>
      <c r="F13">
        <v>5.29</v>
      </c>
      <c r="G13">
        <v>5.6</v>
      </c>
      <c r="I13" t="str">
        <f>"339/6300"</f>
        <v>339/6300</v>
      </c>
      <c r="J13" t="str">
        <f>"172/883"</f>
        <v>172/883</v>
      </c>
      <c r="K13" t="str">
        <f>"369/2568"</f>
        <v>369/2568</v>
      </c>
    </row>
    <row r="14" spans="1:11" x14ac:dyDescent="0.25">
      <c r="C14" t="s">
        <v>45</v>
      </c>
      <c r="D14" t="s">
        <v>387</v>
      </c>
      <c r="K14" t="s">
        <v>47</v>
      </c>
    </row>
    <row r="16" spans="1:11" x14ac:dyDescent="0.25">
      <c r="C16" t="s">
        <v>48</v>
      </c>
      <c r="F16" t="s">
        <v>379</v>
      </c>
      <c r="J16" t="s">
        <v>6</v>
      </c>
    </row>
    <row r="17" spans="3:11" x14ac:dyDescent="0.25">
      <c r="D17" t="s">
        <v>7</v>
      </c>
      <c r="E17" t="s">
        <v>8</v>
      </c>
      <c r="F17" t="s">
        <v>9</v>
      </c>
      <c r="G17" t="s">
        <v>10</v>
      </c>
      <c r="I17" t="s">
        <v>8</v>
      </c>
      <c r="J17" t="s">
        <v>9</v>
      </c>
      <c r="K17" t="s">
        <v>10</v>
      </c>
    </row>
    <row r="18" spans="3:11" x14ac:dyDescent="0.25">
      <c r="C18" t="s">
        <v>380</v>
      </c>
      <c r="D18" t="s">
        <v>24</v>
      </c>
      <c r="E18">
        <v>6.76</v>
      </c>
      <c r="F18">
        <v>4.96</v>
      </c>
      <c r="G18">
        <v>5.55</v>
      </c>
      <c r="I18" t="str">
        <f>"346/3422"</f>
        <v>346/3422</v>
      </c>
      <c r="J18" t="str">
        <f>"267/896"</f>
        <v>267/896</v>
      </c>
      <c r="K18" t="str">
        <f>"591/3051"</f>
        <v>591/3051</v>
      </c>
    </row>
    <row r="19" spans="3:11" x14ac:dyDescent="0.25">
      <c r="C19" t="s">
        <v>381</v>
      </c>
      <c r="D19" t="s">
        <v>388</v>
      </c>
      <c r="E19">
        <v>6.32</v>
      </c>
      <c r="F19">
        <v>4.58</v>
      </c>
      <c r="G19">
        <v>6.28</v>
      </c>
      <c r="I19" t="str">
        <f>"243/1653"</f>
        <v>243/1653</v>
      </c>
      <c r="J19" t="str">
        <f>"150/373"</f>
        <v>150/373</v>
      </c>
      <c r="K19" t="str">
        <f>"392/1784"</f>
        <v>392/1784</v>
      </c>
    </row>
    <row r="20" spans="3:11" x14ac:dyDescent="0.25">
      <c r="C20" t="s">
        <v>382</v>
      </c>
      <c r="D20" t="s">
        <v>20</v>
      </c>
      <c r="E20">
        <v>6.85</v>
      </c>
      <c r="F20">
        <v>4.92</v>
      </c>
      <c r="G20">
        <v>5.37</v>
      </c>
      <c r="I20" t="str">
        <f>"366/6346"</f>
        <v>366/6346</v>
      </c>
      <c r="J20" t="str">
        <f>"226/947"</f>
        <v>226/947</v>
      </c>
      <c r="K20" t="str">
        <f>"473/2810"</f>
        <v>473/2810</v>
      </c>
    </row>
    <row r="21" spans="3:11" x14ac:dyDescent="0.25">
      <c r="C21" t="s">
        <v>383</v>
      </c>
      <c r="D21" t="s">
        <v>63</v>
      </c>
      <c r="E21">
        <v>6.61</v>
      </c>
      <c r="F21">
        <v>3.58</v>
      </c>
      <c r="G21">
        <v>6.11</v>
      </c>
      <c r="I21" t="str">
        <f>"599/4405"</f>
        <v>599/4405</v>
      </c>
      <c r="J21" t="str">
        <f>"444/1217"</f>
        <v>444/1217</v>
      </c>
      <c r="K21" t="str">
        <f>"890/4301"</f>
        <v>890/4301</v>
      </c>
    </row>
    <row r="22" spans="3:11" x14ac:dyDescent="0.25">
      <c r="C22" t="s">
        <v>384</v>
      </c>
      <c r="D22" t="s">
        <v>69</v>
      </c>
      <c r="E22">
        <v>6.19</v>
      </c>
      <c r="F22">
        <v>2.39</v>
      </c>
      <c r="G22">
        <v>6.58</v>
      </c>
      <c r="I22" t="str">
        <f>"625/3536"</f>
        <v>625/3536</v>
      </c>
      <c r="J22" t="str">
        <f>"479/1165"</f>
        <v>479/1165</v>
      </c>
      <c r="K22" t="str">
        <f>"920/4036"</f>
        <v>920/4036</v>
      </c>
    </row>
    <row r="23" spans="3:11" x14ac:dyDescent="0.25">
      <c r="C23" t="s">
        <v>385</v>
      </c>
      <c r="D23" t="s">
        <v>114</v>
      </c>
      <c r="E23">
        <v>6.53</v>
      </c>
      <c r="F23">
        <v>2.12</v>
      </c>
      <c r="G23">
        <v>5.55</v>
      </c>
      <c r="I23" t="str">
        <f>"391/2915"</f>
        <v>391/2915</v>
      </c>
      <c r="J23" t="str">
        <f>"275/849"</f>
        <v>275/849</v>
      </c>
      <c r="K23" t="str">
        <f>"524/2715"</f>
        <v>524/2715</v>
      </c>
    </row>
    <row r="24" spans="3:11" x14ac:dyDescent="0.25">
      <c r="C24" t="s">
        <v>45</v>
      </c>
      <c r="D24" t="s">
        <v>389</v>
      </c>
      <c r="K24" t="s">
        <v>109</v>
      </c>
    </row>
    <row r="26" spans="3:11" x14ac:dyDescent="0.25">
      <c r="C26" t="s">
        <v>110</v>
      </c>
      <c r="F26" t="s">
        <v>379</v>
      </c>
      <c r="J26" t="s">
        <v>6</v>
      </c>
    </row>
    <row r="27" spans="3:11" x14ac:dyDescent="0.25">
      <c r="D27" t="s">
        <v>7</v>
      </c>
      <c r="E27" t="s">
        <v>8</v>
      </c>
      <c r="F27" t="s">
        <v>9</v>
      </c>
      <c r="G27" t="s">
        <v>10</v>
      </c>
      <c r="I27" t="s">
        <v>8</v>
      </c>
      <c r="J27" t="s">
        <v>9</v>
      </c>
      <c r="K27" t="s">
        <v>10</v>
      </c>
    </row>
    <row r="28" spans="3:11" x14ac:dyDescent="0.25">
      <c r="C28" t="s">
        <v>380</v>
      </c>
      <c r="D28" t="s">
        <v>62</v>
      </c>
      <c r="E28">
        <v>6.3</v>
      </c>
      <c r="F28">
        <v>5.35</v>
      </c>
      <c r="G28">
        <v>4.4800000000000004</v>
      </c>
      <c r="I28" t="str">
        <f>"480/3310"</f>
        <v>480/3310</v>
      </c>
      <c r="J28" t="str">
        <f>"370/995"</f>
        <v>370/995</v>
      </c>
      <c r="K28" t="str">
        <f>"650/2628"</f>
        <v>650/2628</v>
      </c>
    </row>
    <row r="29" spans="3:11" x14ac:dyDescent="0.25">
      <c r="C29" t="s">
        <v>381</v>
      </c>
      <c r="D29" t="s">
        <v>53</v>
      </c>
      <c r="E29">
        <v>6.09</v>
      </c>
      <c r="F29">
        <v>5.34</v>
      </c>
      <c r="G29">
        <v>4.2699999999999996</v>
      </c>
      <c r="I29" t="str">
        <f>"299/1876"</f>
        <v>299/1876</v>
      </c>
      <c r="J29" t="str">
        <f>"185/375"</f>
        <v>185/375</v>
      </c>
      <c r="K29" t="str">
        <f>"400/1980"</f>
        <v>400/1980</v>
      </c>
    </row>
    <row r="30" spans="3:11" x14ac:dyDescent="0.25">
      <c r="C30" t="s">
        <v>45</v>
      </c>
      <c r="D30" t="s">
        <v>390</v>
      </c>
      <c r="K30" t="s">
        <v>118</v>
      </c>
    </row>
    <row r="32" spans="3:11" x14ac:dyDescent="0.25">
      <c r="C32" t="s">
        <v>119</v>
      </c>
      <c r="F32" t="s">
        <v>379</v>
      </c>
      <c r="J32" t="s">
        <v>6</v>
      </c>
    </row>
    <row r="33" spans="3:11" x14ac:dyDescent="0.25">
      <c r="D33" t="s">
        <v>7</v>
      </c>
      <c r="E33" t="s">
        <v>8</v>
      </c>
      <c r="F33" t="s">
        <v>9</v>
      </c>
      <c r="G33" t="s">
        <v>10</v>
      </c>
      <c r="I33" t="s">
        <v>8</v>
      </c>
      <c r="J33" t="s">
        <v>9</v>
      </c>
      <c r="K33" t="s">
        <v>10</v>
      </c>
    </row>
    <row r="34" spans="3:11" x14ac:dyDescent="0.25">
      <c r="C34" t="s">
        <v>380</v>
      </c>
      <c r="D34" t="s">
        <v>26</v>
      </c>
      <c r="E34">
        <v>5.46</v>
      </c>
      <c r="F34">
        <v>6.35</v>
      </c>
      <c r="G34">
        <v>6.36</v>
      </c>
      <c r="I34" t="str">
        <f>"452/1721"</f>
        <v>452/1721</v>
      </c>
      <c r="J34" t="str">
        <f>"430/1832"</f>
        <v>430/1832</v>
      </c>
      <c r="K34" t="str">
        <f>"839/3131"</f>
        <v>839/3131</v>
      </c>
    </row>
    <row r="35" spans="3:11" x14ac:dyDescent="0.25">
      <c r="C35" t="s">
        <v>381</v>
      </c>
      <c r="D35" t="s">
        <v>127</v>
      </c>
      <c r="E35">
        <v>5.99</v>
      </c>
      <c r="F35">
        <v>5.77</v>
      </c>
      <c r="G35">
        <v>6.38</v>
      </c>
      <c r="I35" t="str">
        <f>"485/1835"</f>
        <v>485/1835</v>
      </c>
      <c r="J35" t="str">
        <f>"486/1830"</f>
        <v>486/1830</v>
      </c>
      <c r="K35" t="str">
        <f>"899/2778"</f>
        <v>899/2778</v>
      </c>
    </row>
    <row r="36" spans="3:11" x14ac:dyDescent="0.25">
      <c r="C36" t="s">
        <v>382</v>
      </c>
      <c r="D36" t="s">
        <v>321</v>
      </c>
      <c r="E36">
        <v>5.53</v>
      </c>
      <c r="F36">
        <v>6.32</v>
      </c>
      <c r="G36">
        <v>5.5</v>
      </c>
      <c r="I36" t="str">
        <f>"275/1291"</f>
        <v>275/1291</v>
      </c>
      <c r="J36" t="str">
        <f>"181/1025"</f>
        <v>181/1025</v>
      </c>
      <c r="K36" t="str">
        <f>"375/1274"</f>
        <v>375/1274</v>
      </c>
    </row>
    <row r="37" spans="3:11" x14ac:dyDescent="0.25">
      <c r="C37" t="s">
        <v>383</v>
      </c>
      <c r="D37" t="s">
        <v>112</v>
      </c>
      <c r="E37">
        <v>5.3</v>
      </c>
      <c r="F37">
        <v>6.17</v>
      </c>
      <c r="G37">
        <v>5.74</v>
      </c>
      <c r="I37" t="str">
        <f>"377/1237"</f>
        <v>377/1237</v>
      </c>
      <c r="J37" t="str">
        <f>"346/1289"</f>
        <v>346/1289</v>
      </c>
      <c r="K37" t="str">
        <f>"689/2249"</f>
        <v>689/2249</v>
      </c>
    </row>
    <row r="38" spans="3:11" x14ac:dyDescent="0.25">
      <c r="C38" t="s">
        <v>384</v>
      </c>
      <c r="D38" t="s">
        <v>113</v>
      </c>
      <c r="E38">
        <v>5.1100000000000003</v>
      </c>
      <c r="F38">
        <v>6.24</v>
      </c>
      <c r="G38">
        <v>5.86</v>
      </c>
      <c r="I38" t="str">
        <f>"377/1237"</f>
        <v>377/1237</v>
      </c>
      <c r="J38" t="str">
        <f>"349/1292"</f>
        <v>349/1292</v>
      </c>
      <c r="K38" t="str">
        <f>"694/2254"</f>
        <v>694/2254</v>
      </c>
    </row>
    <row r="39" spans="3:11" x14ac:dyDescent="0.25">
      <c r="C39" t="s">
        <v>385</v>
      </c>
      <c r="D39" t="s">
        <v>67</v>
      </c>
      <c r="E39">
        <v>4.17</v>
      </c>
      <c r="F39">
        <v>6.22</v>
      </c>
      <c r="G39">
        <v>6.55</v>
      </c>
      <c r="I39" t="str">
        <f>"553/2938"</f>
        <v>553/2938</v>
      </c>
      <c r="J39" t="str">
        <f>"443/1252"</f>
        <v>443/1252</v>
      </c>
      <c r="K39" t="str">
        <f>"879/4762"</f>
        <v>879/4762</v>
      </c>
    </row>
    <row r="40" spans="3:11" x14ac:dyDescent="0.25">
      <c r="C40" t="s">
        <v>386</v>
      </c>
      <c r="D40" t="s">
        <v>191</v>
      </c>
      <c r="E40">
        <v>3.77</v>
      </c>
      <c r="F40">
        <v>6.42</v>
      </c>
      <c r="G40">
        <v>6.69</v>
      </c>
      <c r="I40" t="str">
        <f>"623/3350"</f>
        <v>623/3350</v>
      </c>
      <c r="J40" t="str">
        <f>"512/1514"</f>
        <v>512/1514</v>
      </c>
      <c r="K40" t="str">
        <f>"995/5511"</f>
        <v>995/5511</v>
      </c>
    </row>
    <row r="41" spans="3:11" x14ac:dyDescent="0.25">
      <c r="C41" t="s">
        <v>391</v>
      </c>
      <c r="D41" t="s">
        <v>392</v>
      </c>
      <c r="E41">
        <v>5.7</v>
      </c>
      <c r="F41">
        <v>5.77</v>
      </c>
      <c r="G41">
        <v>5.36</v>
      </c>
      <c r="I41" t="str">
        <f>"246/641"</f>
        <v>246/641</v>
      </c>
      <c r="J41" t="str">
        <f>"209/707"</f>
        <v>209/707</v>
      </c>
      <c r="K41" t="str">
        <f>"454/977"</f>
        <v>454/977</v>
      </c>
    </row>
    <row r="42" spans="3:11" x14ac:dyDescent="0.25">
      <c r="C42" t="s">
        <v>393</v>
      </c>
      <c r="D42" t="s">
        <v>206</v>
      </c>
      <c r="E42">
        <v>4.59</v>
      </c>
      <c r="F42">
        <v>5.76</v>
      </c>
      <c r="G42">
        <v>6.42</v>
      </c>
      <c r="I42" t="str">
        <f>"414/2420"</f>
        <v>414/2420</v>
      </c>
      <c r="J42" t="str">
        <f>"282/708"</f>
        <v>282/708</v>
      </c>
      <c r="K42" t="str">
        <f>"591/2975"</f>
        <v>591/2975</v>
      </c>
    </row>
    <row r="43" spans="3:11" x14ac:dyDescent="0.25">
      <c r="C43" t="s">
        <v>394</v>
      </c>
      <c r="D43" t="s">
        <v>99</v>
      </c>
      <c r="E43">
        <v>4.91</v>
      </c>
      <c r="F43">
        <v>5.49</v>
      </c>
      <c r="G43">
        <v>6.27</v>
      </c>
      <c r="I43" t="str">
        <f>"417/2430"</f>
        <v>417/2430</v>
      </c>
      <c r="J43" t="str">
        <f>"282/708"</f>
        <v>282/708</v>
      </c>
      <c r="K43" t="str">
        <f>"596/3006"</f>
        <v>596/3006</v>
      </c>
    </row>
    <row r="44" spans="3:11" x14ac:dyDescent="0.25">
      <c r="C44" t="s">
        <v>395</v>
      </c>
      <c r="D44" t="s">
        <v>396</v>
      </c>
      <c r="E44">
        <v>4.63</v>
      </c>
      <c r="F44">
        <v>6.02</v>
      </c>
      <c r="G44">
        <v>5.97</v>
      </c>
      <c r="I44" t="str">
        <f>"140/546"</f>
        <v>140/546</v>
      </c>
      <c r="J44" t="str">
        <f>"154/717"</f>
        <v>154/717</v>
      </c>
      <c r="K44" t="str">
        <f>"340/1175"</f>
        <v>340/1175</v>
      </c>
    </row>
    <row r="45" spans="3:11" x14ac:dyDescent="0.25">
      <c r="C45" t="s">
        <v>397</v>
      </c>
      <c r="D45" t="s">
        <v>130</v>
      </c>
      <c r="E45">
        <v>5.14</v>
      </c>
      <c r="F45">
        <v>5.81</v>
      </c>
      <c r="G45">
        <v>5.26</v>
      </c>
      <c r="I45" t="str">
        <f>"276/580"</f>
        <v>276/580</v>
      </c>
      <c r="J45" t="str">
        <f>"260/876"</f>
        <v>260/876</v>
      </c>
      <c r="K45" t="str">
        <f>"491/1097"</f>
        <v>491/1097</v>
      </c>
    </row>
    <row r="46" spans="3:11" x14ac:dyDescent="0.25">
      <c r="C46" t="s">
        <v>398</v>
      </c>
      <c r="D46" t="s">
        <v>75</v>
      </c>
      <c r="E46">
        <v>4.8099999999999996</v>
      </c>
      <c r="F46">
        <v>5.28</v>
      </c>
      <c r="G46">
        <v>6.08</v>
      </c>
      <c r="I46" t="str">
        <f>"405/2328"</f>
        <v>405/2328</v>
      </c>
      <c r="J46" t="str">
        <f>"275/633"</f>
        <v>275/633</v>
      </c>
      <c r="K46" t="str">
        <f>"564/2712"</f>
        <v>564/2712</v>
      </c>
    </row>
    <row r="47" spans="3:11" x14ac:dyDescent="0.25">
      <c r="C47" t="s">
        <v>399</v>
      </c>
      <c r="D47" t="s">
        <v>79</v>
      </c>
      <c r="E47">
        <v>5</v>
      </c>
      <c r="F47">
        <v>5.35</v>
      </c>
      <c r="G47">
        <v>5.67</v>
      </c>
      <c r="I47" t="str">
        <f>"405/2328"</f>
        <v>405/2328</v>
      </c>
      <c r="J47" t="str">
        <f>"275/633"</f>
        <v>275/633</v>
      </c>
      <c r="K47" t="str">
        <f>"564/2712"</f>
        <v>564/2712</v>
      </c>
    </row>
    <row r="48" spans="3:11" x14ac:dyDescent="0.25">
      <c r="C48" t="s">
        <v>400</v>
      </c>
      <c r="D48" t="s">
        <v>401</v>
      </c>
      <c r="E48">
        <v>4.28</v>
      </c>
      <c r="F48">
        <v>6.04</v>
      </c>
      <c r="G48">
        <v>5.58</v>
      </c>
      <c r="I48" t="str">
        <f>"101/423"</f>
        <v>101/423</v>
      </c>
      <c r="J48" t="str">
        <f>"108/588"</f>
        <v>108/588</v>
      </c>
      <c r="K48" t="str">
        <f>"215/792"</f>
        <v>215/792</v>
      </c>
    </row>
    <row r="49" spans="2:11" x14ac:dyDescent="0.25">
      <c r="C49" t="s">
        <v>402</v>
      </c>
      <c r="D49" t="s">
        <v>124</v>
      </c>
      <c r="E49">
        <v>4.6900000000000004</v>
      </c>
      <c r="F49">
        <v>5.68</v>
      </c>
      <c r="G49">
        <v>5.35</v>
      </c>
      <c r="I49" t="str">
        <f>"641/3535"</f>
        <v>641/3535</v>
      </c>
      <c r="J49" t="str">
        <f>"524/1607"</f>
        <v>524/1607</v>
      </c>
      <c r="K49" t="str">
        <f>"956/3839"</f>
        <v>956/3839</v>
      </c>
    </row>
    <row r="50" spans="2:11" x14ac:dyDescent="0.25">
      <c r="C50" t="s">
        <v>403</v>
      </c>
      <c r="D50" t="s">
        <v>129</v>
      </c>
      <c r="E50">
        <v>3.27</v>
      </c>
      <c r="F50">
        <v>5.5</v>
      </c>
      <c r="G50">
        <v>6.31</v>
      </c>
      <c r="I50" t="str">
        <f>"272/526"</f>
        <v>272/526</v>
      </c>
      <c r="J50" t="str">
        <f>"230/722"</f>
        <v>230/722</v>
      </c>
      <c r="K50" t="str">
        <f>"530/1487"</f>
        <v>530/1487</v>
      </c>
    </row>
    <row r="51" spans="2:11" x14ac:dyDescent="0.25">
      <c r="C51" t="s">
        <v>404</v>
      </c>
      <c r="D51" t="s">
        <v>123</v>
      </c>
      <c r="E51">
        <v>3.96</v>
      </c>
      <c r="F51">
        <v>5.47</v>
      </c>
      <c r="G51">
        <v>5.27</v>
      </c>
      <c r="I51" t="str">
        <f>"210/756"</f>
        <v>210/756</v>
      </c>
      <c r="J51" t="str">
        <f>"230/1022"</f>
        <v>230/1022</v>
      </c>
      <c r="K51" t="str">
        <f>"398/1224"</f>
        <v>398/1224</v>
      </c>
    </row>
    <row r="52" spans="2:11" x14ac:dyDescent="0.25">
      <c r="C52" t="s">
        <v>405</v>
      </c>
      <c r="D52" t="s">
        <v>406</v>
      </c>
      <c r="E52">
        <v>3.47</v>
      </c>
      <c r="F52">
        <v>5.47</v>
      </c>
      <c r="G52">
        <v>5.22</v>
      </c>
      <c r="I52" t="str">
        <f>"90/280"</f>
        <v>90/280</v>
      </c>
      <c r="J52" t="str">
        <f>"120/430"</f>
        <v>120/430</v>
      </c>
      <c r="K52" t="str">
        <f>"192/555"</f>
        <v>192/555</v>
      </c>
    </row>
    <row r="53" spans="2:11" x14ac:dyDescent="0.25">
      <c r="C53" t="s">
        <v>407</v>
      </c>
      <c r="D53" t="s">
        <v>111</v>
      </c>
      <c r="E53">
        <v>2.62</v>
      </c>
      <c r="F53">
        <v>5.83</v>
      </c>
      <c r="G53">
        <v>5.69</v>
      </c>
      <c r="I53" t="str">
        <f>"322/1660"</f>
        <v>322/1660</v>
      </c>
      <c r="J53" t="str">
        <f>"287/1677"</f>
        <v>287/1677</v>
      </c>
      <c r="K53" t="str">
        <f>"481/1467"</f>
        <v>481/1467</v>
      </c>
    </row>
    <row r="54" spans="2:11" x14ac:dyDescent="0.25">
      <c r="C54" t="s">
        <v>45</v>
      </c>
      <c r="D54" t="s">
        <v>408</v>
      </c>
      <c r="K54" t="s">
        <v>139</v>
      </c>
    </row>
    <row r="56" spans="2:11" x14ac:dyDescent="0.25">
      <c r="B56" t="s">
        <v>140</v>
      </c>
      <c r="C56" t="s">
        <v>409</v>
      </c>
    </row>
    <row r="58" spans="2:11" x14ac:dyDescent="0.25">
      <c r="C58" t="s">
        <v>4</v>
      </c>
      <c r="F58" t="s">
        <v>379</v>
      </c>
      <c r="J58" t="s">
        <v>6</v>
      </c>
    </row>
    <row r="59" spans="2:11" x14ac:dyDescent="0.25">
      <c r="D59" t="s">
        <v>7</v>
      </c>
      <c r="E59" t="s">
        <v>8</v>
      </c>
      <c r="F59" t="s">
        <v>9</v>
      </c>
      <c r="G59" t="s">
        <v>10</v>
      </c>
      <c r="I59" t="s">
        <v>8</v>
      </c>
      <c r="J59" t="s">
        <v>9</v>
      </c>
      <c r="K59" t="s">
        <v>10</v>
      </c>
    </row>
    <row r="60" spans="2:11" x14ac:dyDescent="0.25">
      <c r="C60" t="s">
        <v>45</v>
      </c>
      <c r="D60" t="s">
        <v>142</v>
      </c>
      <c r="K60" t="s">
        <v>47</v>
      </c>
    </row>
    <row r="62" spans="2:11" x14ac:dyDescent="0.25">
      <c r="C62" t="s">
        <v>48</v>
      </c>
      <c r="F62" t="s">
        <v>379</v>
      </c>
      <c r="J62" t="s">
        <v>6</v>
      </c>
    </row>
    <row r="63" spans="2:11" x14ac:dyDescent="0.25">
      <c r="D63" t="s">
        <v>7</v>
      </c>
      <c r="E63" t="s">
        <v>8</v>
      </c>
      <c r="F63" t="s">
        <v>9</v>
      </c>
      <c r="G63" t="s">
        <v>10</v>
      </c>
      <c r="I63" t="s">
        <v>8</v>
      </c>
      <c r="J63" t="s">
        <v>9</v>
      </c>
      <c r="K63" t="s">
        <v>10</v>
      </c>
    </row>
    <row r="64" spans="2:11" x14ac:dyDescent="0.25">
      <c r="C64" t="s">
        <v>45</v>
      </c>
      <c r="D64" t="s">
        <v>142</v>
      </c>
      <c r="K64" t="s">
        <v>109</v>
      </c>
    </row>
    <row r="66" spans="2:11" x14ac:dyDescent="0.25">
      <c r="C66" t="s">
        <v>110</v>
      </c>
      <c r="F66" t="s">
        <v>379</v>
      </c>
      <c r="J66" t="s">
        <v>6</v>
      </c>
    </row>
    <row r="67" spans="2:11" x14ac:dyDescent="0.25">
      <c r="D67" t="s">
        <v>7</v>
      </c>
      <c r="E67" t="s">
        <v>8</v>
      </c>
      <c r="F67" t="s">
        <v>9</v>
      </c>
      <c r="G67" t="s">
        <v>10</v>
      </c>
      <c r="I67" t="s">
        <v>8</v>
      </c>
      <c r="J67" t="s">
        <v>9</v>
      </c>
      <c r="K67" t="s">
        <v>10</v>
      </c>
    </row>
    <row r="68" spans="2:11" x14ac:dyDescent="0.25">
      <c r="C68" t="s">
        <v>45</v>
      </c>
      <c r="D68" t="s">
        <v>142</v>
      </c>
      <c r="K68" t="s">
        <v>118</v>
      </c>
    </row>
    <row r="70" spans="2:11" x14ac:dyDescent="0.25">
      <c r="C70" t="s">
        <v>119</v>
      </c>
      <c r="F70" t="s">
        <v>379</v>
      </c>
      <c r="J70" t="s">
        <v>6</v>
      </c>
    </row>
    <row r="71" spans="2:11" x14ac:dyDescent="0.25">
      <c r="D71" t="s">
        <v>7</v>
      </c>
      <c r="E71" t="s">
        <v>8</v>
      </c>
      <c r="F71" t="s">
        <v>9</v>
      </c>
      <c r="G71" t="s">
        <v>10</v>
      </c>
      <c r="I71" t="s">
        <v>8</v>
      </c>
      <c r="J71" t="s">
        <v>9</v>
      </c>
      <c r="K71" t="s">
        <v>10</v>
      </c>
    </row>
    <row r="72" spans="2:11" x14ac:dyDescent="0.25">
      <c r="C72" t="s">
        <v>45</v>
      </c>
      <c r="D72" t="s">
        <v>142</v>
      </c>
      <c r="K72" t="s">
        <v>139</v>
      </c>
    </row>
    <row r="74" spans="2:11" x14ac:dyDescent="0.25">
      <c r="B74" t="s">
        <v>143</v>
      </c>
      <c r="C74" t="s">
        <v>337</v>
      </c>
    </row>
    <row r="76" spans="2:11" x14ac:dyDescent="0.25">
      <c r="C76" t="s">
        <v>4</v>
      </c>
      <c r="F76" t="s">
        <v>379</v>
      </c>
      <c r="J76" t="s">
        <v>6</v>
      </c>
    </row>
    <row r="77" spans="2:11" x14ac:dyDescent="0.25">
      <c r="D77" t="s">
        <v>7</v>
      </c>
      <c r="E77" t="s">
        <v>8</v>
      </c>
      <c r="F77" t="s">
        <v>9</v>
      </c>
      <c r="G77" t="s">
        <v>10</v>
      </c>
      <c r="I77" t="s">
        <v>8</v>
      </c>
      <c r="J77" t="s">
        <v>9</v>
      </c>
      <c r="K77" t="s">
        <v>10</v>
      </c>
    </row>
    <row r="78" spans="2:11" x14ac:dyDescent="0.25">
      <c r="C78" t="s">
        <v>45</v>
      </c>
      <c r="D78" t="s">
        <v>142</v>
      </c>
      <c r="K78" t="s">
        <v>47</v>
      </c>
    </row>
    <row r="80" spans="2:11" x14ac:dyDescent="0.25">
      <c r="C80" t="s">
        <v>48</v>
      </c>
      <c r="F80" t="s">
        <v>379</v>
      </c>
      <c r="J80" t="s">
        <v>6</v>
      </c>
    </row>
    <row r="81" spans="1:11" x14ac:dyDescent="0.25">
      <c r="D81" t="s">
        <v>7</v>
      </c>
      <c r="E81" t="s">
        <v>8</v>
      </c>
      <c r="F81" t="s">
        <v>9</v>
      </c>
      <c r="G81" t="s">
        <v>10</v>
      </c>
      <c r="I81" t="s">
        <v>8</v>
      </c>
      <c r="J81" t="s">
        <v>9</v>
      </c>
      <c r="K81" t="s">
        <v>10</v>
      </c>
    </row>
    <row r="82" spans="1:11" x14ac:dyDescent="0.25">
      <c r="C82" t="s">
        <v>45</v>
      </c>
      <c r="D82" t="s">
        <v>142</v>
      </c>
      <c r="K82" t="s">
        <v>109</v>
      </c>
    </row>
    <row r="84" spans="1:11" x14ac:dyDescent="0.25">
      <c r="C84" t="s">
        <v>110</v>
      </c>
      <c r="F84" t="s">
        <v>379</v>
      </c>
      <c r="J84" t="s">
        <v>6</v>
      </c>
    </row>
    <row r="85" spans="1:11" x14ac:dyDescent="0.25">
      <c r="D85" t="s">
        <v>7</v>
      </c>
      <c r="E85" t="s">
        <v>8</v>
      </c>
      <c r="F85" t="s">
        <v>9</v>
      </c>
      <c r="G85" t="s">
        <v>10</v>
      </c>
      <c r="I85" t="s">
        <v>8</v>
      </c>
      <c r="J85" t="s">
        <v>9</v>
      </c>
      <c r="K85" t="s">
        <v>10</v>
      </c>
    </row>
    <row r="86" spans="1:11" x14ac:dyDescent="0.25">
      <c r="C86" t="s">
        <v>45</v>
      </c>
      <c r="D86" t="s">
        <v>142</v>
      </c>
      <c r="K86" t="s">
        <v>118</v>
      </c>
    </row>
    <row r="88" spans="1:11" x14ac:dyDescent="0.25">
      <c r="C88" t="s">
        <v>119</v>
      </c>
      <c r="F88" t="s">
        <v>379</v>
      </c>
      <c r="J88" t="s">
        <v>6</v>
      </c>
    </row>
    <row r="89" spans="1:11" x14ac:dyDescent="0.25">
      <c r="D89" t="s">
        <v>7</v>
      </c>
      <c r="E89" t="s">
        <v>8</v>
      </c>
      <c r="F89" t="s">
        <v>9</v>
      </c>
      <c r="G89" t="s">
        <v>10</v>
      </c>
      <c r="I89" t="s">
        <v>8</v>
      </c>
      <c r="J89" t="s">
        <v>9</v>
      </c>
      <c r="K89" t="s">
        <v>10</v>
      </c>
    </row>
    <row r="90" spans="1:11" x14ac:dyDescent="0.25">
      <c r="C90" t="s">
        <v>45</v>
      </c>
      <c r="D90" t="s">
        <v>142</v>
      </c>
      <c r="K90" t="s">
        <v>139</v>
      </c>
    </row>
    <row r="94" spans="1:11" x14ac:dyDescent="0.25">
      <c r="A94" t="s">
        <v>0</v>
      </c>
      <c r="B94" t="s">
        <v>410</v>
      </c>
    </row>
    <row r="96" spans="1:11" x14ac:dyDescent="0.25">
      <c r="B96" t="s">
        <v>2</v>
      </c>
      <c r="C96" t="s">
        <v>378</v>
      </c>
    </row>
    <row r="98" spans="3:11" x14ac:dyDescent="0.25">
      <c r="C98" t="s">
        <v>4</v>
      </c>
      <c r="F98" t="s">
        <v>379</v>
      </c>
      <c r="J98" t="s">
        <v>6</v>
      </c>
    </row>
    <row r="99" spans="3:11" x14ac:dyDescent="0.25">
      <c r="D99" t="s">
        <v>7</v>
      </c>
      <c r="E99" t="s">
        <v>8</v>
      </c>
      <c r="F99" t="s">
        <v>9</v>
      </c>
      <c r="G99" t="s">
        <v>10</v>
      </c>
      <c r="I99" t="s">
        <v>8</v>
      </c>
      <c r="J99" t="s">
        <v>9</v>
      </c>
      <c r="K99" t="s">
        <v>10</v>
      </c>
    </row>
    <row r="100" spans="3:11" x14ac:dyDescent="0.25">
      <c r="C100" t="s">
        <v>45</v>
      </c>
      <c r="D100" t="s">
        <v>411</v>
      </c>
      <c r="K100" t="s">
        <v>154</v>
      </c>
    </row>
    <row r="102" spans="3:11" x14ac:dyDescent="0.25">
      <c r="C102" t="s">
        <v>48</v>
      </c>
      <c r="F102" t="s">
        <v>379</v>
      </c>
      <c r="J102" t="s">
        <v>6</v>
      </c>
    </row>
    <row r="103" spans="3:11" x14ac:dyDescent="0.25">
      <c r="D103" t="s">
        <v>7</v>
      </c>
      <c r="E103" t="s">
        <v>8</v>
      </c>
      <c r="F103" t="s">
        <v>9</v>
      </c>
      <c r="G103" t="s">
        <v>10</v>
      </c>
      <c r="I103" t="s">
        <v>8</v>
      </c>
      <c r="J103" t="s">
        <v>9</v>
      </c>
      <c r="K103" t="s">
        <v>10</v>
      </c>
    </row>
    <row r="104" spans="3:11" x14ac:dyDescent="0.25">
      <c r="C104" t="s">
        <v>380</v>
      </c>
      <c r="D104" t="s">
        <v>412</v>
      </c>
      <c r="E104">
        <v>-3</v>
      </c>
      <c r="F104">
        <v>3.03</v>
      </c>
      <c r="G104">
        <v>-1.93</v>
      </c>
      <c r="I104" t="str">
        <f>"111/606"</f>
        <v>111/606</v>
      </c>
      <c r="J104" t="str">
        <f>"94/505"</f>
        <v>94/505</v>
      </c>
      <c r="K104" t="str">
        <f>"122/354"</f>
        <v>122/354</v>
      </c>
    </row>
    <row r="105" spans="3:11" x14ac:dyDescent="0.25">
      <c r="C105" t="s">
        <v>381</v>
      </c>
      <c r="D105" t="s">
        <v>413</v>
      </c>
      <c r="E105">
        <v>-3.06</v>
      </c>
      <c r="F105">
        <v>3.05</v>
      </c>
      <c r="G105">
        <v>-1.93</v>
      </c>
      <c r="I105" t="str">
        <f>"109/605"</f>
        <v>109/605</v>
      </c>
      <c r="J105" t="str">
        <f>"92/503"</f>
        <v>92/503</v>
      </c>
      <c r="K105" t="str">
        <f>"117/342"</f>
        <v>117/342</v>
      </c>
    </row>
    <row r="106" spans="3:11" x14ac:dyDescent="0.25">
      <c r="C106" t="s">
        <v>45</v>
      </c>
      <c r="D106" t="s">
        <v>414</v>
      </c>
      <c r="K106" t="s">
        <v>160</v>
      </c>
    </row>
    <row r="108" spans="3:11" x14ac:dyDescent="0.25">
      <c r="C108" t="s">
        <v>110</v>
      </c>
      <c r="F108" t="s">
        <v>379</v>
      </c>
      <c r="J108" t="s">
        <v>6</v>
      </c>
    </row>
    <row r="109" spans="3:11" x14ac:dyDescent="0.25">
      <c r="D109" t="s">
        <v>7</v>
      </c>
      <c r="E109" t="s">
        <v>8</v>
      </c>
      <c r="F109" t="s">
        <v>9</v>
      </c>
      <c r="G109" t="s">
        <v>10</v>
      </c>
      <c r="I109" t="s">
        <v>8</v>
      </c>
      <c r="J109" t="s">
        <v>9</v>
      </c>
      <c r="K109" t="s">
        <v>10</v>
      </c>
    </row>
    <row r="110" spans="3:11" x14ac:dyDescent="0.25">
      <c r="C110" t="s">
        <v>45</v>
      </c>
      <c r="D110" t="s">
        <v>415</v>
      </c>
      <c r="K110" t="s">
        <v>167</v>
      </c>
    </row>
    <row r="112" spans="3:11" x14ac:dyDescent="0.25">
      <c r="C112" t="s">
        <v>119</v>
      </c>
      <c r="F112" t="s">
        <v>379</v>
      </c>
      <c r="J112" t="s">
        <v>6</v>
      </c>
    </row>
    <row r="113" spans="2:11" x14ac:dyDescent="0.25">
      <c r="D113" t="s">
        <v>7</v>
      </c>
      <c r="E113" t="s">
        <v>8</v>
      </c>
      <c r="F113" t="s">
        <v>9</v>
      </c>
      <c r="G113" t="s">
        <v>10</v>
      </c>
      <c r="I113" t="s">
        <v>8</v>
      </c>
      <c r="J113" t="s">
        <v>9</v>
      </c>
      <c r="K113" t="s">
        <v>10</v>
      </c>
    </row>
    <row r="114" spans="2:11" x14ac:dyDescent="0.25">
      <c r="C114" t="s">
        <v>380</v>
      </c>
      <c r="D114" t="s">
        <v>416</v>
      </c>
      <c r="E114">
        <v>4.4400000000000004</v>
      </c>
      <c r="F114">
        <v>-1.98</v>
      </c>
      <c r="G114">
        <v>-1.49</v>
      </c>
      <c r="I114" t="str">
        <f>"173/345"</f>
        <v>173/345</v>
      </c>
      <c r="J114" t="str">
        <f>"192/338"</f>
        <v>192/338</v>
      </c>
      <c r="K114" t="str">
        <f>"262/411"</f>
        <v>262/411</v>
      </c>
    </row>
    <row r="115" spans="2:11" x14ac:dyDescent="0.25">
      <c r="C115" t="s">
        <v>381</v>
      </c>
      <c r="D115" t="s">
        <v>417</v>
      </c>
      <c r="E115">
        <v>3.41</v>
      </c>
      <c r="F115">
        <v>-1.39</v>
      </c>
      <c r="G115">
        <v>-1.3</v>
      </c>
      <c r="I115" t="str">
        <f>"98/217"</f>
        <v>98/217</v>
      </c>
      <c r="J115" t="str">
        <f>"91/134"</f>
        <v>91/134</v>
      </c>
      <c r="K115" t="str">
        <f>"168/346"</f>
        <v>168/346</v>
      </c>
    </row>
    <row r="116" spans="2:11" x14ac:dyDescent="0.25">
      <c r="C116" t="s">
        <v>382</v>
      </c>
      <c r="D116" t="s">
        <v>370</v>
      </c>
      <c r="E116">
        <v>3.24</v>
      </c>
      <c r="F116">
        <v>-1.17</v>
      </c>
      <c r="G116">
        <v>-1.41</v>
      </c>
      <c r="I116" t="str">
        <f>"101/220"</f>
        <v>101/220</v>
      </c>
      <c r="J116" t="str">
        <f>"114/168"</f>
        <v>114/168</v>
      </c>
      <c r="K116" t="str">
        <f>"190/374"</f>
        <v>190/374</v>
      </c>
    </row>
    <row r="117" spans="2:11" x14ac:dyDescent="0.25">
      <c r="C117" t="s">
        <v>383</v>
      </c>
      <c r="D117" t="s">
        <v>418</v>
      </c>
      <c r="E117">
        <v>3.57</v>
      </c>
      <c r="F117">
        <v>-1.86</v>
      </c>
      <c r="G117">
        <v>-1.68</v>
      </c>
      <c r="I117" t="str">
        <f>"177/380"</f>
        <v>177/380</v>
      </c>
      <c r="J117" t="str">
        <f>"172/272"</f>
        <v>172/272</v>
      </c>
      <c r="K117" t="str">
        <f>"403/798"</f>
        <v>403/798</v>
      </c>
    </row>
    <row r="118" spans="2:11" x14ac:dyDescent="0.25">
      <c r="C118" t="s">
        <v>384</v>
      </c>
      <c r="D118" t="s">
        <v>419</v>
      </c>
      <c r="E118">
        <v>2.66</v>
      </c>
      <c r="F118">
        <v>-1.2</v>
      </c>
      <c r="G118">
        <v>-1.54</v>
      </c>
      <c r="I118" t="str">
        <f>"115/246"</f>
        <v>115/246</v>
      </c>
      <c r="J118" t="str">
        <f>"128/189"</f>
        <v>128/189</v>
      </c>
      <c r="K118" t="str">
        <f>"216/404"</f>
        <v>216/404</v>
      </c>
    </row>
    <row r="119" spans="2:11" x14ac:dyDescent="0.25">
      <c r="C119" t="s">
        <v>385</v>
      </c>
      <c r="D119" t="s">
        <v>371</v>
      </c>
      <c r="E119">
        <v>2.52</v>
      </c>
      <c r="F119">
        <v>-1.21</v>
      </c>
      <c r="G119">
        <v>-1.55</v>
      </c>
      <c r="I119" t="str">
        <f>"125/254"</f>
        <v>125/254</v>
      </c>
      <c r="J119" t="str">
        <f>"150/212"</f>
        <v>150/212</v>
      </c>
      <c r="K119" t="str">
        <f>"310/510"</f>
        <v>310/510</v>
      </c>
    </row>
    <row r="120" spans="2:11" x14ac:dyDescent="0.25">
      <c r="C120" t="s">
        <v>386</v>
      </c>
      <c r="D120" t="s">
        <v>420</v>
      </c>
      <c r="E120">
        <v>2.75</v>
      </c>
      <c r="F120">
        <v>-1.25</v>
      </c>
      <c r="G120">
        <v>-1.75</v>
      </c>
      <c r="I120" t="str">
        <f>"110/237"</f>
        <v>110/237</v>
      </c>
      <c r="J120" t="str">
        <f>"116/174"</f>
        <v>116/174</v>
      </c>
      <c r="K120" t="str">
        <f>"200/385"</f>
        <v>200/385</v>
      </c>
    </row>
    <row r="121" spans="2:11" x14ac:dyDescent="0.25">
      <c r="C121" t="s">
        <v>391</v>
      </c>
      <c r="D121" t="s">
        <v>369</v>
      </c>
      <c r="E121">
        <v>3.14</v>
      </c>
      <c r="F121">
        <v>-1.6</v>
      </c>
      <c r="G121">
        <v>-1.87</v>
      </c>
      <c r="I121" t="str">
        <f>"114/242"</f>
        <v>114/242</v>
      </c>
      <c r="J121" t="str">
        <f>"133/197"</f>
        <v>133/197</v>
      </c>
      <c r="K121" t="str">
        <f>"225/419"</f>
        <v>225/419</v>
      </c>
    </row>
    <row r="122" spans="2:11" x14ac:dyDescent="0.25">
      <c r="C122" t="s">
        <v>45</v>
      </c>
      <c r="D122" t="s">
        <v>421</v>
      </c>
      <c r="K122" t="s">
        <v>179</v>
      </c>
    </row>
    <row r="124" spans="2:11" x14ac:dyDescent="0.25">
      <c r="B124" t="s">
        <v>140</v>
      </c>
      <c r="C124" t="s">
        <v>409</v>
      </c>
    </row>
    <row r="126" spans="2:11" x14ac:dyDescent="0.25">
      <c r="C126" t="s">
        <v>4</v>
      </c>
      <c r="F126" t="s">
        <v>379</v>
      </c>
      <c r="J126" t="s">
        <v>6</v>
      </c>
    </row>
    <row r="127" spans="2:11" x14ac:dyDescent="0.25">
      <c r="D127" t="s">
        <v>7</v>
      </c>
      <c r="E127" t="s">
        <v>8</v>
      </c>
      <c r="F127" t="s">
        <v>9</v>
      </c>
      <c r="G127" t="s">
        <v>10</v>
      </c>
      <c r="I127" t="s">
        <v>8</v>
      </c>
      <c r="J127" t="s">
        <v>9</v>
      </c>
      <c r="K127" t="s">
        <v>10</v>
      </c>
    </row>
    <row r="128" spans="2:11" x14ac:dyDescent="0.25">
      <c r="C128" t="s">
        <v>45</v>
      </c>
      <c r="D128" t="s">
        <v>142</v>
      </c>
      <c r="K128" t="s">
        <v>154</v>
      </c>
    </row>
    <row r="130" spans="2:11" x14ac:dyDescent="0.25">
      <c r="C130" t="s">
        <v>48</v>
      </c>
      <c r="F130" t="s">
        <v>379</v>
      </c>
      <c r="J130" t="s">
        <v>6</v>
      </c>
    </row>
    <row r="131" spans="2:11" x14ac:dyDescent="0.25">
      <c r="D131" t="s">
        <v>7</v>
      </c>
      <c r="E131" t="s">
        <v>8</v>
      </c>
      <c r="F131" t="s">
        <v>9</v>
      </c>
      <c r="G131" t="s">
        <v>10</v>
      </c>
      <c r="I131" t="s">
        <v>8</v>
      </c>
      <c r="J131" t="s">
        <v>9</v>
      </c>
      <c r="K131" t="s">
        <v>10</v>
      </c>
    </row>
    <row r="132" spans="2:11" x14ac:dyDescent="0.25">
      <c r="C132" t="s">
        <v>45</v>
      </c>
      <c r="D132" t="s">
        <v>142</v>
      </c>
      <c r="K132" t="s">
        <v>160</v>
      </c>
    </row>
    <row r="134" spans="2:11" x14ac:dyDescent="0.25">
      <c r="C134" t="s">
        <v>110</v>
      </c>
      <c r="F134" t="s">
        <v>379</v>
      </c>
      <c r="J134" t="s">
        <v>6</v>
      </c>
    </row>
    <row r="135" spans="2:11" x14ac:dyDescent="0.25">
      <c r="D135" t="s">
        <v>7</v>
      </c>
      <c r="E135" t="s">
        <v>8</v>
      </c>
      <c r="F135" t="s">
        <v>9</v>
      </c>
      <c r="G135" t="s">
        <v>10</v>
      </c>
      <c r="I135" t="s">
        <v>8</v>
      </c>
      <c r="J135" t="s">
        <v>9</v>
      </c>
      <c r="K135" t="s">
        <v>10</v>
      </c>
    </row>
    <row r="136" spans="2:11" x14ac:dyDescent="0.25">
      <c r="C136" t="s">
        <v>45</v>
      </c>
      <c r="D136" t="s">
        <v>142</v>
      </c>
      <c r="K136" t="s">
        <v>167</v>
      </c>
    </row>
    <row r="138" spans="2:11" x14ac:dyDescent="0.25">
      <c r="C138" t="s">
        <v>119</v>
      </c>
      <c r="F138" t="s">
        <v>379</v>
      </c>
      <c r="J138" t="s">
        <v>6</v>
      </c>
    </row>
    <row r="139" spans="2:11" x14ac:dyDescent="0.25">
      <c r="D139" t="s">
        <v>7</v>
      </c>
      <c r="E139" t="s">
        <v>8</v>
      </c>
      <c r="F139" t="s">
        <v>9</v>
      </c>
      <c r="G139" t="s">
        <v>10</v>
      </c>
      <c r="I139" t="s">
        <v>8</v>
      </c>
      <c r="J139" t="s">
        <v>9</v>
      </c>
      <c r="K139" t="s">
        <v>10</v>
      </c>
    </row>
    <row r="140" spans="2:11" x14ac:dyDescent="0.25">
      <c r="C140" t="s">
        <v>45</v>
      </c>
      <c r="D140" t="s">
        <v>142</v>
      </c>
      <c r="K140" t="s">
        <v>179</v>
      </c>
    </row>
    <row r="142" spans="2:11" x14ac:dyDescent="0.25">
      <c r="B142" t="s">
        <v>143</v>
      </c>
      <c r="C142" t="s">
        <v>337</v>
      </c>
    </row>
    <row r="144" spans="2:11" x14ac:dyDescent="0.25">
      <c r="C144" t="s">
        <v>4</v>
      </c>
      <c r="F144" t="s">
        <v>379</v>
      </c>
      <c r="J144" t="s">
        <v>6</v>
      </c>
    </row>
    <row r="145" spans="3:11" x14ac:dyDescent="0.25">
      <c r="D145" t="s">
        <v>7</v>
      </c>
      <c r="E145" t="s">
        <v>8</v>
      </c>
      <c r="F145" t="s">
        <v>9</v>
      </c>
      <c r="G145" t="s">
        <v>10</v>
      </c>
      <c r="I145" t="s">
        <v>8</v>
      </c>
      <c r="J145" t="s">
        <v>9</v>
      </c>
      <c r="K145" t="s">
        <v>10</v>
      </c>
    </row>
    <row r="146" spans="3:11" x14ac:dyDescent="0.25">
      <c r="C146" t="s">
        <v>45</v>
      </c>
      <c r="D146" t="s">
        <v>142</v>
      </c>
      <c r="K146" t="s">
        <v>154</v>
      </c>
    </row>
    <row r="148" spans="3:11" x14ac:dyDescent="0.25">
      <c r="C148" t="s">
        <v>48</v>
      </c>
      <c r="F148" t="s">
        <v>379</v>
      </c>
      <c r="J148" t="s">
        <v>6</v>
      </c>
    </row>
    <row r="149" spans="3:11" x14ac:dyDescent="0.25">
      <c r="D149" t="s">
        <v>7</v>
      </c>
      <c r="E149" t="s">
        <v>8</v>
      </c>
      <c r="F149" t="s">
        <v>9</v>
      </c>
      <c r="G149" t="s">
        <v>10</v>
      </c>
      <c r="I149" t="s">
        <v>8</v>
      </c>
      <c r="J149" t="s">
        <v>9</v>
      </c>
      <c r="K149" t="s">
        <v>10</v>
      </c>
    </row>
    <row r="150" spans="3:11" x14ac:dyDescent="0.25">
      <c r="C150" t="s">
        <v>45</v>
      </c>
      <c r="D150" t="s">
        <v>142</v>
      </c>
      <c r="K150" t="s">
        <v>160</v>
      </c>
    </row>
    <row r="152" spans="3:11" x14ac:dyDescent="0.25">
      <c r="C152" t="s">
        <v>110</v>
      </c>
      <c r="F152" t="s">
        <v>379</v>
      </c>
      <c r="J152" t="s">
        <v>6</v>
      </c>
    </row>
    <row r="153" spans="3:11" x14ac:dyDescent="0.25">
      <c r="D153" t="s">
        <v>7</v>
      </c>
      <c r="E153" t="s">
        <v>8</v>
      </c>
      <c r="F153" t="s">
        <v>9</v>
      </c>
      <c r="G153" t="s">
        <v>10</v>
      </c>
      <c r="I153" t="s">
        <v>8</v>
      </c>
      <c r="J153" t="s">
        <v>9</v>
      </c>
      <c r="K153" t="s">
        <v>10</v>
      </c>
    </row>
    <row r="154" spans="3:11" x14ac:dyDescent="0.25">
      <c r="C154" t="s">
        <v>45</v>
      </c>
      <c r="D154" t="s">
        <v>142</v>
      </c>
      <c r="K154" t="s">
        <v>167</v>
      </c>
    </row>
    <row r="156" spans="3:11" x14ac:dyDescent="0.25">
      <c r="C156" t="s">
        <v>119</v>
      </c>
      <c r="F156" t="s">
        <v>379</v>
      </c>
      <c r="J156" t="s">
        <v>6</v>
      </c>
    </row>
    <row r="157" spans="3:11" x14ac:dyDescent="0.25">
      <c r="D157" t="s">
        <v>7</v>
      </c>
      <c r="E157" t="s">
        <v>8</v>
      </c>
      <c r="F157" t="s">
        <v>9</v>
      </c>
      <c r="G157" t="s">
        <v>10</v>
      </c>
      <c r="I157" t="s">
        <v>8</v>
      </c>
      <c r="J157" t="s">
        <v>9</v>
      </c>
      <c r="K157" t="s">
        <v>10</v>
      </c>
    </row>
    <row r="158" spans="3:11" x14ac:dyDescent="0.25">
      <c r="C158" t="s">
        <v>45</v>
      </c>
      <c r="D158" t="s">
        <v>142</v>
      </c>
      <c r="K158" t="s">
        <v>179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workbookViewId="0">
      <selection activeCell="L19" sqref="L19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76.140625" customWidth="1"/>
    <col min="5" max="5" width="5.7109375" bestFit="1" customWidth="1"/>
    <col min="6" max="6" width="9.28515625" bestFit="1" customWidth="1"/>
    <col min="7" max="7" width="5.7109375" bestFit="1" customWidth="1"/>
    <col min="8" max="8" width="10.42578125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422</v>
      </c>
    </row>
    <row r="3" spans="1:11" x14ac:dyDescent="0.25">
      <c r="B3" t="s">
        <v>2</v>
      </c>
      <c r="C3" t="s">
        <v>3</v>
      </c>
    </row>
    <row r="5" spans="1:11" x14ac:dyDescent="0.25">
      <c r="C5" t="s">
        <v>4</v>
      </c>
      <c r="F5" t="s">
        <v>423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11</v>
      </c>
      <c r="D7" t="s">
        <v>12</v>
      </c>
      <c r="E7">
        <v>7.03</v>
      </c>
      <c r="F7">
        <v>6.83</v>
      </c>
      <c r="G7">
        <v>7.02</v>
      </c>
      <c r="I7" t="str">
        <f>"296/2839"</f>
        <v>296/2839</v>
      </c>
      <c r="J7" t="str">
        <f>"158/389"</f>
        <v>158/389</v>
      </c>
      <c r="K7" t="str">
        <f>"302/2108"</f>
        <v>302/2108</v>
      </c>
    </row>
    <row r="8" spans="1:11" x14ac:dyDescent="0.25">
      <c r="C8" t="s">
        <v>13</v>
      </c>
      <c r="D8" t="s">
        <v>28</v>
      </c>
      <c r="E8">
        <v>7.01</v>
      </c>
      <c r="F8">
        <v>6.5</v>
      </c>
      <c r="G8">
        <v>6.89</v>
      </c>
      <c r="I8" t="str">
        <f>"256/2834"</f>
        <v>256/2834</v>
      </c>
      <c r="J8" t="str">
        <f>"190/660"</f>
        <v>190/660</v>
      </c>
      <c r="K8" t="str">
        <f>"364/2223"</f>
        <v>364/2223</v>
      </c>
    </row>
    <row r="9" spans="1:11" x14ac:dyDescent="0.25">
      <c r="C9" t="s">
        <v>15</v>
      </c>
      <c r="D9" t="s">
        <v>14</v>
      </c>
      <c r="E9">
        <v>7.03</v>
      </c>
      <c r="F9">
        <v>6.39</v>
      </c>
      <c r="G9">
        <v>6.85</v>
      </c>
      <c r="I9" t="str">
        <f>"339/6300"</f>
        <v>339/6300</v>
      </c>
      <c r="J9" t="str">
        <f>"172/883"</f>
        <v>172/883</v>
      </c>
      <c r="K9" t="str">
        <f>"369/2568"</f>
        <v>369/2568</v>
      </c>
    </row>
    <row r="10" spans="1:11" x14ac:dyDescent="0.25">
      <c r="C10" t="s">
        <v>17</v>
      </c>
      <c r="D10" t="s">
        <v>18</v>
      </c>
      <c r="E10">
        <v>7.03</v>
      </c>
      <c r="F10">
        <v>6.35</v>
      </c>
      <c r="G10">
        <v>6.82</v>
      </c>
      <c r="I10" t="str">
        <f>"346/3422"</f>
        <v>346/3422</v>
      </c>
      <c r="J10" t="str">
        <f>"269/899"</f>
        <v>269/899</v>
      </c>
      <c r="K10" t="str">
        <f>"593/3055"</f>
        <v>593/3055</v>
      </c>
    </row>
    <row r="11" spans="1:11" x14ac:dyDescent="0.25">
      <c r="C11" t="s">
        <v>19</v>
      </c>
      <c r="D11" t="s">
        <v>26</v>
      </c>
      <c r="E11">
        <v>6.93</v>
      </c>
      <c r="F11">
        <v>6.84</v>
      </c>
      <c r="G11">
        <v>6.29</v>
      </c>
      <c r="I11" t="str">
        <f>"452/1721"</f>
        <v>452/1721</v>
      </c>
      <c r="J11" t="str">
        <f>"430/1832"</f>
        <v>430/1832</v>
      </c>
      <c r="K11" t="str">
        <f>"839/3131"</f>
        <v>839/3131</v>
      </c>
    </row>
    <row r="12" spans="1:11" x14ac:dyDescent="0.25">
      <c r="C12" t="s">
        <v>21</v>
      </c>
      <c r="D12" t="s">
        <v>36</v>
      </c>
      <c r="E12">
        <v>6.91</v>
      </c>
      <c r="F12">
        <v>6.2</v>
      </c>
      <c r="G12">
        <v>6.94</v>
      </c>
      <c r="I12" t="str">
        <f>"144/1184"</f>
        <v>144/1184</v>
      </c>
      <c r="J12" t="str">
        <f>"88/245"</f>
        <v>88/245</v>
      </c>
      <c r="K12" t="str">
        <f>"169/1046"</f>
        <v>169/1046</v>
      </c>
    </row>
    <row r="13" spans="1:11" x14ac:dyDescent="0.25">
      <c r="C13" t="s">
        <v>23</v>
      </c>
      <c r="D13" t="s">
        <v>22</v>
      </c>
      <c r="E13">
        <v>6.87</v>
      </c>
      <c r="F13">
        <v>6.56</v>
      </c>
      <c r="G13">
        <v>6.61</v>
      </c>
      <c r="I13" t="str">
        <f>"303/2188"</f>
        <v>303/2188</v>
      </c>
      <c r="J13" t="str">
        <f>"228/1264"</f>
        <v>228/1264</v>
      </c>
      <c r="K13" t="str">
        <f>"433/2342"</f>
        <v>433/2342</v>
      </c>
    </row>
    <row r="14" spans="1:11" x14ac:dyDescent="0.25">
      <c r="C14" t="s">
        <v>25</v>
      </c>
      <c r="D14" t="s">
        <v>16</v>
      </c>
      <c r="E14">
        <v>7.04</v>
      </c>
      <c r="F14">
        <v>6.28</v>
      </c>
      <c r="G14">
        <v>6.66</v>
      </c>
      <c r="I14" t="str">
        <f>"344/6322"</f>
        <v>344/6322</v>
      </c>
      <c r="J14" t="str">
        <f>"184/897"</f>
        <v>184/897</v>
      </c>
      <c r="K14" t="str">
        <f>"381/2595"</f>
        <v>381/2595</v>
      </c>
    </row>
    <row r="15" spans="1:11" x14ac:dyDescent="0.25">
      <c r="C15" t="s">
        <v>27</v>
      </c>
      <c r="D15" t="s">
        <v>50</v>
      </c>
      <c r="E15">
        <v>6.91</v>
      </c>
      <c r="F15">
        <v>5.92</v>
      </c>
      <c r="G15">
        <v>6.93</v>
      </c>
      <c r="I15" t="str">
        <f>"141/1179"</f>
        <v>141/1179</v>
      </c>
      <c r="J15" t="str">
        <f>"87/244"</f>
        <v>87/244</v>
      </c>
      <c r="K15" t="str">
        <f>"154/983"</f>
        <v>154/983</v>
      </c>
    </row>
    <row r="16" spans="1:11" x14ac:dyDescent="0.25">
      <c r="C16" t="s">
        <v>29</v>
      </c>
      <c r="D16" t="s">
        <v>57</v>
      </c>
      <c r="E16">
        <v>6.98</v>
      </c>
      <c r="F16">
        <v>5.87</v>
      </c>
      <c r="G16">
        <v>6.88</v>
      </c>
      <c r="I16" t="str">
        <f>"294/1861"</f>
        <v>294/1861</v>
      </c>
      <c r="J16" t="str">
        <f>"180/367"</f>
        <v>180/367</v>
      </c>
      <c r="K16" t="str">
        <f>"388/1938"</f>
        <v>388/1938</v>
      </c>
    </row>
    <row r="17" spans="3:11" x14ac:dyDescent="0.25">
      <c r="C17" t="s">
        <v>31</v>
      </c>
      <c r="D17" t="s">
        <v>38</v>
      </c>
      <c r="E17">
        <v>6.87</v>
      </c>
      <c r="F17">
        <v>5.96</v>
      </c>
      <c r="G17">
        <v>6.86</v>
      </c>
      <c r="I17" t="str">
        <f>"125/739"</f>
        <v>125/739</v>
      </c>
      <c r="J17" t="str">
        <f>"59/150"</f>
        <v>59/150</v>
      </c>
      <c r="K17" t="str">
        <f>"124/633"</f>
        <v>124/633</v>
      </c>
    </row>
    <row r="18" spans="3:11" x14ac:dyDescent="0.25">
      <c r="C18" t="s">
        <v>33</v>
      </c>
      <c r="D18" t="s">
        <v>52</v>
      </c>
      <c r="E18">
        <v>6.93</v>
      </c>
      <c r="F18">
        <v>5.85</v>
      </c>
      <c r="G18">
        <v>6.89</v>
      </c>
      <c r="I18" t="str">
        <f>"294/1861"</f>
        <v>294/1861</v>
      </c>
      <c r="J18" t="str">
        <f>"180/367"</f>
        <v>180/367</v>
      </c>
      <c r="K18" t="str">
        <f>"389/1949"</f>
        <v>389/1949</v>
      </c>
    </row>
    <row r="19" spans="3:11" x14ac:dyDescent="0.25">
      <c r="C19" t="s">
        <v>35</v>
      </c>
      <c r="D19" t="s">
        <v>20</v>
      </c>
      <c r="E19">
        <v>7.03</v>
      </c>
      <c r="F19">
        <v>6.09</v>
      </c>
      <c r="G19">
        <v>6.52</v>
      </c>
      <c r="I19" t="str">
        <f>"366/6346"</f>
        <v>366/6346</v>
      </c>
      <c r="J19" t="str">
        <f>"226/947"</f>
        <v>226/947</v>
      </c>
      <c r="K19" t="str">
        <f>"473/2810"</f>
        <v>473/2810</v>
      </c>
    </row>
    <row r="20" spans="3:11" x14ac:dyDescent="0.25">
      <c r="C20" t="s">
        <v>37</v>
      </c>
      <c r="D20" t="s">
        <v>24</v>
      </c>
      <c r="E20">
        <v>7.02</v>
      </c>
      <c r="F20">
        <v>5.82</v>
      </c>
      <c r="G20">
        <v>6.79</v>
      </c>
      <c r="I20" t="str">
        <f>"346/3422"</f>
        <v>346/3422</v>
      </c>
      <c r="J20" t="str">
        <f>"267/896"</f>
        <v>267/896</v>
      </c>
      <c r="K20" t="str">
        <f>"591/3051"</f>
        <v>591/3051</v>
      </c>
    </row>
    <row r="21" spans="3:11" x14ac:dyDescent="0.25">
      <c r="C21" t="s">
        <v>39</v>
      </c>
      <c r="D21" t="s">
        <v>424</v>
      </c>
      <c r="E21">
        <v>6.84</v>
      </c>
      <c r="F21">
        <v>6.06</v>
      </c>
      <c r="G21">
        <v>6.67</v>
      </c>
      <c r="I21" t="str">
        <f>"561/2204"</f>
        <v>561/2204</v>
      </c>
      <c r="J21" t="str">
        <f>"345/684"</f>
        <v>345/684</v>
      </c>
      <c r="K21" t="str">
        <f>"799/2587"</f>
        <v>799/2587</v>
      </c>
    </row>
    <row r="22" spans="3:11" x14ac:dyDescent="0.25">
      <c r="C22" t="s">
        <v>41</v>
      </c>
      <c r="D22" t="s">
        <v>32</v>
      </c>
      <c r="E22">
        <v>6.95</v>
      </c>
      <c r="F22">
        <v>5.83</v>
      </c>
      <c r="G22">
        <v>6.69</v>
      </c>
      <c r="I22" t="str">
        <f>"613/2460"</f>
        <v>613/2460</v>
      </c>
      <c r="J22" t="str">
        <f>"495/928"</f>
        <v>495/928</v>
      </c>
      <c r="K22" t="str">
        <f>"893/2649"</f>
        <v>893/2649</v>
      </c>
    </row>
    <row r="23" spans="3:11" x14ac:dyDescent="0.25">
      <c r="C23" t="s">
        <v>45</v>
      </c>
      <c r="D23" t="s">
        <v>425</v>
      </c>
      <c r="K23" t="s">
        <v>47</v>
      </c>
    </row>
    <row r="25" spans="3:11" x14ac:dyDescent="0.25">
      <c r="C25" t="s">
        <v>48</v>
      </c>
      <c r="F25" t="s">
        <v>423</v>
      </c>
      <c r="J25" t="s">
        <v>6</v>
      </c>
    </row>
    <row r="26" spans="3:11" x14ac:dyDescent="0.25">
      <c r="D26" t="s">
        <v>7</v>
      </c>
      <c r="E26" t="s">
        <v>8</v>
      </c>
      <c r="F26" t="s">
        <v>9</v>
      </c>
      <c r="G26" t="s">
        <v>10</v>
      </c>
      <c r="I26" t="s">
        <v>8</v>
      </c>
      <c r="J26" t="s">
        <v>9</v>
      </c>
      <c r="K26" t="s">
        <v>10</v>
      </c>
    </row>
    <row r="27" spans="3:11" x14ac:dyDescent="0.25">
      <c r="C27" t="s">
        <v>11</v>
      </c>
      <c r="D27" t="s">
        <v>53</v>
      </c>
      <c r="E27">
        <v>6.95</v>
      </c>
      <c r="F27">
        <v>5.75</v>
      </c>
      <c r="G27">
        <v>6.9</v>
      </c>
      <c r="I27" t="str">
        <f>"299/1876"</f>
        <v>299/1876</v>
      </c>
      <c r="J27" t="str">
        <f>"185/375"</f>
        <v>185/375</v>
      </c>
      <c r="K27" t="str">
        <f>"400/1980"</f>
        <v>400/1980</v>
      </c>
    </row>
    <row r="28" spans="3:11" x14ac:dyDescent="0.25">
      <c r="C28" t="s">
        <v>13</v>
      </c>
      <c r="D28" t="s">
        <v>131</v>
      </c>
      <c r="E28">
        <v>6.84</v>
      </c>
      <c r="F28">
        <v>5.81</v>
      </c>
      <c r="G28">
        <v>6.83</v>
      </c>
      <c r="I28" t="str">
        <f>"127/745"</f>
        <v>127/745</v>
      </c>
      <c r="J28" t="str">
        <f>"71/164"</f>
        <v>71/164</v>
      </c>
      <c r="K28" t="str">
        <f>"135/651"</f>
        <v>135/651</v>
      </c>
    </row>
    <row r="29" spans="3:11" x14ac:dyDescent="0.25">
      <c r="C29" t="s">
        <v>15</v>
      </c>
      <c r="D29" t="s">
        <v>56</v>
      </c>
      <c r="E29">
        <v>6.99</v>
      </c>
      <c r="F29">
        <v>5.48</v>
      </c>
      <c r="G29">
        <v>6.93</v>
      </c>
      <c r="I29" t="str">
        <f>"301/1880"</f>
        <v>301/1880</v>
      </c>
      <c r="J29" t="str">
        <f>"182/369"</f>
        <v>182/369</v>
      </c>
      <c r="K29" t="str">
        <f>"402/1980"</f>
        <v>402/1980</v>
      </c>
    </row>
    <row r="30" spans="3:11" x14ac:dyDescent="0.25">
      <c r="C30" t="s">
        <v>17</v>
      </c>
      <c r="D30" t="s">
        <v>55</v>
      </c>
      <c r="E30">
        <v>6.97</v>
      </c>
      <c r="F30">
        <v>5.58</v>
      </c>
      <c r="G30">
        <v>6.81</v>
      </c>
      <c r="I30" t="str">
        <f>"308/1908"</f>
        <v>308/1908</v>
      </c>
      <c r="J30" t="str">
        <f>"185/377"</f>
        <v>185/377</v>
      </c>
      <c r="K30" t="str">
        <f>"419/2060"</f>
        <v>419/2060</v>
      </c>
    </row>
    <row r="31" spans="3:11" x14ac:dyDescent="0.25">
      <c r="C31" t="s">
        <v>19</v>
      </c>
      <c r="D31" t="s">
        <v>51</v>
      </c>
      <c r="E31">
        <v>6.98</v>
      </c>
      <c r="F31">
        <v>5.48</v>
      </c>
      <c r="G31">
        <v>6.87</v>
      </c>
      <c r="I31" t="str">
        <f>"297/1870"</f>
        <v>297/1870</v>
      </c>
      <c r="J31" t="str">
        <f>"181/369"</f>
        <v>181/369</v>
      </c>
      <c r="K31" t="str">
        <f>"392/1961"</f>
        <v>392/1961</v>
      </c>
    </row>
    <row r="32" spans="3:11" x14ac:dyDescent="0.25">
      <c r="C32" t="s">
        <v>21</v>
      </c>
      <c r="D32" t="s">
        <v>426</v>
      </c>
      <c r="E32">
        <v>6.85</v>
      </c>
      <c r="F32">
        <v>5.66</v>
      </c>
      <c r="G32">
        <v>6.7</v>
      </c>
      <c r="I32" t="str">
        <f>"561/2204"</f>
        <v>561/2204</v>
      </c>
      <c r="J32" t="str">
        <f>"345/684"</f>
        <v>345/684</v>
      </c>
      <c r="K32" t="str">
        <f>"799/2587"</f>
        <v>799/2587</v>
      </c>
    </row>
    <row r="33" spans="3:11" x14ac:dyDescent="0.25">
      <c r="C33" t="s">
        <v>23</v>
      </c>
      <c r="D33" t="s">
        <v>64</v>
      </c>
      <c r="E33">
        <v>7</v>
      </c>
      <c r="F33">
        <v>5.69</v>
      </c>
      <c r="G33">
        <v>6.49</v>
      </c>
      <c r="I33" t="str">
        <f>"117/1759"</f>
        <v>117/1759</v>
      </c>
      <c r="J33" t="str">
        <f>"49/173"</f>
        <v>49/173</v>
      </c>
      <c r="K33" t="str">
        <f>"140/908"</f>
        <v>140/908</v>
      </c>
    </row>
    <row r="34" spans="3:11" x14ac:dyDescent="0.25">
      <c r="C34" t="s">
        <v>25</v>
      </c>
      <c r="D34" t="s">
        <v>44</v>
      </c>
      <c r="E34">
        <v>6.87</v>
      </c>
      <c r="F34">
        <v>5.8</v>
      </c>
      <c r="G34">
        <v>6.47</v>
      </c>
      <c r="I34" t="str">
        <f>"361/1712"</f>
        <v>361/1712</v>
      </c>
      <c r="J34" t="str">
        <f>"201/482"</f>
        <v>201/482</v>
      </c>
      <c r="K34" t="str">
        <f>"494/1376"</f>
        <v>494/1376</v>
      </c>
    </row>
    <row r="35" spans="3:11" x14ac:dyDescent="0.25">
      <c r="C35" t="s">
        <v>27</v>
      </c>
      <c r="D35" t="s">
        <v>427</v>
      </c>
      <c r="E35">
        <v>7.01</v>
      </c>
      <c r="F35">
        <v>5.71</v>
      </c>
      <c r="G35">
        <v>6.39</v>
      </c>
      <c r="I35" t="str">
        <f>"117/1759"</f>
        <v>117/1759</v>
      </c>
      <c r="J35" t="str">
        <f>"49/173"</f>
        <v>49/173</v>
      </c>
      <c r="K35" t="str">
        <f>"140/908"</f>
        <v>140/908</v>
      </c>
    </row>
    <row r="36" spans="3:11" x14ac:dyDescent="0.25">
      <c r="C36" t="s">
        <v>29</v>
      </c>
      <c r="D36" t="s">
        <v>34</v>
      </c>
      <c r="E36">
        <v>6.98</v>
      </c>
      <c r="F36">
        <v>5.59</v>
      </c>
      <c r="G36">
        <v>6.53</v>
      </c>
      <c r="I36" t="str">
        <f>"589/6533"</f>
        <v>589/6533</v>
      </c>
      <c r="J36" t="str">
        <f>"437/1378"</f>
        <v>437/1378</v>
      </c>
      <c r="K36" t="str">
        <f>"809/4478"</f>
        <v>809/4478</v>
      </c>
    </row>
    <row r="37" spans="3:11" x14ac:dyDescent="0.25">
      <c r="C37" t="s">
        <v>31</v>
      </c>
      <c r="D37" t="s">
        <v>428</v>
      </c>
      <c r="E37">
        <v>6.92</v>
      </c>
      <c r="F37">
        <v>5.39</v>
      </c>
      <c r="G37">
        <v>6.79</v>
      </c>
      <c r="I37" t="str">
        <f>"129/749"</f>
        <v>129/749</v>
      </c>
      <c r="J37" t="str">
        <f>"74/167"</f>
        <v>74/167</v>
      </c>
      <c r="K37" t="str">
        <f>"145/660"</f>
        <v>145/660</v>
      </c>
    </row>
    <row r="38" spans="3:11" x14ac:dyDescent="0.25">
      <c r="C38" t="s">
        <v>33</v>
      </c>
      <c r="D38" t="s">
        <v>61</v>
      </c>
      <c r="E38">
        <v>6.96</v>
      </c>
      <c r="F38">
        <v>5.23</v>
      </c>
      <c r="G38">
        <v>6.89</v>
      </c>
      <c r="I38" t="str">
        <f>"292/1540"</f>
        <v>292/1540</v>
      </c>
      <c r="J38" t="str">
        <f>"206/295"</f>
        <v>206/295</v>
      </c>
      <c r="K38" t="str">
        <f>"344/983"</f>
        <v>344/983</v>
      </c>
    </row>
    <row r="39" spans="3:11" x14ac:dyDescent="0.25">
      <c r="C39" t="s">
        <v>35</v>
      </c>
      <c r="D39" t="s">
        <v>49</v>
      </c>
      <c r="E39">
        <v>6.97</v>
      </c>
      <c r="F39">
        <v>5.0999999999999996</v>
      </c>
      <c r="G39">
        <v>6.91</v>
      </c>
      <c r="I39" t="str">
        <f>"296/1866"</f>
        <v>296/1866</v>
      </c>
      <c r="J39" t="str">
        <f>"180/367"</f>
        <v>180/367</v>
      </c>
      <c r="K39" t="str">
        <f>"392/1951"</f>
        <v>392/1951</v>
      </c>
    </row>
    <row r="40" spans="3:11" x14ac:dyDescent="0.25">
      <c r="C40" t="s">
        <v>37</v>
      </c>
      <c r="D40" t="s">
        <v>40</v>
      </c>
      <c r="E40">
        <v>6.96</v>
      </c>
      <c r="F40">
        <v>5.66</v>
      </c>
      <c r="G40">
        <v>6.29</v>
      </c>
      <c r="I40" t="str">
        <f>"300/2204"</f>
        <v>300/2204</v>
      </c>
      <c r="J40" t="str">
        <f>"175/551"</f>
        <v>175/551</v>
      </c>
      <c r="K40" t="str">
        <f>"355/1371"</f>
        <v>355/1371</v>
      </c>
    </row>
    <row r="41" spans="3:11" x14ac:dyDescent="0.25">
      <c r="C41" t="s">
        <v>39</v>
      </c>
      <c r="D41" t="s">
        <v>73</v>
      </c>
      <c r="E41">
        <v>6.98</v>
      </c>
      <c r="F41">
        <v>4.97</v>
      </c>
      <c r="G41">
        <v>6.91</v>
      </c>
      <c r="I41" t="str">
        <f>"173/1280"</f>
        <v>173/1280</v>
      </c>
      <c r="J41" t="str">
        <f>"91/96"</f>
        <v>91/96</v>
      </c>
      <c r="K41" t="str">
        <f>"170/636"</f>
        <v>170/636</v>
      </c>
    </row>
    <row r="42" spans="3:11" x14ac:dyDescent="0.25">
      <c r="C42" t="s">
        <v>41</v>
      </c>
      <c r="D42" t="s">
        <v>69</v>
      </c>
      <c r="E42">
        <v>6.86</v>
      </c>
      <c r="F42">
        <v>5.64</v>
      </c>
      <c r="G42">
        <v>6.34</v>
      </c>
      <c r="I42" t="str">
        <f>"625/3536"</f>
        <v>625/3536</v>
      </c>
      <c r="J42" t="str">
        <f>"479/1165"</f>
        <v>479/1165</v>
      </c>
      <c r="K42" t="str">
        <f>"920/4036"</f>
        <v>920/4036</v>
      </c>
    </row>
    <row r="43" spans="3:11" x14ac:dyDescent="0.25">
      <c r="C43" t="s">
        <v>43</v>
      </c>
      <c r="D43" t="s">
        <v>54</v>
      </c>
      <c r="E43">
        <v>6.89</v>
      </c>
      <c r="F43">
        <v>5.57</v>
      </c>
      <c r="G43">
        <v>6.34</v>
      </c>
      <c r="I43" t="str">
        <f>"628/4683"</f>
        <v>628/4683</v>
      </c>
      <c r="J43" t="str">
        <f>"528/1714"</f>
        <v>528/1714</v>
      </c>
      <c r="K43" t="str">
        <f>"973/5229"</f>
        <v>973/5229</v>
      </c>
    </row>
    <row r="44" spans="3:11" x14ac:dyDescent="0.25">
      <c r="C44" t="s">
        <v>66</v>
      </c>
      <c r="D44" t="s">
        <v>59</v>
      </c>
      <c r="E44">
        <v>6.93</v>
      </c>
      <c r="F44">
        <v>5.43</v>
      </c>
      <c r="G44">
        <v>6.41</v>
      </c>
      <c r="I44" t="str">
        <f>"136/1345"</f>
        <v>136/1345</v>
      </c>
      <c r="J44" t="str">
        <f>"86/237"</f>
        <v>86/237</v>
      </c>
      <c r="K44" t="str">
        <f>"155/809"</f>
        <v>155/809</v>
      </c>
    </row>
    <row r="45" spans="3:11" x14ac:dyDescent="0.25">
      <c r="C45" t="s">
        <v>68</v>
      </c>
      <c r="D45" t="s">
        <v>60</v>
      </c>
      <c r="E45">
        <v>6.99</v>
      </c>
      <c r="F45">
        <v>4.8099999999999996</v>
      </c>
      <c r="G45">
        <v>6.94</v>
      </c>
      <c r="I45" t="str">
        <f>"173/1280"</f>
        <v>173/1280</v>
      </c>
      <c r="J45" t="str">
        <f>"91/96"</f>
        <v>91/96</v>
      </c>
      <c r="K45" t="str">
        <f>"170/636"</f>
        <v>170/636</v>
      </c>
    </row>
    <row r="46" spans="3:11" x14ac:dyDescent="0.25">
      <c r="C46" t="s">
        <v>70</v>
      </c>
      <c r="D46" t="s">
        <v>58</v>
      </c>
      <c r="E46">
        <v>6.97</v>
      </c>
      <c r="F46">
        <v>5.32</v>
      </c>
      <c r="G46">
        <v>6.44</v>
      </c>
      <c r="I46" t="str">
        <f>"323/3796"</f>
        <v>323/3796</v>
      </c>
      <c r="J46" t="str">
        <f>"182/633"</f>
        <v>182/633</v>
      </c>
      <c r="K46" t="str">
        <f>"369/2147"</f>
        <v>369/2147</v>
      </c>
    </row>
    <row r="47" spans="3:11" x14ac:dyDescent="0.25">
      <c r="C47" t="s">
        <v>72</v>
      </c>
      <c r="D47" t="s">
        <v>42</v>
      </c>
      <c r="E47">
        <v>6.92</v>
      </c>
      <c r="F47">
        <v>5.5</v>
      </c>
      <c r="G47">
        <v>6.27</v>
      </c>
      <c r="I47" t="str">
        <f>"405/2774"</f>
        <v>405/2774</v>
      </c>
      <c r="J47" t="str">
        <f>"279/781"</f>
        <v>279/781</v>
      </c>
      <c r="K47" t="str">
        <f>"485/1926"</f>
        <v>485/1926</v>
      </c>
    </row>
    <row r="48" spans="3:11" x14ac:dyDescent="0.25">
      <c r="C48" t="s">
        <v>74</v>
      </c>
      <c r="D48" t="s">
        <v>79</v>
      </c>
      <c r="E48">
        <v>6.94</v>
      </c>
      <c r="F48">
        <v>4.8899999999999997</v>
      </c>
      <c r="G48">
        <v>6.6</v>
      </c>
      <c r="I48" t="str">
        <f>"405/2328"</f>
        <v>405/2328</v>
      </c>
      <c r="J48" t="str">
        <f>"275/633"</f>
        <v>275/633</v>
      </c>
      <c r="K48" t="str">
        <f>"564/2712"</f>
        <v>564/2712</v>
      </c>
    </row>
    <row r="49" spans="3:11" x14ac:dyDescent="0.25">
      <c r="C49" t="s">
        <v>76</v>
      </c>
      <c r="D49" t="s">
        <v>103</v>
      </c>
      <c r="E49">
        <v>6.93</v>
      </c>
      <c r="F49">
        <v>4.21</v>
      </c>
      <c r="G49">
        <v>6.89</v>
      </c>
      <c r="I49" t="str">
        <f>"288/1624"</f>
        <v>288/1624</v>
      </c>
      <c r="J49" t="str">
        <f>"212/276"</f>
        <v>212/276</v>
      </c>
      <c r="K49" t="str">
        <f>"325/1038"</f>
        <v>325/1038</v>
      </c>
    </row>
    <row r="50" spans="3:11" x14ac:dyDescent="0.25">
      <c r="C50" t="s">
        <v>78</v>
      </c>
      <c r="D50" t="s">
        <v>99</v>
      </c>
      <c r="E50">
        <v>6.87</v>
      </c>
      <c r="F50">
        <v>4.45</v>
      </c>
      <c r="G50">
        <v>6.62</v>
      </c>
      <c r="I50" t="str">
        <f>"417/2430"</f>
        <v>417/2430</v>
      </c>
      <c r="J50" t="str">
        <f>"282/708"</f>
        <v>282/708</v>
      </c>
      <c r="K50" t="str">
        <f>"596/3006"</f>
        <v>596/3006</v>
      </c>
    </row>
    <row r="51" spans="3:11" x14ac:dyDescent="0.25">
      <c r="C51" t="s">
        <v>80</v>
      </c>
      <c r="D51" t="s">
        <v>429</v>
      </c>
      <c r="E51">
        <v>6.86</v>
      </c>
      <c r="F51">
        <v>4.1900000000000004</v>
      </c>
      <c r="G51">
        <v>6.88</v>
      </c>
      <c r="I51" t="str">
        <f>"244/584"</f>
        <v>244/584</v>
      </c>
      <c r="J51" t="str">
        <f>"118/147"</f>
        <v>118/147</v>
      </c>
      <c r="K51" t="str">
        <f>"246/771"</f>
        <v>246/771</v>
      </c>
    </row>
    <row r="52" spans="3:11" x14ac:dyDescent="0.25">
      <c r="C52" t="s">
        <v>82</v>
      </c>
      <c r="D52" t="s">
        <v>206</v>
      </c>
      <c r="E52">
        <v>6.91</v>
      </c>
      <c r="F52">
        <v>4.26</v>
      </c>
      <c r="G52">
        <v>6.74</v>
      </c>
      <c r="I52" t="str">
        <f>"414/2420"</f>
        <v>414/2420</v>
      </c>
      <c r="J52" t="str">
        <f>"282/708"</f>
        <v>282/708</v>
      </c>
      <c r="K52" t="str">
        <f>"591/2975"</f>
        <v>591/2975</v>
      </c>
    </row>
    <row r="53" spans="3:11" x14ac:dyDescent="0.25">
      <c r="C53" t="s">
        <v>84</v>
      </c>
      <c r="D53" t="s">
        <v>87</v>
      </c>
      <c r="E53">
        <v>6.94</v>
      </c>
      <c r="F53">
        <v>4.2</v>
      </c>
      <c r="G53">
        <v>6.69</v>
      </c>
      <c r="I53" t="str">
        <f>"288/1624"</f>
        <v>288/1624</v>
      </c>
      <c r="J53" t="str">
        <f>"212/276"</f>
        <v>212/276</v>
      </c>
      <c r="K53" t="str">
        <f>"325/1038"</f>
        <v>325/1038</v>
      </c>
    </row>
    <row r="54" spans="3:11" x14ac:dyDescent="0.25">
      <c r="C54" t="s">
        <v>86</v>
      </c>
      <c r="D54" t="s">
        <v>430</v>
      </c>
      <c r="E54">
        <v>6.87</v>
      </c>
      <c r="F54">
        <v>4.33</v>
      </c>
      <c r="G54">
        <v>6.28</v>
      </c>
      <c r="I54" t="str">
        <f>"321/2275"</f>
        <v>321/2275</v>
      </c>
      <c r="J54" t="str">
        <f>"166/404"</f>
        <v>166/404</v>
      </c>
      <c r="K54" t="str">
        <f>"333/1406"</f>
        <v>333/1406</v>
      </c>
    </row>
    <row r="55" spans="3:11" x14ac:dyDescent="0.25">
      <c r="C55" t="s">
        <v>88</v>
      </c>
      <c r="D55" t="s">
        <v>77</v>
      </c>
      <c r="E55">
        <v>6.89</v>
      </c>
      <c r="F55">
        <v>4.2</v>
      </c>
      <c r="G55">
        <v>6.34</v>
      </c>
      <c r="I55" t="str">
        <f>"526/3845"</f>
        <v>526/3845</v>
      </c>
      <c r="J55" t="str">
        <f>"369/1181"</f>
        <v>369/1181</v>
      </c>
      <c r="K55" t="str">
        <f>"785/4340"</f>
        <v>785/4340</v>
      </c>
    </row>
    <row r="56" spans="3:11" x14ac:dyDescent="0.25">
      <c r="C56" t="s">
        <v>90</v>
      </c>
      <c r="D56" t="s">
        <v>431</v>
      </c>
      <c r="E56">
        <v>6.93</v>
      </c>
      <c r="F56">
        <v>3.92</v>
      </c>
      <c r="G56">
        <v>6.28</v>
      </c>
      <c r="I56" t="str">
        <f>"185/1202"</f>
        <v>185/1202</v>
      </c>
      <c r="J56" t="str">
        <f>"100/233"</f>
        <v>100/233</v>
      </c>
      <c r="K56" t="str">
        <f>"167/716"</f>
        <v>167/716</v>
      </c>
    </row>
    <row r="57" spans="3:11" x14ac:dyDescent="0.25">
      <c r="C57" t="s">
        <v>92</v>
      </c>
      <c r="D57" t="s">
        <v>105</v>
      </c>
      <c r="E57">
        <v>6.84</v>
      </c>
      <c r="F57">
        <v>3.75</v>
      </c>
      <c r="G57">
        <v>6.28</v>
      </c>
      <c r="I57" t="str">
        <f>"671/3536"</f>
        <v>671/3536</v>
      </c>
      <c r="J57" t="str">
        <f>"439/868"</f>
        <v>439/868</v>
      </c>
      <c r="K57" t="str">
        <f>"984/3406"</f>
        <v>984/3406</v>
      </c>
    </row>
    <row r="58" spans="3:11" x14ac:dyDescent="0.25">
      <c r="C58" t="s">
        <v>45</v>
      </c>
      <c r="D58" t="s">
        <v>432</v>
      </c>
      <c r="K58" t="s">
        <v>109</v>
      </c>
    </row>
    <row r="60" spans="3:11" x14ac:dyDescent="0.25">
      <c r="C60" t="s">
        <v>110</v>
      </c>
      <c r="F60" t="s">
        <v>423</v>
      </c>
      <c r="J60" t="s">
        <v>6</v>
      </c>
    </row>
    <row r="61" spans="3:11" x14ac:dyDescent="0.25">
      <c r="D61" t="s">
        <v>7</v>
      </c>
      <c r="E61" t="s">
        <v>8</v>
      </c>
      <c r="F61" t="s">
        <v>9</v>
      </c>
      <c r="G61" t="s">
        <v>10</v>
      </c>
      <c r="I61" t="s">
        <v>8</v>
      </c>
      <c r="J61" t="s">
        <v>9</v>
      </c>
      <c r="K61" t="s">
        <v>10</v>
      </c>
    </row>
    <row r="62" spans="3:11" x14ac:dyDescent="0.25">
      <c r="C62" t="s">
        <v>11</v>
      </c>
      <c r="D62" t="s">
        <v>111</v>
      </c>
      <c r="E62">
        <v>6.86</v>
      </c>
      <c r="F62">
        <v>6.83</v>
      </c>
      <c r="G62">
        <v>6.23</v>
      </c>
      <c r="I62" t="str">
        <f>"322/1660"</f>
        <v>322/1660</v>
      </c>
      <c r="J62" t="str">
        <f>"287/1677"</f>
        <v>287/1677</v>
      </c>
      <c r="K62" t="str">
        <f>"481/1467"</f>
        <v>481/1467</v>
      </c>
    </row>
    <row r="63" spans="3:11" x14ac:dyDescent="0.25">
      <c r="C63" t="s">
        <v>13</v>
      </c>
      <c r="D63" t="s">
        <v>121</v>
      </c>
      <c r="E63">
        <v>6.89</v>
      </c>
      <c r="F63">
        <v>6.75</v>
      </c>
      <c r="G63">
        <v>6.11</v>
      </c>
      <c r="I63" t="str">
        <f>"265/1251"</f>
        <v>265/1251</v>
      </c>
      <c r="J63" t="str">
        <f>"232/1220"</f>
        <v>232/1220</v>
      </c>
      <c r="K63" t="str">
        <f>"366/1042"</f>
        <v>366/1042</v>
      </c>
    </row>
    <row r="64" spans="3:11" x14ac:dyDescent="0.25">
      <c r="C64" t="s">
        <v>15</v>
      </c>
      <c r="D64" t="s">
        <v>321</v>
      </c>
      <c r="E64">
        <v>6.87</v>
      </c>
      <c r="F64">
        <v>6.55</v>
      </c>
      <c r="G64">
        <v>6.23</v>
      </c>
      <c r="I64" t="str">
        <f>"275/1291"</f>
        <v>275/1291</v>
      </c>
      <c r="J64" t="str">
        <f>"181/1025"</f>
        <v>181/1025</v>
      </c>
      <c r="K64" t="str">
        <f>"375/1274"</f>
        <v>375/1274</v>
      </c>
    </row>
    <row r="65" spans="3:11" x14ac:dyDescent="0.25">
      <c r="C65" t="s">
        <v>17</v>
      </c>
      <c r="D65" t="s">
        <v>113</v>
      </c>
      <c r="E65">
        <v>6.88</v>
      </c>
      <c r="F65">
        <v>6.8</v>
      </c>
      <c r="G65">
        <v>5.84</v>
      </c>
      <c r="I65" t="str">
        <f>"377/1237"</f>
        <v>377/1237</v>
      </c>
      <c r="J65" t="str">
        <f>"349/1292"</f>
        <v>349/1292</v>
      </c>
      <c r="K65" t="str">
        <f>"694/2254"</f>
        <v>694/2254</v>
      </c>
    </row>
    <row r="66" spans="3:11" x14ac:dyDescent="0.25">
      <c r="C66" t="s">
        <v>19</v>
      </c>
      <c r="D66" t="s">
        <v>112</v>
      </c>
      <c r="E66">
        <v>6.86</v>
      </c>
      <c r="F66">
        <v>6.8</v>
      </c>
      <c r="G66">
        <v>5.73</v>
      </c>
      <c r="I66" t="str">
        <f>"377/1237"</f>
        <v>377/1237</v>
      </c>
      <c r="J66" t="str">
        <f>"346/1289"</f>
        <v>346/1289</v>
      </c>
      <c r="K66" t="str">
        <f>"689/2249"</f>
        <v>689/2249</v>
      </c>
    </row>
    <row r="67" spans="3:11" x14ac:dyDescent="0.25">
      <c r="C67" t="s">
        <v>21</v>
      </c>
      <c r="D67" t="s">
        <v>433</v>
      </c>
      <c r="E67">
        <v>6.93</v>
      </c>
      <c r="F67">
        <v>5.91</v>
      </c>
      <c r="G67">
        <v>5.43</v>
      </c>
      <c r="I67" t="str">
        <f>"152/847"</f>
        <v>152/847</v>
      </c>
      <c r="J67" t="str">
        <f>"66/161"</f>
        <v>66/161</v>
      </c>
      <c r="K67" t="str">
        <f>"127/433"</f>
        <v>127/433</v>
      </c>
    </row>
    <row r="68" spans="3:11" x14ac:dyDescent="0.25">
      <c r="C68" t="s">
        <v>23</v>
      </c>
      <c r="D68" t="s">
        <v>309</v>
      </c>
      <c r="E68">
        <v>6.89</v>
      </c>
      <c r="F68">
        <v>6.71</v>
      </c>
      <c r="G68">
        <v>4.57</v>
      </c>
      <c r="I68" t="str">
        <f>"223/604"</f>
        <v>223/604</v>
      </c>
      <c r="J68" t="str">
        <f>"192/709"</f>
        <v>192/709</v>
      </c>
      <c r="K68" t="str">
        <f>"347/948"</f>
        <v>347/948</v>
      </c>
    </row>
    <row r="69" spans="3:11" x14ac:dyDescent="0.25">
      <c r="C69" t="s">
        <v>45</v>
      </c>
      <c r="D69" t="s">
        <v>434</v>
      </c>
      <c r="K69" t="s">
        <v>118</v>
      </c>
    </row>
    <row r="71" spans="3:11" x14ac:dyDescent="0.25">
      <c r="C71" t="s">
        <v>119</v>
      </c>
      <c r="F71" t="s">
        <v>423</v>
      </c>
      <c r="J71" t="s">
        <v>6</v>
      </c>
    </row>
    <row r="72" spans="3:11" x14ac:dyDescent="0.25">
      <c r="D72" t="s">
        <v>7</v>
      </c>
      <c r="E72" t="s">
        <v>8</v>
      </c>
      <c r="F72" t="s">
        <v>9</v>
      </c>
      <c r="G72" t="s">
        <v>10</v>
      </c>
      <c r="I72" t="s">
        <v>8</v>
      </c>
      <c r="J72" t="s">
        <v>9</v>
      </c>
      <c r="K72" t="s">
        <v>10</v>
      </c>
    </row>
    <row r="73" spans="3:11" x14ac:dyDescent="0.25">
      <c r="C73" t="s">
        <v>11</v>
      </c>
      <c r="D73" t="s">
        <v>120</v>
      </c>
      <c r="E73">
        <v>6.72</v>
      </c>
      <c r="F73">
        <v>6.82</v>
      </c>
      <c r="G73">
        <v>6.65</v>
      </c>
      <c r="I73" t="str">
        <f>"159/407"</f>
        <v>159/407</v>
      </c>
      <c r="J73" t="str">
        <f>"136/486"</f>
        <v>136/486</v>
      </c>
      <c r="K73" t="str">
        <f>"277/957"</f>
        <v>277/957</v>
      </c>
    </row>
    <row r="74" spans="3:11" x14ac:dyDescent="0.25">
      <c r="C74" t="s">
        <v>13</v>
      </c>
      <c r="D74" t="s">
        <v>435</v>
      </c>
      <c r="E74">
        <v>6.57</v>
      </c>
      <c r="F74">
        <v>6.25</v>
      </c>
      <c r="G74">
        <v>6.8</v>
      </c>
      <c r="I74" t="str">
        <f>"169/351"</f>
        <v>169/351</v>
      </c>
      <c r="J74" t="str">
        <f>"121/200"</f>
        <v>121/200</v>
      </c>
      <c r="K74" t="str">
        <f>"188/463"</f>
        <v>188/463</v>
      </c>
    </row>
    <row r="75" spans="3:11" x14ac:dyDescent="0.25">
      <c r="C75" t="s">
        <v>15</v>
      </c>
      <c r="D75" t="s">
        <v>123</v>
      </c>
      <c r="E75">
        <v>6.6</v>
      </c>
      <c r="F75">
        <v>6.61</v>
      </c>
      <c r="G75">
        <v>6.39</v>
      </c>
      <c r="I75" t="str">
        <f>"210/756"</f>
        <v>210/756</v>
      </c>
      <c r="J75" t="str">
        <f>"230/1022"</f>
        <v>230/1022</v>
      </c>
      <c r="K75" t="str">
        <f>"398/1224"</f>
        <v>398/1224</v>
      </c>
    </row>
    <row r="76" spans="3:11" x14ac:dyDescent="0.25">
      <c r="C76" t="s">
        <v>17</v>
      </c>
      <c r="D76" t="s">
        <v>127</v>
      </c>
      <c r="E76">
        <v>6.73</v>
      </c>
      <c r="F76">
        <v>6.5</v>
      </c>
      <c r="G76">
        <v>6.33</v>
      </c>
      <c r="I76" t="str">
        <f>"485/1835"</f>
        <v>485/1835</v>
      </c>
      <c r="J76" t="str">
        <f>"486/1830"</f>
        <v>486/1830</v>
      </c>
      <c r="K76" t="str">
        <f>"899/2778"</f>
        <v>899/2778</v>
      </c>
    </row>
    <row r="77" spans="3:11" x14ac:dyDescent="0.25">
      <c r="C77" t="s">
        <v>19</v>
      </c>
      <c r="D77" t="s">
        <v>128</v>
      </c>
      <c r="E77">
        <v>6.53</v>
      </c>
      <c r="F77">
        <v>6.15</v>
      </c>
      <c r="G77">
        <v>6.86</v>
      </c>
      <c r="I77" t="str">
        <f>"222/356"</f>
        <v>222/356</v>
      </c>
      <c r="J77" t="str">
        <f>"166/293"</f>
        <v>166/293</v>
      </c>
      <c r="K77" t="str">
        <f>"254/659"</f>
        <v>254/659</v>
      </c>
    </row>
    <row r="78" spans="3:11" x14ac:dyDescent="0.25">
      <c r="C78" t="s">
        <v>21</v>
      </c>
      <c r="D78" t="s">
        <v>122</v>
      </c>
      <c r="E78">
        <v>6.77</v>
      </c>
      <c r="F78">
        <v>6.14</v>
      </c>
      <c r="G78">
        <v>6.54</v>
      </c>
      <c r="I78" t="str">
        <f>"533/2925"</f>
        <v>533/2925</v>
      </c>
      <c r="J78" t="str">
        <f>"447/1358"</f>
        <v>447/1358</v>
      </c>
      <c r="K78" t="str">
        <f>"815/3345"</f>
        <v>815/3345</v>
      </c>
    </row>
    <row r="79" spans="3:11" x14ac:dyDescent="0.25">
      <c r="C79" t="s">
        <v>23</v>
      </c>
      <c r="D79" t="s">
        <v>436</v>
      </c>
      <c r="E79">
        <v>6.64</v>
      </c>
      <c r="F79">
        <v>6.35</v>
      </c>
      <c r="G79">
        <v>6.42</v>
      </c>
      <c r="I79" t="str">
        <f>"107/293"</f>
        <v>107/293</v>
      </c>
      <c r="J79" t="str">
        <f>"62/197"</f>
        <v>62/197</v>
      </c>
      <c r="K79" t="str">
        <f>"100/224"</f>
        <v>100/224</v>
      </c>
    </row>
    <row r="80" spans="3:11" x14ac:dyDescent="0.25">
      <c r="C80" t="s">
        <v>25</v>
      </c>
      <c r="D80" t="s">
        <v>126</v>
      </c>
      <c r="E80">
        <v>6.59</v>
      </c>
      <c r="F80">
        <v>6.17</v>
      </c>
      <c r="G80">
        <v>6.51</v>
      </c>
      <c r="I80" t="str">
        <f>"848/2641"</f>
        <v>848/2641</v>
      </c>
      <c r="J80" t="str">
        <f>"459/956"</f>
        <v>459/956</v>
      </c>
      <c r="K80" t="str">
        <f>"993/2560"</f>
        <v>993/2560</v>
      </c>
    </row>
    <row r="81" spans="2:11" x14ac:dyDescent="0.25">
      <c r="C81" t="s">
        <v>27</v>
      </c>
      <c r="D81" t="s">
        <v>437</v>
      </c>
      <c r="E81">
        <v>6.72</v>
      </c>
      <c r="F81">
        <v>6.15</v>
      </c>
      <c r="G81">
        <v>6.38</v>
      </c>
      <c r="I81" t="str">
        <f>"107/293"</f>
        <v>107/293</v>
      </c>
      <c r="J81" t="str">
        <f>"62/197"</f>
        <v>62/197</v>
      </c>
      <c r="K81" t="str">
        <f>"100/224"</f>
        <v>100/224</v>
      </c>
    </row>
    <row r="82" spans="2:11" x14ac:dyDescent="0.25">
      <c r="C82" t="s">
        <v>29</v>
      </c>
      <c r="D82" t="s">
        <v>129</v>
      </c>
      <c r="E82">
        <v>6.19</v>
      </c>
      <c r="F82">
        <v>6.69</v>
      </c>
      <c r="G82">
        <v>6.36</v>
      </c>
      <c r="I82" t="str">
        <f>"272/526"</f>
        <v>272/526</v>
      </c>
      <c r="J82" t="str">
        <f>"230/722"</f>
        <v>230/722</v>
      </c>
      <c r="K82" t="str">
        <f>"530/1487"</f>
        <v>530/1487</v>
      </c>
    </row>
    <row r="83" spans="2:11" x14ac:dyDescent="0.25">
      <c r="C83" t="s">
        <v>31</v>
      </c>
      <c r="D83" t="s">
        <v>438</v>
      </c>
      <c r="E83">
        <v>6.82</v>
      </c>
      <c r="F83">
        <v>6.17</v>
      </c>
      <c r="G83">
        <v>6.24</v>
      </c>
      <c r="I83" t="str">
        <f>"112/316"</f>
        <v>112/316</v>
      </c>
      <c r="J83" t="str">
        <f>"77/251"</f>
        <v>77/251</v>
      </c>
      <c r="K83" t="str">
        <f>"135/311"</f>
        <v>135/311</v>
      </c>
    </row>
    <row r="84" spans="2:11" x14ac:dyDescent="0.25">
      <c r="C84" t="s">
        <v>33</v>
      </c>
      <c r="D84" t="s">
        <v>137</v>
      </c>
      <c r="E84">
        <v>6.6</v>
      </c>
      <c r="F84">
        <v>5.97</v>
      </c>
      <c r="G84">
        <v>6.63</v>
      </c>
      <c r="I84" t="str">
        <f>"130/292"</f>
        <v>130/292</v>
      </c>
      <c r="J84" t="str">
        <f>"89/147"</f>
        <v>89/147</v>
      </c>
      <c r="K84" t="str">
        <f>"133/308"</f>
        <v>133/308</v>
      </c>
    </row>
    <row r="85" spans="2:11" x14ac:dyDescent="0.25">
      <c r="C85" t="s">
        <v>35</v>
      </c>
      <c r="D85" t="s">
        <v>439</v>
      </c>
      <c r="E85">
        <v>6.63</v>
      </c>
      <c r="F85">
        <v>6</v>
      </c>
      <c r="G85">
        <v>6.42</v>
      </c>
      <c r="I85" t="str">
        <f>"514/1084"</f>
        <v>514/1084</v>
      </c>
      <c r="J85" t="str">
        <f>"318/590"</f>
        <v>318/590</v>
      </c>
      <c r="K85" t="str">
        <f>"534/1165"</f>
        <v>534/1165</v>
      </c>
    </row>
    <row r="86" spans="2:11" x14ac:dyDescent="0.25">
      <c r="C86" t="s">
        <v>37</v>
      </c>
      <c r="D86" t="s">
        <v>133</v>
      </c>
      <c r="E86">
        <v>6.54</v>
      </c>
      <c r="F86">
        <v>5.96</v>
      </c>
      <c r="G86">
        <v>6.51</v>
      </c>
      <c r="I86" t="str">
        <f>"145/307"</f>
        <v>145/307</v>
      </c>
      <c r="J86" t="str">
        <f>"96/166"</f>
        <v>96/166</v>
      </c>
      <c r="K86" t="str">
        <f>"149/387"</f>
        <v>149/387</v>
      </c>
    </row>
    <row r="87" spans="2:11" x14ac:dyDescent="0.25">
      <c r="C87" t="s">
        <v>39</v>
      </c>
      <c r="D87" t="s">
        <v>440</v>
      </c>
      <c r="E87">
        <v>6.45</v>
      </c>
      <c r="F87">
        <v>5.92</v>
      </c>
      <c r="G87">
        <v>6.49</v>
      </c>
      <c r="I87" t="str">
        <f>"142/293"</f>
        <v>142/293</v>
      </c>
      <c r="J87" t="str">
        <f>"101/159"</f>
        <v>101/159</v>
      </c>
      <c r="K87" t="str">
        <f>"138/302"</f>
        <v>138/302</v>
      </c>
    </row>
    <row r="88" spans="2:11" x14ac:dyDescent="0.25">
      <c r="C88" t="s">
        <v>41</v>
      </c>
      <c r="D88" t="s">
        <v>441</v>
      </c>
      <c r="E88">
        <v>6.48</v>
      </c>
      <c r="F88">
        <v>5.86</v>
      </c>
      <c r="G88">
        <v>6.44</v>
      </c>
      <c r="I88" t="str">
        <f>"120/277"</f>
        <v>120/277</v>
      </c>
      <c r="J88" t="str">
        <f>"82/137"</f>
        <v>82/137</v>
      </c>
      <c r="K88" t="str">
        <f>"127/295"</f>
        <v>127/295</v>
      </c>
    </row>
    <row r="89" spans="2:11" x14ac:dyDescent="0.25">
      <c r="C89" t="s">
        <v>43</v>
      </c>
      <c r="D89" t="s">
        <v>442</v>
      </c>
      <c r="E89">
        <v>5.42</v>
      </c>
      <c r="F89">
        <v>6.48</v>
      </c>
      <c r="G89">
        <v>6.7</v>
      </c>
      <c r="I89" t="str">
        <f>"111/136"</f>
        <v>111/136</v>
      </c>
      <c r="J89" t="str">
        <f>"80/167"</f>
        <v>80/167</v>
      </c>
      <c r="K89" t="str">
        <f>"145/326"</f>
        <v>145/326</v>
      </c>
    </row>
    <row r="90" spans="2:11" x14ac:dyDescent="0.25">
      <c r="C90" t="s">
        <v>66</v>
      </c>
      <c r="D90" t="s">
        <v>443</v>
      </c>
      <c r="E90">
        <v>6.39</v>
      </c>
      <c r="F90">
        <v>5.84</v>
      </c>
      <c r="G90">
        <v>6.3</v>
      </c>
      <c r="I90" t="str">
        <f>"484/995"</f>
        <v>484/995</v>
      </c>
      <c r="J90" t="str">
        <f>"272/464"</f>
        <v>272/464</v>
      </c>
      <c r="K90" t="str">
        <f>"491/1082"</f>
        <v>491/1082</v>
      </c>
    </row>
    <row r="91" spans="2:11" x14ac:dyDescent="0.25">
      <c r="C91" t="s">
        <v>45</v>
      </c>
      <c r="D91" t="s">
        <v>444</v>
      </c>
      <c r="K91" t="s">
        <v>139</v>
      </c>
    </row>
    <row r="93" spans="2:11" x14ac:dyDescent="0.25">
      <c r="B93" t="s">
        <v>140</v>
      </c>
      <c r="C93" t="s">
        <v>141</v>
      </c>
    </row>
    <row r="95" spans="2:11" x14ac:dyDescent="0.25">
      <c r="C95" t="s">
        <v>4</v>
      </c>
      <c r="F95" t="s">
        <v>423</v>
      </c>
      <c r="J95" t="s">
        <v>6</v>
      </c>
    </row>
    <row r="96" spans="2:11" x14ac:dyDescent="0.25">
      <c r="D96" t="s">
        <v>7</v>
      </c>
      <c r="E96" t="s">
        <v>8</v>
      </c>
      <c r="F96" t="s">
        <v>9</v>
      </c>
      <c r="G96" t="s">
        <v>10</v>
      </c>
      <c r="I96" t="s">
        <v>8</v>
      </c>
      <c r="J96" t="s">
        <v>9</v>
      </c>
      <c r="K96" t="s">
        <v>10</v>
      </c>
    </row>
    <row r="97" spans="2:11" x14ac:dyDescent="0.25">
      <c r="C97" t="s">
        <v>45</v>
      </c>
      <c r="D97" t="s">
        <v>142</v>
      </c>
      <c r="K97" t="s">
        <v>47</v>
      </c>
    </row>
    <row r="99" spans="2:11" x14ac:dyDescent="0.25">
      <c r="C99" t="s">
        <v>48</v>
      </c>
      <c r="F99" t="s">
        <v>423</v>
      </c>
      <c r="J99" t="s">
        <v>6</v>
      </c>
    </row>
    <row r="100" spans="2:11" x14ac:dyDescent="0.25">
      <c r="D100" t="s">
        <v>7</v>
      </c>
      <c r="E100" t="s">
        <v>8</v>
      </c>
      <c r="F100" t="s">
        <v>9</v>
      </c>
      <c r="G100" t="s">
        <v>10</v>
      </c>
      <c r="I100" t="s">
        <v>8</v>
      </c>
      <c r="J100" t="s">
        <v>9</v>
      </c>
      <c r="K100" t="s">
        <v>10</v>
      </c>
    </row>
    <row r="101" spans="2:11" x14ac:dyDescent="0.25">
      <c r="C101" t="s">
        <v>45</v>
      </c>
      <c r="D101" t="s">
        <v>142</v>
      </c>
      <c r="K101" t="s">
        <v>109</v>
      </c>
    </row>
    <row r="103" spans="2:11" x14ac:dyDescent="0.25">
      <c r="C103" t="s">
        <v>110</v>
      </c>
      <c r="F103" t="s">
        <v>423</v>
      </c>
      <c r="J103" t="s">
        <v>6</v>
      </c>
    </row>
    <row r="104" spans="2:11" x14ac:dyDescent="0.25">
      <c r="D104" t="s">
        <v>7</v>
      </c>
      <c r="E104" t="s">
        <v>8</v>
      </c>
      <c r="F104" t="s">
        <v>9</v>
      </c>
      <c r="G104" t="s">
        <v>10</v>
      </c>
      <c r="I104" t="s">
        <v>8</v>
      </c>
      <c r="J104" t="s">
        <v>9</v>
      </c>
      <c r="K104" t="s">
        <v>10</v>
      </c>
    </row>
    <row r="105" spans="2:11" x14ac:dyDescent="0.25">
      <c r="C105" t="s">
        <v>45</v>
      </c>
      <c r="D105" t="s">
        <v>142</v>
      </c>
      <c r="K105" t="s">
        <v>118</v>
      </c>
    </row>
    <row r="107" spans="2:11" x14ac:dyDescent="0.25">
      <c r="C107" t="s">
        <v>119</v>
      </c>
      <c r="F107" t="s">
        <v>423</v>
      </c>
      <c r="J107" t="s">
        <v>6</v>
      </c>
    </row>
    <row r="108" spans="2:11" x14ac:dyDescent="0.25">
      <c r="D108" t="s">
        <v>7</v>
      </c>
      <c r="E108" t="s">
        <v>8</v>
      </c>
      <c r="F108" t="s">
        <v>9</v>
      </c>
      <c r="G108" t="s">
        <v>10</v>
      </c>
      <c r="I108" t="s">
        <v>8</v>
      </c>
      <c r="J108" t="s">
        <v>9</v>
      </c>
      <c r="K108" t="s">
        <v>10</v>
      </c>
    </row>
    <row r="109" spans="2:11" x14ac:dyDescent="0.25">
      <c r="C109" t="s">
        <v>45</v>
      </c>
      <c r="D109" t="s">
        <v>142</v>
      </c>
      <c r="K109" t="s">
        <v>139</v>
      </c>
    </row>
    <row r="111" spans="2:11" x14ac:dyDescent="0.25">
      <c r="B111" t="s">
        <v>143</v>
      </c>
      <c r="C111" t="s">
        <v>144</v>
      </c>
    </row>
    <row r="113" spans="3:11" x14ac:dyDescent="0.25">
      <c r="C113" t="s">
        <v>4</v>
      </c>
      <c r="F113" t="s">
        <v>423</v>
      </c>
      <c r="J113" t="s">
        <v>6</v>
      </c>
    </row>
    <row r="114" spans="3:11" x14ac:dyDescent="0.25">
      <c r="D114" t="s">
        <v>7</v>
      </c>
      <c r="E114" t="s">
        <v>8</v>
      </c>
      <c r="F114" t="s">
        <v>9</v>
      </c>
      <c r="G114" t="s">
        <v>10</v>
      </c>
      <c r="I114" t="s">
        <v>8</v>
      </c>
      <c r="J114" t="s">
        <v>9</v>
      </c>
      <c r="K114" t="s">
        <v>10</v>
      </c>
    </row>
    <row r="115" spans="3:11" x14ac:dyDescent="0.25">
      <c r="C115" t="s">
        <v>45</v>
      </c>
      <c r="D115" t="s">
        <v>142</v>
      </c>
      <c r="K115" t="s">
        <v>47</v>
      </c>
    </row>
    <row r="117" spans="3:11" x14ac:dyDescent="0.25">
      <c r="C117" t="s">
        <v>48</v>
      </c>
      <c r="F117" t="s">
        <v>423</v>
      </c>
      <c r="J117" t="s">
        <v>6</v>
      </c>
    </row>
    <row r="118" spans="3:11" x14ac:dyDescent="0.25">
      <c r="D118" t="s">
        <v>7</v>
      </c>
      <c r="E118" t="s">
        <v>8</v>
      </c>
      <c r="F118" t="s">
        <v>9</v>
      </c>
      <c r="G118" t="s">
        <v>10</v>
      </c>
      <c r="I118" t="s">
        <v>8</v>
      </c>
      <c r="J118" t="s">
        <v>9</v>
      </c>
      <c r="K118" t="s">
        <v>10</v>
      </c>
    </row>
    <row r="119" spans="3:11" x14ac:dyDescent="0.25">
      <c r="C119" t="s">
        <v>45</v>
      </c>
      <c r="D119" t="s">
        <v>142</v>
      </c>
      <c r="K119" t="s">
        <v>109</v>
      </c>
    </row>
    <row r="121" spans="3:11" x14ac:dyDescent="0.25">
      <c r="C121" t="s">
        <v>110</v>
      </c>
      <c r="F121" t="s">
        <v>423</v>
      </c>
      <c r="J121" t="s">
        <v>6</v>
      </c>
    </row>
    <row r="122" spans="3:11" x14ac:dyDescent="0.25">
      <c r="D122" t="s">
        <v>7</v>
      </c>
      <c r="E122" t="s">
        <v>8</v>
      </c>
      <c r="F122" t="s">
        <v>9</v>
      </c>
      <c r="G122" t="s">
        <v>10</v>
      </c>
      <c r="I122" t="s">
        <v>8</v>
      </c>
      <c r="J122" t="s">
        <v>9</v>
      </c>
      <c r="K122" t="s">
        <v>10</v>
      </c>
    </row>
    <row r="123" spans="3:11" x14ac:dyDescent="0.25">
      <c r="C123" t="s">
        <v>45</v>
      </c>
      <c r="D123" t="s">
        <v>142</v>
      </c>
      <c r="K123" t="s">
        <v>118</v>
      </c>
    </row>
    <row r="125" spans="3:11" x14ac:dyDescent="0.25">
      <c r="C125" t="s">
        <v>119</v>
      </c>
      <c r="F125" t="s">
        <v>423</v>
      </c>
      <c r="J125" t="s">
        <v>6</v>
      </c>
    </row>
    <row r="126" spans="3:11" x14ac:dyDescent="0.25">
      <c r="D126" t="s">
        <v>7</v>
      </c>
      <c r="E126" t="s">
        <v>8</v>
      </c>
      <c r="F126" t="s">
        <v>9</v>
      </c>
      <c r="G126" t="s">
        <v>10</v>
      </c>
      <c r="I126" t="s">
        <v>8</v>
      </c>
      <c r="J126" t="s">
        <v>9</v>
      </c>
      <c r="K126" t="s">
        <v>10</v>
      </c>
    </row>
    <row r="127" spans="3:11" x14ac:dyDescent="0.25">
      <c r="C127" t="s">
        <v>45</v>
      </c>
      <c r="D127" t="s">
        <v>142</v>
      </c>
      <c r="K127" t="s">
        <v>139</v>
      </c>
    </row>
    <row r="131" spans="1:11" x14ac:dyDescent="0.25">
      <c r="A131" t="s">
        <v>0</v>
      </c>
      <c r="B131" t="s">
        <v>445</v>
      </c>
    </row>
    <row r="133" spans="1:11" x14ac:dyDescent="0.25">
      <c r="B133" t="s">
        <v>2</v>
      </c>
      <c r="C133" t="s">
        <v>3</v>
      </c>
    </row>
    <row r="135" spans="1:11" x14ac:dyDescent="0.25">
      <c r="C135" t="s">
        <v>4</v>
      </c>
      <c r="F135" t="s">
        <v>423</v>
      </c>
      <c r="J135" t="s">
        <v>6</v>
      </c>
    </row>
    <row r="136" spans="1:11" x14ac:dyDescent="0.25">
      <c r="D136" t="s">
        <v>7</v>
      </c>
      <c r="E136" t="s">
        <v>8</v>
      </c>
      <c r="F136" t="s">
        <v>9</v>
      </c>
      <c r="G136" t="s">
        <v>10</v>
      </c>
      <c r="I136" t="s">
        <v>8</v>
      </c>
      <c r="J136" t="s">
        <v>9</v>
      </c>
      <c r="K136" t="s">
        <v>10</v>
      </c>
    </row>
    <row r="137" spans="1:11" x14ac:dyDescent="0.25">
      <c r="C137" t="s">
        <v>11</v>
      </c>
      <c r="D137" t="s">
        <v>446</v>
      </c>
      <c r="E137">
        <v>1.95</v>
      </c>
      <c r="F137">
        <v>1.8</v>
      </c>
      <c r="G137">
        <v>0.73</v>
      </c>
      <c r="I137" t="str">
        <f>"77/71"</f>
        <v>77/71</v>
      </c>
      <c r="J137" t="str">
        <f>"52/49"</f>
        <v>52/49</v>
      </c>
      <c r="K137" t="str">
        <f>"106/109"</f>
        <v>106/109</v>
      </c>
    </row>
    <row r="138" spans="1:11" x14ac:dyDescent="0.25">
      <c r="C138" t="s">
        <v>13</v>
      </c>
      <c r="D138" t="s">
        <v>277</v>
      </c>
      <c r="E138">
        <v>1.95</v>
      </c>
      <c r="F138">
        <v>1.1100000000000001</v>
      </c>
      <c r="G138">
        <v>0.95</v>
      </c>
      <c r="I138" t="str">
        <f>"24/22"</f>
        <v>24/22</v>
      </c>
      <c r="J138" t="str">
        <f>"29/35"</f>
        <v>29/35</v>
      </c>
      <c r="K138" t="str">
        <f>"51/55"</f>
        <v>51/55</v>
      </c>
    </row>
    <row r="139" spans="1:11" x14ac:dyDescent="0.25">
      <c r="C139" t="s">
        <v>15</v>
      </c>
      <c r="D139" t="s">
        <v>157</v>
      </c>
      <c r="E139">
        <v>1.38</v>
      </c>
      <c r="F139">
        <v>1.72</v>
      </c>
      <c r="G139">
        <v>0.87</v>
      </c>
      <c r="I139" t="str">
        <f>"20/15"</f>
        <v>20/15</v>
      </c>
      <c r="J139" t="str">
        <f>"16/13"</f>
        <v>16/13</v>
      </c>
      <c r="K139" t="str">
        <f>"104/120"</f>
        <v>104/120</v>
      </c>
    </row>
    <row r="140" spans="1:11" x14ac:dyDescent="0.25">
      <c r="C140" t="s">
        <v>17</v>
      </c>
      <c r="D140" t="s">
        <v>149</v>
      </c>
      <c r="E140">
        <v>0.74</v>
      </c>
      <c r="F140">
        <v>1.52</v>
      </c>
      <c r="G140">
        <v>0.31</v>
      </c>
      <c r="I140" t="str">
        <f>"36/32"</f>
        <v>36/32</v>
      </c>
      <c r="J140" t="str">
        <f>"17/14"</f>
        <v>17/14</v>
      </c>
      <c r="K140" t="str">
        <f>"31/28"</f>
        <v>31/28</v>
      </c>
    </row>
    <row r="141" spans="1:11" x14ac:dyDescent="0.25">
      <c r="C141" t="s">
        <v>19</v>
      </c>
      <c r="D141" t="s">
        <v>150</v>
      </c>
      <c r="E141">
        <v>0.88</v>
      </c>
      <c r="F141">
        <v>1.46</v>
      </c>
      <c r="G141">
        <v>-0.09</v>
      </c>
      <c r="I141" t="str">
        <f>"35/31"</f>
        <v>35/31</v>
      </c>
      <c r="J141" t="str">
        <f>"15/12"</f>
        <v>15/12</v>
      </c>
      <c r="K141" t="str">
        <f>"31/28"</f>
        <v>31/28</v>
      </c>
    </row>
    <row r="142" spans="1:11" x14ac:dyDescent="0.25">
      <c r="C142" t="s">
        <v>21</v>
      </c>
      <c r="D142" t="s">
        <v>447</v>
      </c>
      <c r="E142">
        <v>1.31</v>
      </c>
      <c r="F142">
        <v>-0.57999999999999996</v>
      </c>
      <c r="G142">
        <v>0.77</v>
      </c>
      <c r="I142" t="str">
        <f>"39/70"</f>
        <v>39/70</v>
      </c>
      <c r="J142" t="str">
        <f>"19/25"</f>
        <v>19/25</v>
      </c>
      <c r="K142" t="str">
        <f>"52/131"</f>
        <v>52/131</v>
      </c>
    </row>
    <row r="143" spans="1:11" x14ac:dyDescent="0.25">
      <c r="C143" t="s">
        <v>45</v>
      </c>
      <c r="D143" t="s">
        <v>448</v>
      </c>
      <c r="K143" t="s">
        <v>154</v>
      </c>
    </row>
    <row r="145" spans="3:11" x14ac:dyDescent="0.25">
      <c r="C145" t="s">
        <v>48</v>
      </c>
      <c r="F145" t="s">
        <v>423</v>
      </c>
      <c r="J145" t="s">
        <v>6</v>
      </c>
    </row>
    <row r="146" spans="3:11" x14ac:dyDescent="0.25">
      <c r="D146" t="s">
        <v>7</v>
      </c>
      <c r="E146" t="s">
        <v>8</v>
      </c>
      <c r="F146" t="s">
        <v>9</v>
      </c>
      <c r="G146" t="s">
        <v>10</v>
      </c>
      <c r="I146" t="s">
        <v>8</v>
      </c>
      <c r="J146" t="s">
        <v>9</v>
      </c>
      <c r="K146" t="s">
        <v>10</v>
      </c>
    </row>
    <row r="147" spans="3:11" x14ac:dyDescent="0.25">
      <c r="C147" t="s">
        <v>11</v>
      </c>
      <c r="D147" t="s">
        <v>156</v>
      </c>
      <c r="E147">
        <v>1.93</v>
      </c>
      <c r="F147">
        <v>2.42</v>
      </c>
      <c r="G147">
        <v>0.87</v>
      </c>
      <c r="I147" t="str">
        <f>"20/15"</f>
        <v>20/15</v>
      </c>
      <c r="J147" t="str">
        <f>"16/13"</f>
        <v>16/13</v>
      </c>
      <c r="K147" t="str">
        <f>"106/123"</f>
        <v>106/123</v>
      </c>
    </row>
    <row r="148" spans="3:11" x14ac:dyDescent="0.25">
      <c r="C148" t="s">
        <v>13</v>
      </c>
      <c r="D148" t="s">
        <v>155</v>
      </c>
      <c r="E148">
        <v>1.43</v>
      </c>
      <c r="F148">
        <v>2.16</v>
      </c>
      <c r="G148">
        <v>0.53</v>
      </c>
      <c r="I148" t="str">
        <f>"20/15"</f>
        <v>20/15</v>
      </c>
      <c r="J148" t="str">
        <f>"15/12"</f>
        <v>15/12</v>
      </c>
      <c r="K148" t="str">
        <f>"97/109"</f>
        <v>97/109</v>
      </c>
    </row>
    <row r="149" spans="3:11" x14ac:dyDescent="0.25">
      <c r="C149" t="s">
        <v>15</v>
      </c>
      <c r="D149" t="s">
        <v>146</v>
      </c>
      <c r="E149">
        <v>1.63</v>
      </c>
      <c r="F149">
        <v>2.09</v>
      </c>
      <c r="G149">
        <v>0.27</v>
      </c>
      <c r="I149" t="str">
        <f>"66/60"</f>
        <v>66/60</v>
      </c>
      <c r="J149" t="str">
        <f>"41/40"</f>
        <v>41/40</v>
      </c>
      <c r="K149" t="str">
        <f>"76/77"</f>
        <v>76/77</v>
      </c>
    </row>
    <row r="150" spans="3:11" x14ac:dyDescent="0.25">
      <c r="C150" t="s">
        <v>45</v>
      </c>
      <c r="D150" t="s">
        <v>449</v>
      </c>
      <c r="K150" t="s">
        <v>160</v>
      </c>
    </row>
    <row r="152" spans="3:11" x14ac:dyDescent="0.25">
      <c r="C152" t="s">
        <v>110</v>
      </c>
      <c r="F152" t="s">
        <v>423</v>
      </c>
      <c r="J152" t="s">
        <v>6</v>
      </c>
    </row>
    <row r="153" spans="3:11" x14ac:dyDescent="0.25">
      <c r="D153" t="s">
        <v>7</v>
      </c>
      <c r="E153" t="s">
        <v>8</v>
      </c>
      <c r="F153" t="s">
        <v>9</v>
      </c>
      <c r="G153" t="s">
        <v>10</v>
      </c>
      <c r="I153" t="s">
        <v>8</v>
      </c>
      <c r="J153" t="s">
        <v>9</v>
      </c>
      <c r="K153" t="s">
        <v>10</v>
      </c>
    </row>
    <row r="154" spans="3:11" x14ac:dyDescent="0.25">
      <c r="C154" t="s">
        <v>11</v>
      </c>
      <c r="D154" t="s">
        <v>161</v>
      </c>
      <c r="E154">
        <v>1.68</v>
      </c>
      <c r="F154">
        <v>0.12</v>
      </c>
      <c r="G154">
        <v>4.63</v>
      </c>
      <c r="I154" t="str">
        <f>"16/16"</f>
        <v>16/16</v>
      </c>
      <c r="J154" t="str">
        <f>"11/15"</f>
        <v>11/15</v>
      </c>
      <c r="K154" t="str">
        <f>"55/68"</f>
        <v>55/68</v>
      </c>
    </row>
    <row r="155" spans="3:11" x14ac:dyDescent="0.25">
      <c r="C155" t="s">
        <v>13</v>
      </c>
      <c r="D155" t="s">
        <v>450</v>
      </c>
      <c r="E155">
        <v>0.51</v>
      </c>
      <c r="F155">
        <v>1.92</v>
      </c>
      <c r="G155">
        <v>2.1</v>
      </c>
      <c r="I155" t="str">
        <f>"13/11"</f>
        <v>13/11</v>
      </c>
      <c r="J155" t="str">
        <f>"32/53"</f>
        <v>32/53</v>
      </c>
      <c r="K155" t="str">
        <f>"79/145"</f>
        <v>79/145</v>
      </c>
    </row>
    <row r="156" spans="3:11" x14ac:dyDescent="0.25">
      <c r="C156" t="s">
        <v>15</v>
      </c>
      <c r="D156" t="s">
        <v>162</v>
      </c>
      <c r="E156">
        <v>1.48</v>
      </c>
      <c r="F156">
        <v>0.84</v>
      </c>
      <c r="G156">
        <v>2.11</v>
      </c>
      <c r="I156" t="str">
        <f>"40/40"</f>
        <v>40/40</v>
      </c>
      <c r="J156" t="str">
        <f>"40/46"</f>
        <v>40/46</v>
      </c>
      <c r="K156" t="str">
        <f>"123/141"</f>
        <v>123/141</v>
      </c>
    </row>
    <row r="157" spans="3:11" x14ac:dyDescent="0.25">
      <c r="C157" t="s">
        <v>17</v>
      </c>
      <c r="D157" t="s">
        <v>147</v>
      </c>
      <c r="E157">
        <v>1.8</v>
      </c>
      <c r="F157">
        <v>0.65</v>
      </c>
      <c r="G157">
        <v>1.34</v>
      </c>
      <c r="I157" t="str">
        <f>"27/24"</f>
        <v>27/24</v>
      </c>
      <c r="J157" t="str">
        <f>"30/36"</f>
        <v>30/36</v>
      </c>
      <c r="K157" t="str">
        <f>"65/68"</f>
        <v>65/68</v>
      </c>
    </row>
    <row r="158" spans="3:11" x14ac:dyDescent="0.25">
      <c r="C158" t="s">
        <v>19</v>
      </c>
      <c r="D158" t="s">
        <v>148</v>
      </c>
      <c r="E158">
        <v>1.52</v>
      </c>
      <c r="F158">
        <v>0.25</v>
      </c>
      <c r="G158">
        <v>1.6</v>
      </c>
      <c r="I158" t="str">
        <f>"41/49"</f>
        <v>41/49</v>
      </c>
      <c r="J158" t="str">
        <f>"13/14"</f>
        <v>13/14</v>
      </c>
      <c r="K158" t="str">
        <f>"47/52"</f>
        <v>47/52</v>
      </c>
    </row>
    <row r="159" spans="3:11" x14ac:dyDescent="0.25">
      <c r="C159" t="s">
        <v>21</v>
      </c>
      <c r="D159" t="s">
        <v>164</v>
      </c>
      <c r="E159">
        <v>1.71</v>
      </c>
      <c r="F159">
        <v>-0.28999999999999998</v>
      </c>
      <c r="G159">
        <v>1.95</v>
      </c>
      <c r="I159" t="str">
        <f>"17/19"</f>
        <v>17/19</v>
      </c>
      <c r="J159" t="str">
        <f>"14/12"</f>
        <v>14/12</v>
      </c>
      <c r="K159" t="str">
        <f>"34/34"</f>
        <v>34/34</v>
      </c>
    </row>
    <row r="160" spans="3:11" x14ac:dyDescent="0.25">
      <c r="C160" t="s">
        <v>23</v>
      </c>
      <c r="D160" t="s">
        <v>151</v>
      </c>
      <c r="E160">
        <v>1.21</v>
      </c>
      <c r="F160">
        <v>-0.28999999999999998</v>
      </c>
      <c r="G160">
        <v>2.0299999999999998</v>
      </c>
      <c r="I160" t="str">
        <f>"29/30"</f>
        <v>29/30</v>
      </c>
      <c r="J160" t="str">
        <f>"11/17"</f>
        <v>11/17</v>
      </c>
      <c r="K160" t="str">
        <f>"34/43"</f>
        <v>34/43</v>
      </c>
    </row>
    <row r="161" spans="3:11" x14ac:dyDescent="0.25">
      <c r="C161" t="s">
        <v>25</v>
      </c>
      <c r="D161" t="s">
        <v>165</v>
      </c>
      <c r="E161">
        <v>0.38</v>
      </c>
      <c r="F161">
        <v>-0.4</v>
      </c>
      <c r="G161">
        <v>2.23</v>
      </c>
      <c r="I161" t="str">
        <f>"18/21"</f>
        <v>18/21</v>
      </c>
      <c r="J161" t="str">
        <f>"14/12"</f>
        <v>14/12</v>
      </c>
      <c r="K161" t="str">
        <f>"37/38"</f>
        <v>37/38</v>
      </c>
    </row>
    <row r="162" spans="3:11" x14ac:dyDescent="0.25">
      <c r="C162" t="s">
        <v>27</v>
      </c>
      <c r="D162" t="s">
        <v>152</v>
      </c>
      <c r="E162">
        <v>1.1000000000000001</v>
      </c>
      <c r="F162">
        <v>-0.2</v>
      </c>
      <c r="G162">
        <v>1.3</v>
      </c>
      <c r="I162" t="str">
        <f>"29/30"</f>
        <v>29/30</v>
      </c>
      <c r="J162" t="str">
        <f>"11/17"</f>
        <v>11/17</v>
      </c>
      <c r="K162" t="str">
        <f>"34/43"</f>
        <v>34/43</v>
      </c>
    </row>
    <row r="163" spans="3:11" x14ac:dyDescent="0.25">
      <c r="C163" t="s">
        <v>29</v>
      </c>
      <c r="D163" t="s">
        <v>163</v>
      </c>
      <c r="E163">
        <v>-1.27</v>
      </c>
      <c r="F163">
        <v>-0.25</v>
      </c>
      <c r="G163">
        <v>3.12</v>
      </c>
      <c r="I163" t="str">
        <f>"20/16"</f>
        <v>20/16</v>
      </c>
      <c r="J163" t="str">
        <f>"12/17"</f>
        <v>12/17</v>
      </c>
      <c r="K163" t="str">
        <f>"39/119"</f>
        <v>39/119</v>
      </c>
    </row>
    <row r="164" spans="3:11" x14ac:dyDescent="0.25">
      <c r="C164" t="s">
        <v>45</v>
      </c>
      <c r="D164" t="s">
        <v>451</v>
      </c>
      <c r="K164" t="s">
        <v>167</v>
      </c>
    </row>
    <row r="166" spans="3:11" x14ac:dyDescent="0.25">
      <c r="C166" t="s">
        <v>119</v>
      </c>
      <c r="F166" t="s">
        <v>423</v>
      </c>
      <c r="J166" t="s">
        <v>6</v>
      </c>
    </row>
    <row r="167" spans="3:11" x14ac:dyDescent="0.25">
      <c r="D167" t="s">
        <v>7</v>
      </c>
      <c r="E167" t="s">
        <v>8</v>
      </c>
      <c r="F167" t="s">
        <v>9</v>
      </c>
      <c r="G167" t="s">
        <v>10</v>
      </c>
      <c r="I167" t="s">
        <v>8</v>
      </c>
      <c r="J167" t="s">
        <v>9</v>
      </c>
      <c r="K167" t="s">
        <v>10</v>
      </c>
    </row>
    <row r="168" spans="3:11" x14ac:dyDescent="0.25">
      <c r="C168" t="s">
        <v>11</v>
      </c>
      <c r="D168" t="s">
        <v>452</v>
      </c>
      <c r="E168">
        <v>4.62</v>
      </c>
      <c r="F168">
        <v>1.8</v>
      </c>
      <c r="G168">
        <v>1.0900000000000001</v>
      </c>
      <c r="I168" t="str">
        <f>"13/17"</f>
        <v>13/17</v>
      </c>
      <c r="J168" t="str">
        <f>"21/20"</f>
        <v>21/20</v>
      </c>
      <c r="K168" t="str">
        <f>"31/53"</f>
        <v>31/53</v>
      </c>
    </row>
    <row r="169" spans="3:11" x14ac:dyDescent="0.25">
      <c r="C169" t="s">
        <v>13</v>
      </c>
      <c r="D169" t="s">
        <v>453</v>
      </c>
      <c r="E169">
        <v>3.63</v>
      </c>
      <c r="F169">
        <v>1.3</v>
      </c>
      <c r="G169">
        <v>1.2</v>
      </c>
      <c r="I169" t="str">
        <f>"22/26"</f>
        <v>22/26</v>
      </c>
      <c r="J169" t="str">
        <f>"14/21"</f>
        <v>14/21</v>
      </c>
      <c r="K169" t="str">
        <f>"14/12"</f>
        <v>14/12</v>
      </c>
    </row>
    <row r="170" spans="3:11" x14ac:dyDescent="0.25">
      <c r="C170" t="s">
        <v>15</v>
      </c>
      <c r="D170" t="s">
        <v>454</v>
      </c>
      <c r="E170">
        <v>4.45</v>
      </c>
      <c r="F170">
        <v>0.74</v>
      </c>
      <c r="G170">
        <v>0.52</v>
      </c>
      <c r="I170" t="str">
        <f>"59/68"</f>
        <v>59/68</v>
      </c>
      <c r="J170" t="str">
        <f>"63/69"</f>
        <v>63/69</v>
      </c>
      <c r="K170" t="str">
        <f>"34/31"</f>
        <v>34/31</v>
      </c>
    </row>
    <row r="171" spans="3:11" x14ac:dyDescent="0.25">
      <c r="C171" t="s">
        <v>17</v>
      </c>
      <c r="D171" t="s">
        <v>455</v>
      </c>
      <c r="E171">
        <v>3.43</v>
      </c>
      <c r="F171">
        <v>0.92</v>
      </c>
      <c r="G171">
        <v>0.95</v>
      </c>
      <c r="I171" t="str">
        <f>"19/34"</f>
        <v>19/34</v>
      </c>
      <c r="J171" t="str">
        <f>"17/27"</f>
        <v>17/27</v>
      </c>
      <c r="K171" t="str">
        <f>"20/56"</f>
        <v>20/56</v>
      </c>
    </row>
    <row r="172" spans="3:11" x14ac:dyDescent="0.25">
      <c r="C172" t="s">
        <v>19</v>
      </c>
      <c r="D172" t="s">
        <v>266</v>
      </c>
      <c r="E172">
        <v>3.13</v>
      </c>
      <c r="F172">
        <v>0.69</v>
      </c>
      <c r="G172">
        <v>0.97</v>
      </c>
      <c r="I172" t="str">
        <f>"20/19"</f>
        <v>20/19</v>
      </c>
      <c r="J172" t="str">
        <f>"26/30"</f>
        <v>26/30</v>
      </c>
      <c r="K172" t="str">
        <f>"34/35"</f>
        <v>34/35</v>
      </c>
    </row>
    <row r="173" spans="3:11" x14ac:dyDescent="0.25">
      <c r="C173" t="s">
        <v>21</v>
      </c>
      <c r="D173" t="s">
        <v>175</v>
      </c>
      <c r="E173">
        <v>4.28</v>
      </c>
      <c r="F173">
        <v>0.65</v>
      </c>
      <c r="G173">
        <v>-1.27</v>
      </c>
      <c r="I173" t="str">
        <f>"93/252"</f>
        <v>93/252</v>
      </c>
      <c r="J173" t="str">
        <f>"48/61"</f>
        <v>48/61</v>
      </c>
      <c r="K173" t="str">
        <f>"97/181"</f>
        <v>97/181</v>
      </c>
    </row>
    <row r="174" spans="3:11" x14ac:dyDescent="0.25">
      <c r="C174" t="s">
        <v>23</v>
      </c>
      <c r="D174" t="s">
        <v>177</v>
      </c>
      <c r="E174">
        <v>4.1900000000000004</v>
      </c>
      <c r="F174">
        <v>-0.47</v>
      </c>
      <c r="G174">
        <v>-0.1</v>
      </c>
      <c r="I174" t="str">
        <f>"38/94"</f>
        <v>38/94</v>
      </c>
      <c r="J174" t="str">
        <f>"13/11"</f>
        <v>13/11</v>
      </c>
      <c r="K174" t="str">
        <f>"24/26"</f>
        <v>24/26</v>
      </c>
    </row>
    <row r="175" spans="3:11" x14ac:dyDescent="0.25">
      <c r="C175" t="s">
        <v>25</v>
      </c>
      <c r="D175" t="s">
        <v>174</v>
      </c>
      <c r="E175">
        <v>3.43</v>
      </c>
      <c r="F175">
        <v>-0.41</v>
      </c>
      <c r="G175">
        <v>0.3</v>
      </c>
      <c r="I175" t="str">
        <f>"38/94"</f>
        <v>38/94</v>
      </c>
      <c r="J175" t="str">
        <f>"13/11"</f>
        <v>13/11</v>
      </c>
      <c r="K175" t="str">
        <f>"23/25"</f>
        <v>23/25</v>
      </c>
    </row>
    <row r="176" spans="3:11" x14ac:dyDescent="0.25">
      <c r="C176" t="s">
        <v>45</v>
      </c>
      <c r="D176" t="s">
        <v>456</v>
      </c>
      <c r="K176" t="s">
        <v>179</v>
      </c>
    </row>
    <row r="178" spans="2:11" x14ac:dyDescent="0.25">
      <c r="B178" t="s">
        <v>140</v>
      </c>
      <c r="C178" t="s">
        <v>141</v>
      </c>
    </row>
    <row r="180" spans="2:11" x14ac:dyDescent="0.25">
      <c r="C180" t="s">
        <v>4</v>
      </c>
      <c r="F180" t="s">
        <v>423</v>
      </c>
      <c r="J180" t="s">
        <v>6</v>
      </c>
    </row>
    <row r="181" spans="2:11" x14ac:dyDescent="0.25">
      <c r="D181" t="s">
        <v>7</v>
      </c>
      <c r="E181" t="s">
        <v>8</v>
      </c>
      <c r="F181" t="s">
        <v>9</v>
      </c>
      <c r="G181" t="s">
        <v>10</v>
      </c>
      <c r="I181" t="s">
        <v>8</v>
      </c>
      <c r="J181" t="s">
        <v>9</v>
      </c>
      <c r="K181" t="s">
        <v>10</v>
      </c>
    </row>
    <row r="182" spans="2:11" x14ac:dyDescent="0.25">
      <c r="C182" t="s">
        <v>45</v>
      </c>
      <c r="D182" t="s">
        <v>142</v>
      </c>
      <c r="K182" t="s">
        <v>154</v>
      </c>
    </row>
    <row r="184" spans="2:11" x14ac:dyDescent="0.25">
      <c r="C184" t="s">
        <v>48</v>
      </c>
      <c r="F184" t="s">
        <v>423</v>
      </c>
      <c r="J184" t="s">
        <v>6</v>
      </c>
    </row>
    <row r="185" spans="2:11" x14ac:dyDescent="0.25">
      <c r="D185" t="s">
        <v>7</v>
      </c>
      <c r="E185" t="s">
        <v>8</v>
      </c>
      <c r="F185" t="s">
        <v>9</v>
      </c>
      <c r="G185" t="s">
        <v>10</v>
      </c>
      <c r="I185" t="s">
        <v>8</v>
      </c>
      <c r="J185" t="s">
        <v>9</v>
      </c>
      <c r="K185" t="s">
        <v>10</v>
      </c>
    </row>
    <row r="186" spans="2:11" x14ac:dyDescent="0.25">
      <c r="C186" t="s">
        <v>45</v>
      </c>
      <c r="D186" t="s">
        <v>142</v>
      </c>
      <c r="K186" t="s">
        <v>160</v>
      </c>
    </row>
    <row r="188" spans="2:11" x14ac:dyDescent="0.25">
      <c r="C188" t="s">
        <v>110</v>
      </c>
      <c r="F188" t="s">
        <v>423</v>
      </c>
      <c r="J188" t="s">
        <v>6</v>
      </c>
    </row>
    <row r="189" spans="2:11" x14ac:dyDescent="0.25">
      <c r="D189" t="s">
        <v>7</v>
      </c>
      <c r="E189" t="s">
        <v>8</v>
      </c>
      <c r="F189" t="s">
        <v>9</v>
      </c>
      <c r="G189" t="s">
        <v>10</v>
      </c>
      <c r="I189" t="s">
        <v>8</v>
      </c>
      <c r="J189" t="s">
        <v>9</v>
      </c>
      <c r="K189" t="s">
        <v>10</v>
      </c>
    </row>
    <row r="190" spans="2:11" x14ac:dyDescent="0.25">
      <c r="C190" t="s">
        <v>45</v>
      </c>
      <c r="D190" t="s">
        <v>142</v>
      </c>
      <c r="K190" t="s">
        <v>167</v>
      </c>
    </row>
    <row r="192" spans="2:11" x14ac:dyDescent="0.25">
      <c r="C192" t="s">
        <v>119</v>
      </c>
      <c r="F192" t="s">
        <v>423</v>
      </c>
      <c r="J192" t="s">
        <v>6</v>
      </c>
    </row>
    <row r="193" spans="2:11" x14ac:dyDescent="0.25">
      <c r="D193" t="s">
        <v>7</v>
      </c>
      <c r="E193" t="s">
        <v>8</v>
      </c>
      <c r="F193" t="s">
        <v>9</v>
      </c>
      <c r="G193" t="s">
        <v>10</v>
      </c>
      <c r="I193" t="s">
        <v>8</v>
      </c>
      <c r="J193" t="s">
        <v>9</v>
      </c>
      <c r="K193" t="s">
        <v>10</v>
      </c>
    </row>
    <row r="194" spans="2:11" x14ac:dyDescent="0.25">
      <c r="C194" t="s">
        <v>45</v>
      </c>
      <c r="D194" t="s">
        <v>142</v>
      </c>
      <c r="K194" t="s">
        <v>179</v>
      </c>
    </row>
    <row r="196" spans="2:11" x14ac:dyDescent="0.25">
      <c r="B196" t="s">
        <v>143</v>
      </c>
      <c r="C196" t="s">
        <v>144</v>
      </c>
    </row>
    <row r="198" spans="2:11" x14ac:dyDescent="0.25">
      <c r="C198" t="s">
        <v>4</v>
      </c>
      <c r="F198" t="s">
        <v>423</v>
      </c>
      <c r="J198" t="s">
        <v>6</v>
      </c>
    </row>
    <row r="199" spans="2:11" x14ac:dyDescent="0.25">
      <c r="D199" t="s">
        <v>7</v>
      </c>
      <c r="E199" t="s">
        <v>8</v>
      </c>
      <c r="F199" t="s">
        <v>9</v>
      </c>
      <c r="G199" t="s">
        <v>10</v>
      </c>
      <c r="I199" t="s">
        <v>8</v>
      </c>
      <c r="J199" t="s">
        <v>9</v>
      </c>
      <c r="K199" t="s">
        <v>10</v>
      </c>
    </row>
    <row r="200" spans="2:11" x14ac:dyDescent="0.25">
      <c r="C200" t="s">
        <v>45</v>
      </c>
      <c r="D200" t="s">
        <v>142</v>
      </c>
      <c r="K200" t="s">
        <v>154</v>
      </c>
    </row>
    <row r="202" spans="2:11" x14ac:dyDescent="0.25">
      <c r="C202" t="s">
        <v>48</v>
      </c>
      <c r="F202" t="s">
        <v>423</v>
      </c>
      <c r="J202" t="s">
        <v>6</v>
      </c>
    </row>
    <row r="203" spans="2:11" x14ac:dyDescent="0.25">
      <c r="D203" t="s">
        <v>7</v>
      </c>
      <c r="E203" t="s">
        <v>8</v>
      </c>
      <c r="F203" t="s">
        <v>9</v>
      </c>
      <c r="G203" t="s">
        <v>10</v>
      </c>
      <c r="I203" t="s">
        <v>8</v>
      </c>
      <c r="J203" t="s">
        <v>9</v>
      </c>
      <c r="K203" t="s">
        <v>10</v>
      </c>
    </row>
    <row r="204" spans="2:11" x14ac:dyDescent="0.25">
      <c r="C204" t="s">
        <v>45</v>
      </c>
      <c r="D204" t="s">
        <v>142</v>
      </c>
      <c r="K204" t="s">
        <v>160</v>
      </c>
    </row>
    <row r="206" spans="2:11" x14ac:dyDescent="0.25">
      <c r="C206" t="s">
        <v>110</v>
      </c>
      <c r="F206" t="s">
        <v>423</v>
      </c>
      <c r="J206" t="s">
        <v>6</v>
      </c>
    </row>
    <row r="207" spans="2:11" x14ac:dyDescent="0.25">
      <c r="D207" t="s">
        <v>7</v>
      </c>
      <c r="E207" t="s">
        <v>8</v>
      </c>
      <c r="F207" t="s">
        <v>9</v>
      </c>
      <c r="G207" t="s">
        <v>10</v>
      </c>
      <c r="I207" t="s">
        <v>8</v>
      </c>
      <c r="J207" t="s">
        <v>9</v>
      </c>
      <c r="K207" t="s">
        <v>10</v>
      </c>
    </row>
    <row r="208" spans="2:11" x14ac:dyDescent="0.25">
      <c r="C208" t="s">
        <v>45</v>
      </c>
      <c r="D208" t="s">
        <v>142</v>
      </c>
      <c r="K208" t="s">
        <v>167</v>
      </c>
    </row>
    <row r="210" spans="3:11" x14ac:dyDescent="0.25">
      <c r="C210" t="s">
        <v>119</v>
      </c>
      <c r="F210" t="s">
        <v>423</v>
      </c>
      <c r="J210" t="s">
        <v>6</v>
      </c>
    </row>
    <row r="211" spans="3:11" x14ac:dyDescent="0.25">
      <c r="D211" t="s">
        <v>7</v>
      </c>
      <c r="E211" t="s">
        <v>8</v>
      </c>
      <c r="F211" t="s">
        <v>9</v>
      </c>
      <c r="G211" t="s">
        <v>10</v>
      </c>
      <c r="I211" t="s">
        <v>8</v>
      </c>
      <c r="J211" t="s">
        <v>9</v>
      </c>
      <c r="K211" t="s">
        <v>10</v>
      </c>
    </row>
    <row r="212" spans="3:11" x14ac:dyDescent="0.25">
      <c r="C212" t="s">
        <v>45</v>
      </c>
      <c r="D212" t="s">
        <v>142</v>
      </c>
      <c r="K212" t="s">
        <v>179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workbookViewId="0">
      <selection activeCell="M13" sqref="M13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60.140625" customWidth="1"/>
    <col min="5" max="5" width="5.7109375" bestFit="1" customWidth="1"/>
    <col min="6" max="6" width="10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457</v>
      </c>
    </row>
    <row r="3" spans="1:11" x14ac:dyDescent="0.25">
      <c r="B3" t="s">
        <v>2</v>
      </c>
      <c r="C3" t="s">
        <v>458</v>
      </c>
    </row>
    <row r="5" spans="1:11" x14ac:dyDescent="0.25">
      <c r="C5" t="s">
        <v>4</v>
      </c>
      <c r="F5" t="s">
        <v>459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189</v>
      </c>
      <c r="D7" t="s">
        <v>194</v>
      </c>
      <c r="E7">
        <v>6.68</v>
      </c>
      <c r="F7">
        <v>6.05</v>
      </c>
      <c r="G7">
        <v>6.88</v>
      </c>
      <c r="I7" t="str">
        <f>"545/2919"</f>
        <v>545/2919</v>
      </c>
      <c r="J7" t="str">
        <f>"416/1093"</f>
        <v>416/1093</v>
      </c>
      <c r="K7" t="str">
        <f>"802/3240"</f>
        <v>802/3240</v>
      </c>
    </row>
    <row r="8" spans="1:11" x14ac:dyDescent="0.25">
      <c r="C8" t="s">
        <v>190</v>
      </c>
      <c r="D8" t="s">
        <v>54</v>
      </c>
      <c r="E8">
        <v>6.26</v>
      </c>
      <c r="F8">
        <v>6.27</v>
      </c>
      <c r="G8">
        <v>6.73</v>
      </c>
      <c r="I8" t="str">
        <f>"628/4683"</f>
        <v>628/4683</v>
      </c>
      <c r="J8" t="str">
        <f>"528/1714"</f>
        <v>528/1714</v>
      </c>
      <c r="K8" t="str">
        <f>"973/5229"</f>
        <v>973/5229</v>
      </c>
    </row>
    <row r="9" spans="1:11" x14ac:dyDescent="0.25">
      <c r="C9" t="s">
        <v>192</v>
      </c>
      <c r="D9" t="s">
        <v>63</v>
      </c>
      <c r="E9">
        <v>6.29</v>
      </c>
      <c r="F9">
        <v>5.92</v>
      </c>
      <c r="G9">
        <v>6.83</v>
      </c>
      <c r="I9" t="str">
        <f>"599/4405"</f>
        <v>599/4405</v>
      </c>
      <c r="J9" t="str">
        <f>"444/1217"</f>
        <v>444/1217</v>
      </c>
      <c r="K9" t="str">
        <f>"890/4301"</f>
        <v>890/4301</v>
      </c>
    </row>
    <row r="10" spans="1:11" x14ac:dyDescent="0.25">
      <c r="C10" t="s">
        <v>193</v>
      </c>
      <c r="D10" t="s">
        <v>198</v>
      </c>
      <c r="E10">
        <v>6.42</v>
      </c>
      <c r="F10">
        <v>5.98</v>
      </c>
      <c r="G10">
        <v>6.54</v>
      </c>
      <c r="I10" t="str">
        <f>"502/3747"</f>
        <v>502/3747</v>
      </c>
      <c r="J10" t="str">
        <f>"344/1124"</f>
        <v>344/1124</v>
      </c>
      <c r="K10" t="str">
        <f>"759/4231"</f>
        <v>759/4231</v>
      </c>
    </row>
    <row r="11" spans="1:11" x14ac:dyDescent="0.25">
      <c r="C11" t="s">
        <v>195</v>
      </c>
      <c r="D11" t="s">
        <v>83</v>
      </c>
      <c r="E11">
        <v>6.42</v>
      </c>
      <c r="F11">
        <v>5.87</v>
      </c>
      <c r="G11">
        <v>6.64</v>
      </c>
      <c r="I11" t="str">
        <f>"529/3869"</f>
        <v>529/3869</v>
      </c>
      <c r="J11" t="str">
        <f>"369/1181"</f>
        <v>369/1181</v>
      </c>
      <c r="K11" t="str">
        <f>"789/4372"</f>
        <v>789/4372</v>
      </c>
    </row>
    <row r="12" spans="1:11" x14ac:dyDescent="0.25">
      <c r="C12" t="s">
        <v>196</v>
      </c>
      <c r="D12" t="s">
        <v>20</v>
      </c>
      <c r="E12">
        <v>6.84</v>
      </c>
      <c r="F12">
        <v>5.72</v>
      </c>
      <c r="G12">
        <v>6.25</v>
      </c>
      <c r="I12" t="str">
        <f>"366/6346"</f>
        <v>366/6346</v>
      </c>
      <c r="J12" t="str">
        <f>"226/947"</f>
        <v>226/947</v>
      </c>
      <c r="K12" t="str">
        <f>"473/2810"</f>
        <v>473/2810</v>
      </c>
    </row>
    <row r="13" spans="1:11" x14ac:dyDescent="0.25">
      <c r="C13" t="s">
        <v>197</v>
      </c>
      <c r="D13" t="s">
        <v>77</v>
      </c>
      <c r="E13">
        <v>6.23</v>
      </c>
      <c r="F13">
        <v>5.8</v>
      </c>
      <c r="G13">
        <v>6.66</v>
      </c>
      <c r="I13" t="str">
        <f>"526/3845"</f>
        <v>526/3845</v>
      </c>
      <c r="J13" t="str">
        <f>"369/1181"</f>
        <v>369/1181</v>
      </c>
      <c r="K13" t="str">
        <f>"785/4340"</f>
        <v>785/4340</v>
      </c>
    </row>
    <row r="14" spans="1:11" x14ac:dyDescent="0.25">
      <c r="C14" t="s">
        <v>199</v>
      </c>
      <c r="D14" t="s">
        <v>14</v>
      </c>
      <c r="E14">
        <v>6.8</v>
      </c>
      <c r="F14">
        <v>5.54</v>
      </c>
      <c r="G14">
        <v>6.29</v>
      </c>
      <c r="I14" t="str">
        <f>"339/6300"</f>
        <v>339/6300</v>
      </c>
      <c r="J14" t="str">
        <f>"172/883"</f>
        <v>172/883</v>
      </c>
      <c r="K14" t="str">
        <f>"369/2568"</f>
        <v>369/2568</v>
      </c>
    </row>
    <row r="15" spans="1:11" x14ac:dyDescent="0.25">
      <c r="C15" t="s">
        <v>200</v>
      </c>
      <c r="D15" t="s">
        <v>211</v>
      </c>
      <c r="E15">
        <v>6.46</v>
      </c>
      <c r="F15">
        <v>5.28</v>
      </c>
      <c r="G15">
        <v>6.8</v>
      </c>
      <c r="I15" t="str">
        <f>"467/2342"</f>
        <v>467/2342</v>
      </c>
      <c r="J15" t="str">
        <f>"346/882"</f>
        <v>346/882</v>
      </c>
      <c r="K15" t="str">
        <f>"704/2626"</f>
        <v>704/2626</v>
      </c>
    </row>
    <row r="16" spans="1:11" x14ac:dyDescent="0.25">
      <c r="C16" t="s">
        <v>201</v>
      </c>
      <c r="D16" t="s">
        <v>16</v>
      </c>
      <c r="E16">
        <v>6.83</v>
      </c>
      <c r="F16">
        <v>5.51</v>
      </c>
      <c r="G16">
        <v>6.03</v>
      </c>
      <c r="I16" t="str">
        <f>"344/6322"</f>
        <v>344/6322</v>
      </c>
      <c r="J16" t="str">
        <f>"184/897"</f>
        <v>184/897</v>
      </c>
      <c r="K16" t="str">
        <f>"381/2595"</f>
        <v>381/2595</v>
      </c>
    </row>
    <row r="17" spans="3:11" x14ac:dyDescent="0.25">
      <c r="C17" t="s">
        <v>202</v>
      </c>
      <c r="D17" t="s">
        <v>67</v>
      </c>
      <c r="E17">
        <v>5.0999999999999996</v>
      </c>
      <c r="F17">
        <v>6.39</v>
      </c>
      <c r="G17">
        <v>6.75</v>
      </c>
      <c r="I17" t="str">
        <f>"553/2938"</f>
        <v>553/2938</v>
      </c>
      <c r="J17" t="str">
        <f>"443/1252"</f>
        <v>443/1252</v>
      </c>
      <c r="K17" t="str">
        <f>"879/4762"</f>
        <v>879/4762</v>
      </c>
    </row>
    <row r="18" spans="3:11" x14ac:dyDescent="0.25">
      <c r="C18" t="s">
        <v>203</v>
      </c>
      <c r="D18" t="s">
        <v>191</v>
      </c>
      <c r="E18">
        <v>4.91</v>
      </c>
      <c r="F18">
        <v>6.43</v>
      </c>
      <c r="G18">
        <v>6.88</v>
      </c>
      <c r="I18" t="str">
        <f>"623/3350"</f>
        <v>623/3350</v>
      </c>
      <c r="J18" t="str">
        <f>"512/1514"</f>
        <v>512/1514</v>
      </c>
      <c r="K18" t="str">
        <f>"995/5511"</f>
        <v>995/5511</v>
      </c>
    </row>
    <row r="19" spans="3:11" x14ac:dyDescent="0.25">
      <c r="C19" t="s">
        <v>205</v>
      </c>
      <c r="D19" t="s">
        <v>105</v>
      </c>
      <c r="E19">
        <v>5.79</v>
      </c>
      <c r="F19">
        <v>6.09</v>
      </c>
      <c r="G19">
        <v>6.3</v>
      </c>
      <c r="I19" t="str">
        <f>"671/3536"</f>
        <v>671/3536</v>
      </c>
      <c r="J19" t="str">
        <f>"439/868"</f>
        <v>439/868</v>
      </c>
      <c r="K19" t="str">
        <f>"984/3406"</f>
        <v>984/3406</v>
      </c>
    </row>
    <row r="20" spans="3:11" x14ac:dyDescent="0.25">
      <c r="C20" t="s">
        <v>207</v>
      </c>
      <c r="D20" t="s">
        <v>230</v>
      </c>
      <c r="E20">
        <v>6.29</v>
      </c>
      <c r="F20">
        <v>5.25</v>
      </c>
      <c r="G20">
        <v>6.6</v>
      </c>
      <c r="I20" t="str">
        <f>"399/2071"</f>
        <v>399/2071</v>
      </c>
      <c r="J20" t="str">
        <f>"290/739"</f>
        <v>290/739</v>
      </c>
      <c r="K20" t="str">
        <f>"586/2232"</f>
        <v>586/2232</v>
      </c>
    </row>
    <row r="21" spans="3:11" x14ac:dyDescent="0.25">
      <c r="C21" t="s">
        <v>208</v>
      </c>
      <c r="D21" t="s">
        <v>26</v>
      </c>
      <c r="E21">
        <v>5.56</v>
      </c>
      <c r="F21">
        <v>5.69</v>
      </c>
      <c r="G21">
        <v>6.86</v>
      </c>
      <c r="I21" t="str">
        <f>"452/1721"</f>
        <v>452/1721</v>
      </c>
      <c r="J21" t="str">
        <f>"430/1832"</f>
        <v>430/1832</v>
      </c>
      <c r="K21" t="str">
        <f>"839/3131"</f>
        <v>839/3131</v>
      </c>
    </row>
    <row r="22" spans="3:11" x14ac:dyDescent="0.25">
      <c r="C22" t="s">
        <v>209</v>
      </c>
      <c r="D22" t="s">
        <v>204</v>
      </c>
      <c r="E22">
        <v>6.04</v>
      </c>
      <c r="F22">
        <v>5.75</v>
      </c>
      <c r="G22">
        <v>6.28</v>
      </c>
      <c r="I22" t="str">
        <f>"505/3944"</f>
        <v>505/3944</v>
      </c>
      <c r="J22" t="str">
        <f>"338/954"</f>
        <v>338/954</v>
      </c>
      <c r="K22" t="str">
        <f>"662/2878"</f>
        <v>662/2878</v>
      </c>
    </row>
    <row r="23" spans="3:11" x14ac:dyDescent="0.25">
      <c r="C23" t="s">
        <v>210</v>
      </c>
      <c r="D23" t="s">
        <v>34</v>
      </c>
      <c r="E23">
        <v>6.47</v>
      </c>
      <c r="F23">
        <v>5.0999999999999996</v>
      </c>
      <c r="G23">
        <v>6.47</v>
      </c>
      <c r="I23" t="str">
        <f>"589/6533"</f>
        <v>589/6533</v>
      </c>
      <c r="J23" t="str">
        <f>"437/1378"</f>
        <v>437/1378</v>
      </c>
      <c r="K23" t="str">
        <f>"809/4478"</f>
        <v>809/4478</v>
      </c>
    </row>
    <row r="24" spans="3:11" x14ac:dyDescent="0.25">
      <c r="C24" t="s">
        <v>212</v>
      </c>
      <c r="D24" t="s">
        <v>222</v>
      </c>
      <c r="E24">
        <v>6.33</v>
      </c>
      <c r="F24">
        <v>4.9800000000000004</v>
      </c>
      <c r="G24">
        <v>6.58</v>
      </c>
      <c r="I24" t="str">
        <f>"428/1746"</f>
        <v>428/1746</v>
      </c>
      <c r="J24" t="str">
        <f>"309/632"</f>
        <v>309/632</v>
      </c>
      <c r="K24" t="str">
        <f>"692/2183"</f>
        <v>692/2183</v>
      </c>
    </row>
    <row r="25" spans="3:11" x14ac:dyDescent="0.25">
      <c r="C25" t="s">
        <v>213</v>
      </c>
      <c r="D25" t="s">
        <v>127</v>
      </c>
      <c r="E25">
        <v>5.69</v>
      </c>
      <c r="F25">
        <v>5.66</v>
      </c>
      <c r="G25">
        <v>6.35</v>
      </c>
      <c r="I25" t="str">
        <f>"485/1835"</f>
        <v>485/1835</v>
      </c>
      <c r="J25" t="str">
        <f>"486/1830"</f>
        <v>486/1830</v>
      </c>
      <c r="K25" t="str">
        <f>"899/2778"</f>
        <v>899/2778</v>
      </c>
    </row>
    <row r="26" spans="3:11" x14ac:dyDescent="0.25">
      <c r="C26" t="s">
        <v>214</v>
      </c>
      <c r="D26" t="s">
        <v>40</v>
      </c>
      <c r="E26">
        <v>6.28</v>
      </c>
      <c r="F26">
        <v>5.39</v>
      </c>
      <c r="G26">
        <v>5.84</v>
      </c>
      <c r="I26" t="str">
        <f>"300/2204"</f>
        <v>300/2204</v>
      </c>
      <c r="J26" t="str">
        <f>"175/551"</f>
        <v>175/551</v>
      </c>
      <c r="K26" t="str">
        <f>"355/1371"</f>
        <v>355/1371</v>
      </c>
    </row>
    <row r="27" spans="3:11" x14ac:dyDescent="0.25">
      <c r="C27" t="s">
        <v>215</v>
      </c>
      <c r="D27" t="s">
        <v>123</v>
      </c>
      <c r="E27">
        <v>5.4</v>
      </c>
      <c r="F27">
        <v>5.56</v>
      </c>
      <c r="G27">
        <v>6.2</v>
      </c>
      <c r="I27" t="str">
        <f>"210/756"</f>
        <v>210/756</v>
      </c>
      <c r="J27" t="str">
        <f>"230/1022"</f>
        <v>230/1022</v>
      </c>
      <c r="K27" t="str">
        <f>"398/1224"</f>
        <v>398/1224</v>
      </c>
    </row>
    <row r="28" spans="3:11" x14ac:dyDescent="0.25">
      <c r="C28" t="s">
        <v>216</v>
      </c>
      <c r="D28" t="s">
        <v>95</v>
      </c>
      <c r="E28">
        <v>5.7</v>
      </c>
      <c r="F28">
        <v>5.47</v>
      </c>
      <c r="G28">
        <v>5.88</v>
      </c>
      <c r="I28" t="str">
        <f>"378/2964"</f>
        <v>378/2964</v>
      </c>
      <c r="J28" t="str">
        <f>"217/613"</f>
        <v>217/613</v>
      </c>
      <c r="K28" t="str">
        <f>"478/2346"</f>
        <v>478/2346</v>
      </c>
    </row>
    <row r="29" spans="3:11" x14ac:dyDescent="0.25">
      <c r="C29" t="s">
        <v>217</v>
      </c>
      <c r="D29" t="s">
        <v>220</v>
      </c>
      <c r="E29">
        <v>5.73</v>
      </c>
      <c r="F29">
        <v>5.24</v>
      </c>
      <c r="G29">
        <v>6.03</v>
      </c>
      <c r="I29" t="str">
        <f>"370/1674"</f>
        <v>370/1674</v>
      </c>
      <c r="J29" t="str">
        <f>"278/657"</f>
        <v>278/657</v>
      </c>
      <c r="K29" t="str">
        <f>"660/2564"</f>
        <v>660/2564</v>
      </c>
    </row>
    <row r="30" spans="3:11" x14ac:dyDescent="0.25">
      <c r="C30" t="s">
        <v>219</v>
      </c>
      <c r="D30" t="s">
        <v>242</v>
      </c>
      <c r="E30">
        <v>5.61</v>
      </c>
      <c r="F30">
        <v>5.24</v>
      </c>
      <c r="G30">
        <v>6.12</v>
      </c>
      <c r="I30" t="str">
        <f>"396/1794"</f>
        <v>396/1794</v>
      </c>
      <c r="J30" t="str">
        <f>"294/678"</f>
        <v>294/678</v>
      </c>
      <c r="K30" t="str">
        <f>"691/2694"</f>
        <v>691/2694</v>
      </c>
    </row>
    <row r="31" spans="3:11" x14ac:dyDescent="0.25">
      <c r="C31" t="s">
        <v>221</v>
      </c>
      <c r="D31" t="s">
        <v>69</v>
      </c>
      <c r="E31">
        <v>4.87</v>
      </c>
      <c r="F31">
        <v>5.23</v>
      </c>
      <c r="G31">
        <v>6.72</v>
      </c>
      <c r="I31" t="str">
        <f>"625/3536"</f>
        <v>625/3536</v>
      </c>
      <c r="J31" t="str">
        <f>"479/1165"</f>
        <v>479/1165</v>
      </c>
      <c r="K31" t="str">
        <f>"920/4036"</f>
        <v>920/4036</v>
      </c>
    </row>
    <row r="32" spans="3:11" x14ac:dyDescent="0.25">
      <c r="C32" t="s">
        <v>223</v>
      </c>
      <c r="D32" t="s">
        <v>111</v>
      </c>
      <c r="E32">
        <v>4.75</v>
      </c>
      <c r="F32">
        <v>5.65</v>
      </c>
      <c r="G32">
        <v>6.23</v>
      </c>
      <c r="I32" t="str">
        <f>"322/1660"</f>
        <v>322/1660</v>
      </c>
      <c r="J32" t="str">
        <f>"287/1677"</f>
        <v>287/1677</v>
      </c>
      <c r="K32" t="str">
        <f>"481/1467"</f>
        <v>481/1467</v>
      </c>
    </row>
    <row r="33" spans="3:11" x14ac:dyDescent="0.25">
      <c r="C33" t="s">
        <v>224</v>
      </c>
      <c r="D33" t="s">
        <v>226</v>
      </c>
      <c r="E33">
        <v>4.96</v>
      </c>
      <c r="F33">
        <v>5.34</v>
      </c>
      <c r="G33">
        <v>6.26</v>
      </c>
      <c r="I33" t="str">
        <f>"589/2892"</f>
        <v>589/2892</v>
      </c>
      <c r="J33" t="str">
        <f>"376/713"</f>
        <v>376/713</v>
      </c>
      <c r="K33" t="str">
        <f>"912/3088"</f>
        <v>912/3088</v>
      </c>
    </row>
    <row r="34" spans="3:11" x14ac:dyDescent="0.25">
      <c r="C34" t="s">
        <v>225</v>
      </c>
      <c r="D34" t="s">
        <v>250</v>
      </c>
      <c r="E34">
        <v>4.88</v>
      </c>
      <c r="F34">
        <v>4.9800000000000004</v>
      </c>
      <c r="G34">
        <v>6.47</v>
      </c>
      <c r="I34" t="str">
        <f>"400/1568"</f>
        <v>400/1568</v>
      </c>
      <c r="J34" t="str">
        <f>"375/887"</f>
        <v>375/887</v>
      </c>
      <c r="K34" t="str">
        <f>"714/2214"</f>
        <v>714/2214</v>
      </c>
    </row>
    <row r="35" spans="3:11" x14ac:dyDescent="0.25">
      <c r="C35" t="s">
        <v>227</v>
      </c>
      <c r="D35" t="s">
        <v>246</v>
      </c>
      <c r="E35">
        <v>5</v>
      </c>
      <c r="F35">
        <v>5.55</v>
      </c>
      <c r="G35">
        <v>5.77</v>
      </c>
      <c r="I35" t="str">
        <f>"525/2773"</f>
        <v>525/2773</v>
      </c>
      <c r="J35" t="str">
        <f>"334/649"</f>
        <v>334/649</v>
      </c>
      <c r="K35" t="str">
        <f>"738/2505"</f>
        <v>738/2505</v>
      </c>
    </row>
    <row r="36" spans="3:11" x14ac:dyDescent="0.25">
      <c r="C36" t="s">
        <v>229</v>
      </c>
      <c r="D36" t="s">
        <v>235</v>
      </c>
      <c r="E36">
        <v>5.31</v>
      </c>
      <c r="F36">
        <v>4.92</v>
      </c>
      <c r="G36">
        <v>5.93</v>
      </c>
      <c r="I36" t="str">
        <f>"506/2702"</f>
        <v>506/2702</v>
      </c>
      <c r="J36" t="str">
        <f>"302/607"</f>
        <v>302/607</v>
      </c>
      <c r="K36" t="str">
        <f>"724/2450"</f>
        <v>724/2450</v>
      </c>
    </row>
    <row r="37" spans="3:11" x14ac:dyDescent="0.25">
      <c r="C37" t="s">
        <v>231</v>
      </c>
      <c r="D37" t="s">
        <v>233</v>
      </c>
      <c r="E37">
        <v>5.16</v>
      </c>
      <c r="F37">
        <v>5.0199999999999996</v>
      </c>
      <c r="G37">
        <v>5.97</v>
      </c>
      <c r="I37" t="str">
        <f>"487/2669"</f>
        <v>487/2669</v>
      </c>
      <c r="J37" t="str">
        <f>"282/577"</f>
        <v>282/577</v>
      </c>
      <c r="K37" t="str">
        <f>"657/2281"</f>
        <v>657/2281</v>
      </c>
    </row>
    <row r="38" spans="3:11" x14ac:dyDescent="0.25">
      <c r="C38" t="s">
        <v>232</v>
      </c>
      <c r="D38" t="s">
        <v>115</v>
      </c>
      <c r="E38">
        <v>5.51</v>
      </c>
      <c r="F38">
        <v>4.67</v>
      </c>
      <c r="G38">
        <v>5.94</v>
      </c>
      <c r="I38" t="str">
        <f>"418/3373"</f>
        <v>418/3373</v>
      </c>
      <c r="J38" t="str">
        <f>"224/593"</f>
        <v>224/593</v>
      </c>
      <c r="K38" t="str">
        <f>"451/1803"</f>
        <v>451/1803</v>
      </c>
    </row>
    <row r="39" spans="3:11" x14ac:dyDescent="0.25">
      <c r="C39" t="s">
        <v>234</v>
      </c>
      <c r="D39" t="s">
        <v>240</v>
      </c>
      <c r="E39">
        <v>4.72</v>
      </c>
      <c r="F39">
        <v>5.38</v>
      </c>
      <c r="G39">
        <v>5.88</v>
      </c>
      <c r="I39" t="str">
        <f>"521/2737"</f>
        <v>521/2737</v>
      </c>
      <c r="J39" t="str">
        <f>"303/601"</f>
        <v>303/601</v>
      </c>
      <c r="K39" t="str">
        <f>"720/2439"</f>
        <v>720/2439</v>
      </c>
    </row>
    <row r="40" spans="3:11" x14ac:dyDescent="0.25">
      <c r="C40" t="s">
        <v>45</v>
      </c>
      <c r="D40" t="s">
        <v>460</v>
      </c>
      <c r="K40" t="s">
        <v>47</v>
      </c>
    </row>
    <row r="42" spans="3:11" x14ac:dyDescent="0.25">
      <c r="C42" t="s">
        <v>48</v>
      </c>
      <c r="F42" t="s">
        <v>459</v>
      </c>
      <c r="J42" t="s">
        <v>6</v>
      </c>
    </row>
    <row r="43" spans="3:11" x14ac:dyDescent="0.25">
      <c r="D43" t="s">
        <v>7</v>
      </c>
      <c r="E43" t="s">
        <v>8</v>
      </c>
      <c r="F43" t="s">
        <v>9</v>
      </c>
      <c r="G43" t="s">
        <v>10</v>
      </c>
      <c r="I43" t="s">
        <v>8</v>
      </c>
      <c r="J43" t="s">
        <v>9</v>
      </c>
      <c r="K43" t="s">
        <v>10</v>
      </c>
    </row>
    <row r="44" spans="3:11" x14ac:dyDescent="0.25">
      <c r="C44" t="s">
        <v>189</v>
      </c>
      <c r="D44" t="s">
        <v>114</v>
      </c>
      <c r="E44">
        <v>5.47</v>
      </c>
      <c r="F44">
        <v>4.3600000000000003</v>
      </c>
      <c r="G44">
        <v>6.5</v>
      </c>
      <c r="I44" t="str">
        <f>"391/2915"</f>
        <v>391/2915</v>
      </c>
      <c r="J44" t="str">
        <f>"275/849"</f>
        <v>275/849</v>
      </c>
      <c r="K44" t="str">
        <f>"524/2715"</f>
        <v>524/2715</v>
      </c>
    </row>
    <row r="45" spans="3:11" x14ac:dyDescent="0.25">
      <c r="C45" t="s">
        <v>190</v>
      </c>
      <c r="D45" t="s">
        <v>388</v>
      </c>
      <c r="E45">
        <v>6.46</v>
      </c>
      <c r="F45">
        <v>3.68</v>
      </c>
      <c r="G45">
        <v>6.15</v>
      </c>
      <c r="I45" t="str">
        <f>"243/1653"</f>
        <v>243/1653</v>
      </c>
      <c r="J45" t="str">
        <f>"150/373"</f>
        <v>150/373</v>
      </c>
      <c r="K45" t="str">
        <f>"392/1784"</f>
        <v>392/1784</v>
      </c>
    </row>
    <row r="46" spans="3:11" x14ac:dyDescent="0.25">
      <c r="C46" t="s">
        <v>192</v>
      </c>
      <c r="D46" t="s">
        <v>396</v>
      </c>
      <c r="E46">
        <v>5.42</v>
      </c>
      <c r="F46">
        <v>4.53</v>
      </c>
      <c r="G46">
        <v>6.21</v>
      </c>
      <c r="I46" t="str">
        <f>"140/546"</f>
        <v>140/546</v>
      </c>
      <c r="J46" t="str">
        <f>"154/717"</f>
        <v>154/717</v>
      </c>
      <c r="K46" t="str">
        <f>"340/1175"</f>
        <v>340/1175</v>
      </c>
    </row>
    <row r="47" spans="3:11" x14ac:dyDescent="0.25">
      <c r="C47" t="s">
        <v>193</v>
      </c>
      <c r="D47" t="s">
        <v>228</v>
      </c>
      <c r="E47">
        <v>5.19</v>
      </c>
      <c r="F47">
        <v>4.58</v>
      </c>
      <c r="G47">
        <v>5.97</v>
      </c>
      <c r="I47" t="str">
        <f>"482/3312"</f>
        <v>482/3312</v>
      </c>
      <c r="J47" t="str">
        <f>"372/997"</f>
        <v>372/997</v>
      </c>
      <c r="K47" t="str">
        <f>"653/2634"</f>
        <v>653/2634</v>
      </c>
    </row>
    <row r="48" spans="3:11" x14ac:dyDescent="0.25">
      <c r="C48" t="s">
        <v>195</v>
      </c>
      <c r="D48" t="s">
        <v>62</v>
      </c>
      <c r="E48">
        <v>5.2</v>
      </c>
      <c r="F48">
        <v>4.38</v>
      </c>
      <c r="G48">
        <v>5.81</v>
      </c>
      <c r="I48" t="str">
        <f>"480/3310"</f>
        <v>480/3310</v>
      </c>
      <c r="J48" t="str">
        <f>"370/995"</f>
        <v>370/995</v>
      </c>
      <c r="K48" t="str">
        <f>"650/2628"</f>
        <v>650/2628</v>
      </c>
    </row>
    <row r="49" spans="3:11" x14ac:dyDescent="0.25">
      <c r="C49" t="s">
        <v>196</v>
      </c>
      <c r="D49" t="s">
        <v>51</v>
      </c>
      <c r="E49">
        <v>5.01</v>
      </c>
      <c r="F49">
        <v>2.48</v>
      </c>
      <c r="G49">
        <v>5.88</v>
      </c>
      <c r="I49" t="str">
        <f>"297/1870"</f>
        <v>297/1870</v>
      </c>
      <c r="J49" t="str">
        <f>"181/369"</f>
        <v>181/369</v>
      </c>
      <c r="K49" t="str">
        <f>"392/1961"</f>
        <v>392/1961</v>
      </c>
    </row>
    <row r="50" spans="3:11" x14ac:dyDescent="0.25">
      <c r="C50" t="s">
        <v>197</v>
      </c>
      <c r="D50" t="s">
        <v>461</v>
      </c>
      <c r="E50">
        <v>5.22</v>
      </c>
      <c r="F50">
        <v>1.99</v>
      </c>
      <c r="G50">
        <v>5.92</v>
      </c>
      <c r="I50" t="str">
        <f>"223/817"</f>
        <v>223/817</v>
      </c>
      <c r="J50" t="str">
        <f>"124/197"</f>
        <v>124/197</v>
      </c>
      <c r="K50" t="str">
        <f>"313/764"</f>
        <v>313/764</v>
      </c>
    </row>
    <row r="51" spans="3:11" x14ac:dyDescent="0.25">
      <c r="C51" t="s">
        <v>199</v>
      </c>
      <c r="D51" t="s">
        <v>56</v>
      </c>
      <c r="E51">
        <v>4.92</v>
      </c>
      <c r="F51">
        <v>2.0099999999999998</v>
      </c>
      <c r="G51">
        <v>6.05</v>
      </c>
      <c r="I51" t="str">
        <f>"301/1880"</f>
        <v>301/1880</v>
      </c>
      <c r="J51" t="str">
        <f>"182/369"</f>
        <v>182/369</v>
      </c>
      <c r="K51" t="str">
        <f>"402/1980"</f>
        <v>402/1980</v>
      </c>
    </row>
    <row r="52" spans="3:11" x14ac:dyDescent="0.25">
      <c r="C52" t="s">
        <v>200</v>
      </c>
      <c r="D52" t="s">
        <v>57</v>
      </c>
      <c r="E52">
        <v>4.74</v>
      </c>
      <c r="F52">
        <v>1.94</v>
      </c>
      <c r="G52">
        <v>6</v>
      </c>
      <c r="I52" t="str">
        <f>"294/1861"</f>
        <v>294/1861</v>
      </c>
      <c r="J52" t="str">
        <f>"180/367"</f>
        <v>180/367</v>
      </c>
      <c r="K52" t="str">
        <f>"388/1938"</f>
        <v>388/1938</v>
      </c>
    </row>
    <row r="53" spans="3:11" x14ac:dyDescent="0.25">
      <c r="C53" t="s">
        <v>45</v>
      </c>
      <c r="D53" t="s">
        <v>462</v>
      </c>
      <c r="K53" t="s">
        <v>109</v>
      </c>
    </row>
    <row r="55" spans="3:11" x14ac:dyDescent="0.25">
      <c r="C55" t="s">
        <v>110</v>
      </c>
      <c r="F55" t="s">
        <v>459</v>
      </c>
      <c r="J55" t="s">
        <v>6</v>
      </c>
    </row>
    <row r="56" spans="3:11" x14ac:dyDescent="0.25">
      <c r="D56" t="s">
        <v>7</v>
      </c>
      <c r="E56" t="s">
        <v>8</v>
      </c>
      <c r="F56" t="s">
        <v>9</v>
      </c>
      <c r="G56" t="s">
        <v>10</v>
      </c>
      <c r="I56" t="s">
        <v>8</v>
      </c>
      <c r="J56" t="s">
        <v>9</v>
      </c>
      <c r="K56" t="s">
        <v>10</v>
      </c>
    </row>
    <row r="57" spans="3:11" x14ac:dyDescent="0.25">
      <c r="C57" t="s">
        <v>189</v>
      </c>
      <c r="D57" t="s">
        <v>463</v>
      </c>
      <c r="E57">
        <v>5.77</v>
      </c>
      <c r="F57">
        <v>5.16</v>
      </c>
      <c r="G57">
        <v>5.47</v>
      </c>
      <c r="I57" t="str">
        <f>"426/3408"</f>
        <v>426/3408</v>
      </c>
      <c r="J57" t="str">
        <f>"231/610"</f>
        <v>231/610</v>
      </c>
      <c r="K57" t="str">
        <f>"468/1865"</f>
        <v>468/1865</v>
      </c>
    </row>
    <row r="58" spans="3:11" x14ac:dyDescent="0.25">
      <c r="C58" t="s">
        <v>190</v>
      </c>
      <c r="D58" t="s">
        <v>101</v>
      </c>
      <c r="E58">
        <v>4.8600000000000003</v>
      </c>
      <c r="F58">
        <v>4.84</v>
      </c>
      <c r="G58">
        <v>5.55</v>
      </c>
      <c r="I58" t="str">
        <f>"504/2700"</f>
        <v>504/2700</v>
      </c>
      <c r="J58" t="str">
        <f>"294/591"</f>
        <v>294/591</v>
      </c>
      <c r="K58" t="str">
        <f>"692/2374"</f>
        <v>692/2374</v>
      </c>
    </row>
    <row r="59" spans="3:11" x14ac:dyDescent="0.25">
      <c r="C59" t="s">
        <v>192</v>
      </c>
      <c r="D59" t="s">
        <v>244</v>
      </c>
      <c r="E59">
        <v>5.6</v>
      </c>
      <c r="F59">
        <v>4.67</v>
      </c>
      <c r="G59">
        <v>4.53</v>
      </c>
      <c r="I59" t="str">
        <f>"342/2760"</f>
        <v>342/2760</v>
      </c>
      <c r="J59" t="str">
        <f>"173/463"</f>
        <v>173/463</v>
      </c>
      <c r="K59" t="str">
        <f>"371/1492"</f>
        <v>371/1492</v>
      </c>
    </row>
    <row r="60" spans="3:11" x14ac:dyDescent="0.25">
      <c r="C60" t="s">
        <v>193</v>
      </c>
      <c r="D60" t="s">
        <v>247</v>
      </c>
      <c r="E60">
        <v>5.17</v>
      </c>
      <c r="F60">
        <v>4.67</v>
      </c>
      <c r="G60">
        <v>4.7</v>
      </c>
      <c r="I60" t="str">
        <f>"341/2623"</f>
        <v>341/2623</v>
      </c>
      <c r="J60" t="str">
        <f>"173/463"</f>
        <v>173/463</v>
      </c>
      <c r="K60" t="str">
        <f>"371/1492"</f>
        <v>371/1492</v>
      </c>
    </row>
    <row r="61" spans="3:11" x14ac:dyDescent="0.25">
      <c r="C61" t="s">
        <v>195</v>
      </c>
      <c r="D61" t="s">
        <v>81</v>
      </c>
      <c r="E61">
        <v>4.72</v>
      </c>
      <c r="F61">
        <v>4.6500000000000004</v>
      </c>
      <c r="G61">
        <v>4.74</v>
      </c>
      <c r="I61" t="str">
        <f>"340/2619"</f>
        <v>340/2619</v>
      </c>
      <c r="J61" t="str">
        <f>"172/462"</f>
        <v>172/462</v>
      </c>
      <c r="K61" t="str">
        <f>"369/1488"</f>
        <v>369/1488</v>
      </c>
    </row>
    <row r="62" spans="3:11" x14ac:dyDescent="0.25">
      <c r="C62" t="s">
        <v>45</v>
      </c>
      <c r="D62" t="s">
        <v>464</v>
      </c>
      <c r="K62" t="s">
        <v>118</v>
      </c>
    </row>
    <row r="64" spans="3:11" x14ac:dyDescent="0.25">
      <c r="C64" t="s">
        <v>119</v>
      </c>
      <c r="F64" t="s">
        <v>459</v>
      </c>
      <c r="J64" t="s">
        <v>6</v>
      </c>
    </row>
    <row r="65" spans="2:11" x14ac:dyDescent="0.25">
      <c r="D65" t="s">
        <v>7</v>
      </c>
      <c r="E65" t="s">
        <v>8</v>
      </c>
      <c r="F65" t="s">
        <v>9</v>
      </c>
      <c r="G65" t="s">
        <v>10</v>
      </c>
      <c r="I65" t="s">
        <v>8</v>
      </c>
      <c r="J65" t="s">
        <v>9</v>
      </c>
      <c r="K65" t="s">
        <v>10</v>
      </c>
    </row>
    <row r="66" spans="2:11" x14ac:dyDescent="0.25">
      <c r="C66" t="s">
        <v>189</v>
      </c>
      <c r="D66" t="s">
        <v>124</v>
      </c>
      <c r="E66">
        <v>4.1100000000000003</v>
      </c>
      <c r="F66">
        <v>5.96</v>
      </c>
      <c r="G66">
        <v>6.61</v>
      </c>
      <c r="I66" t="str">
        <f>"641/3535"</f>
        <v>641/3535</v>
      </c>
      <c r="J66" t="str">
        <f>"524/1607"</f>
        <v>524/1607</v>
      </c>
      <c r="K66" t="str">
        <f>"956/3839"</f>
        <v>956/3839</v>
      </c>
    </row>
    <row r="67" spans="2:11" x14ac:dyDescent="0.25">
      <c r="C67" t="s">
        <v>190</v>
      </c>
      <c r="D67" t="s">
        <v>122</v>
      </c>
      <c r="E67">
        <v>3.84</v>
      </c>
      <c r="F67">
        <v>5.6</v>
      </c>
      <c r="G67">
        <v>6.55</v>
      </c>
      <c r="I67" t="str">
        <f>"533/2925"</f>
        <v>533/2925</v>
      </c>
      <c r="J67" t="str">
        <f>"447/1358"</f>
        <v>447/1358</v>
      </c>
      <c r="K67" t="str">
        <f>"815/3345"</f>
        <v>815/3345</v>
      </c>
    </row>
    <row r="68" spans="2:11" x14ac:dyDescent="0.25">
      <c r="C68" t="s">
        <v>192</v>
      </c>
      <c r="D68" t="s">
        <v>251</v>
      </c>
      <c r="E68">
        <v>4.45</v>
      </c>
      <c r="F68">
        <v>4.7300000000000004</v>
      </c>
      <c r="G68">
        <v>6.05</v>
      </c>
      <c r="I68" t="str">
        <f>"347/2134"</f>
        <v>347/2134</v>
      </c>
      <c r="J68" t="str">
        <f>"255/736"</f>
        <v>255/736</v>
      </c>
      <c r="K68" t="str">
        <f>"507/2074"</f>
        <v>507/2074</v>
      </c>
    </row>
    <row r="69" spans="2:11" x14ac:dyDescent="0.25">
      <c r="C69" t="s">
        <v>193</v>
      </c>
      <c r="D69" t="s">
        <v>465</v>
      </c>
      <c r="E69">
        <v>4.53</v>
      </c>
      <c r="F69">
        <v>4.7300000000000004</v>
      </c>
      <c r="G69">
        <v>5.8</v>
      </c>
      <c r="I69" t="str">
        <f>"526/2741"</f>
        <v>526/2741</v>
      </c>
      <c r="J69" t="str">
        <f>"311/617"</f>
        <v>311/617</v>
      </c>
      <c r="K69" t="str">
        <f>"755/2516"</f>
        <v>755/2516</v>
      </c>
    </row>
    <row r="70" spans="2:11" x14ac:dyDescent="0.25">
      <c r="C70" t="s">
        <v>195</v>
      </c>
      <c r="D70" t="s">
        <v>466</v>
      </c>
      <c r="E70">
        <v>3.84</v>
      </c>
      <c r="F70">
        <v>5.26</v>
      </c>
      <c r="G70">
        <v>5.93</v>
      </c>
      <c r="I70" t="str">
        <f>"238/669"</f>
        <v>238/669</v>
      </c>
      <c r="J70" t="str">
        <f>"260/589"</f>
        <v>260/589</v>
      </c>
      <c r="K70" t="str">
        <f>"466/1196"</f>
        <v>466/1196</v>
      </c>
    </row>
    <row r="71" spans="2:11" x14ac:dyDescent="0.25">
      <c r="C71" t="s">
        <v>196</v>
      </c>
      <c r="D71" t="s">
        <v>237</v>
      </c>
      <c r="E71">
        <v>3.38</v>
      </c>
      <c r="F71">
        <v>4.84</v>
      </c>
      <c r="G71">
        <v>6.45</v>
      </c>
      <c r="I71" t="str">
        <f>"331/1414"</f>
        <v>331/1414</v>
      </c>
      <c r="J71" t="str">
        <f>"288/1371"</f>
        <v>288/1371</v>
      </c>
      <c r="K71" t="str">
        <f>"500/1372"</f>
        <v>500/1372</v>
      </c>
    </row>
    <row r="72" spans="2:11" x14ac:dyDescent="0.25">
      <c r="C72" t="s">
        <v>197</v>
      </c>
      <c r="D72" t="s">
        <v>323</v>
      </c>
      <c r="E72">
        <v>2.4</v>
      </c>
      <c r="F72">
        <v>5.14</v>
      </c>
      <c r="G72">
        <v>6.54</v>
      </c>
      <c r="I72" t="str">
        <f>"218/750"</f>
        <v>218/750</v>
      </c>
      <c r="J72" t="str">
        <f>"231/518"</f>
        <v>231/518</v>
      </c>
      <c r="K72" t="str">
        <f>"536/1411"</f>
        <v>536/1411</v>
      </c>
    </row>
    <row r="73" spans="2:11" x14ac:dyDescent="0.25">
      <c r="C73" t="s">
        <v>199</v>
      </c>
      <c r="D73" t="s">
        <v>121</v>
      </c>
      <c r="E73">
        <v>2.39</v>
      </c>
      <c r="F73">
        <v>4.7300000000000004</v>
      </c>
      <c r="G73">
        <v>6.06</v>
      </c>
      <c r="I73" t="str">
        <f>"265/1251"</f>
        <v>265/1251</v>
      </c>
      <c r="J73" t="str">
        <f>"232/1220"</f>
        <v>232/1220</v>
      </c>
      <c r="K73" t="str">
        <f>"366/1042"</f>
        <v>366/1042</v>
      </c>
    </row>
    <row r="74" spans="2:11" x14ac:dyDescent="0.25">
      <c r="C74" t="s">
        <v>200</v>
      </c>
      <c r="D74" t="s">
        <v>252</v>
      </c>
      <c r="E74">
        <v>1.51</v>
      </c>
      <c r="F74">
        <v>5.03</v>
      </c>
      <c r="G74">
        <v>6.3</v>
      </c>
      <c r="I74" t="str">
        <f>"205/678"</f>
        <v>205/678</v>
      </c>
      <c r="J74" t="str">
        <f>"220/463"</f>
        <v>220/463</v>
      </c>
      <c r="K74" t="str">
        <f>"498/1292"</f>
        <v>498/1292</v>
      </c>
    </row>
    <row r="75" spans="2:11" x14ac:dyDescent="0.25">
      <c r="C75" t="s">
        <v>201</v>
      </c>
      <c r="D75" t="s">
        <v>325</v>
      </c>
      <c r="E75">
        <v>1.68</v>
      </c>
      <c r="F75">
        <v>4.7300000000000004</v>
      </c>
      <c r="G75">
        <v>6</v>
      </c>
      <c r="I75" t="str">
        <f>"170/584"</f>
        <v>170/584</v>
      </c>
      <c r="J75" t="str">
        <f>"179/345"</f>
        <v>179/345</v>
      </c>
      <c r="K75" t="str">
        <f>"390/994"</f>
        <v>390/994</v>
      </c>
    </row>
    <row r="76" spans="2:11" x14ac:dyDescent="0.25">
      <c r="C76" t="s">
        <v>45</v>
      </c>
      <c r="D76" t="s">
        <v>467</v>
      </c>
      <c r="K76" t="s">
        <v>139</v>
      </c>
    </row>
    <row r="78" spans="2:11" x14ac:dyDescent="0.25">
      <c r="B78" t="s">
        <v>140</v>
      </c>
      <c r="C78" t="s">
        <v>255</v>
      </c>
    </row>
    <row r="80" spans="2:11" x14ac:dyDescent="0.25">
      <c r="C80" t="s">
        <v>4</v>
      </c>
      <c r="F80" t="s">
        <v>459</v>
      </c>
      <c r="J80" t="s">
        <v>6</v>
      </c>
    </row>
    <row r="81" spans="2:11" x14ac:dyDescent="0.25">
      <c r="D81" t="s">
        <v>7</v>
      </c>
      <c r="E81" t="s">
        <v>8</v>
      </c>
      <c r="F81" t="s">
        <v>9</v>
      </c>
      <c r="G81" t="s">
        <v>10</v>
      </c>
      <c r="I81" t="s">
        <v>8</v>
      </c>
      <c r="J81" t="s">
        <v>9</v>
      </c>
      <c r="K81" t="s">
        <v>10</v>
      </c>
    </row>
    <row r="82" spans="2:11" x14ac:dyDescent="0.25">
      <c r="C82" t="s">
        <v>45</v>
      </c>
      <c r="D82" t="s">
        <v>142</v>
      </c>
      <c r="K82" t="s">
        <v>47</v>
      </c>
    </row>
    <row r="84" spans="2:11" x14ac:dyDescent="0.25">
      <c r="C84" t="s">
        <v>48</v>
      </c>
      <c r="F84" t="s">
        <v>459</v>
      </c>
      <c r="J84" t="s">
        <v>6</v>
      </c>
    </row>
    <row r="85" spans="2:11" x14ac:dyDescent="0.25">
      <c r="D85" t="s">
        <v>7</v>
      </c>
      <c r="E85" t="s">
        <v>8</v>
      </c>
      <c r="F85" t="s">
        <v>9</v>
      </c>
      <c r="G85" t="s">
        <v>10</v>
      </c>
      <c r="I85" t="s">
        <v>8</v>
      </c>
      <c r="J85" t="s">
        <v>9</v>
      </c>
      <c r="K85" t="s">
        <v>10</v>
      </c>
    </row>
    <row r="86" spans="2:11" x14ac:dyDescent="0.25">
      <c r="C86" t="s">
        <v>45</v>
      </c>
      <c r="D86" t="s">
        <v>142</v>
      </c>
      <c r="K86" t="s">
        <v>109</v>
      </c>
    </row>
    <row r="88" spans="2:11" x14ac:dyDescent="0.25">
      <c r="C88" t="s">
        <v>110</v>
      </c>
      <c r="F88" t="s">
        <v>459</v>
      </c>
      <c r="J88" t="s">
        <v>6</v>
      </c>
    </row>
    <row r="89" spans="2:11" x14ac:dyDescent="0.25">
      <c r="D89" t="s">
        <v>7</v>
      </c>
      <c r="E89" t="s">
        <v>8</v>
      </c>
      <c r="F89" t="s">
        <v>9</v>
      </c>
      <c r="G89" t="s">
        <v>10</v>
      </c>
      <c r="I89" t="s">
        <v>8</v>
      </c>
      <c r="J89" t="s">
        <v>9</v>
      </c>
      <c r="K89" t="s">
        <v>10</v>
      </c>
    </row>
    <row r="90" spans="2:11" x14ac:dyDescent="0.25">
      <c r="C90" t="s">
        <v>45</v>
      </c>
      <c r="D90" t="s">
        <v>142</v>
      </c>
      <c r="K90" t="s">
        <v>118</v>
      </c>
    </row>
    <row r="92" spans="2:11" x14ac:dyDescent="0.25">
      <c r="C92" t="s">
        <v>119</v>
      </c>
      <c r="F92" t="s">
        <v>459</v>
      </c>
      <c r="J92" t="s">
        <v>6</v>
      </c>
    </row>
    <row r="93" spans="2:11" x14ac:dyDescent="0.25">
      <c r="D93" t="s">
        <v>7</v>
      </c>
      <c r="E93" t="s">
        <v>8</v>
      </c>
      <c r="F93" t="s">
        <v>9</v>
      </c>
      <c r="G93" t="s">
        <v>10</v>
      </c>
      <c r="I93" t="s">
        <v>8</v>
      </c>
      <c r="J93" t="s">
        <v>9</v>
      </c>
      <c r="K93" t="s">
        <v>10</v>
      </c>
    </row>
    <row r="94" spans="2:11" x14ac:dyDescent="0.25">
      <c r="C94" t="s">
        <v>45</v>
      </c>
      <c r="D94" t="s">
        <v>142</v>
      </c>
      <c r="K94" t="s">
        <v>139</v>
      </c>
    </row>
    <row r="96" spans="2:11" x14ac:dyDescent="0.25">
      <c r="B96" t="s">
        <v>143</v>
      </c>
      <c r="C96" t="s">
        <v>259</v>
      </c>
    </row>
    <row r="98" spans="3:11" x14ac:dyDescent="0.25">
      <c r="C98" t="s">
        <v>4</v>
      </c>
      <c r="F98" t="s">
        <v>459</v>
      </c>
      <c r="J98" t="s">
        <v>6</v>
      </c>
    </row>
    <row r="99" spans="3:11" x14ac:dyDescent="0.25">
      <c r="D99" t="s">
        <v>7</v>
      </c>
      <c r="E99" t="s">
        <v>8</v>
      </c>
      <c r="F99" t="s">
        <v>9</v>
      </c>
      <c r="G99" t="s">
        <v>10</v>
      </c>
      <c r="I99" t="s">
        <v>8</v>
      </c>
      <c r="J99" t="s">
        <v>9</v>
      </c>
      <c r="K99" t="s">
        <v>10</v>
      </c>
    </row>
    <row r="100" spans="3:11" x14ac:dyDescent="0.25">
      <c r="C100" t="s">
        <v>45</v>
      </c>
      <c r="D100" t="s">
        <v>142</v>
      </c>
      <c r="K100" t="s">
        <v>47</v>
      </c>
    </row>
    <row r="102" spans="3:11" x14ac:dyDescent="0.25">
      <c r="C102" t="s">
        <v>48</v>
      </c>
      <c r="F102" t="s">
        <v>459</v>
      </c>
      <c r="J102" t="s">
        <v>6</v>
      </c>
    </row>
    <row r="103" spans="3:11" x14ac:dyDescent="0.25">
      <c r="D103" t="s">
        <v>7</v>
      </c>
      <c r="E103" t="s">
        <v>8</v>
      </c>
      <c r="F103" t="s">
        <v>9</v>
      </c>
      <c r="G103" t="s">
        <v>10</v>
      </c>
      <c r="I103" t="s">
        <v>8</v>
      </c>
      <c r="J103" t="s">
        <v>9</v>
      </c>
      <c r="K103" t="s">
        <v>10</v>
      </c>
    </row>
    <row r="104" spans="3:11" x14ac:dyDescent="0.25">
      <c r="C104" t="s">
        <v>45</v>
      </c>
      <c r="D104" t="s">
        <v>142</v>
      </c>
      <c r="K104" t="s">
        <v>109</v>
      </c>
    </row>
    <row r="106" spans="3:11" x14ac:dyDescent="0.25">
      <c r="C106" t="s">
        <v>110</v>
      </c>
      <c r="F106" t="s">
        <v>459</v>
      </c>
      <c r="J106" t="s">
        <v>6</v>
      </c>
    </row>
    <row r="107" spans="3:11" x14ac:dyDescent="0.25">
      <c r="D107" t="s">
        <v>7</v>
      </c>
      <c r="E107" t="s">
        <v>8</v>
      </c>
      <c r="F107" t="s">
        <v>9</v>
      </c>
      <c r="G107" t="s">
        <v>10</v>
      </c>
      <c r="I107" t="s">
        <v>8</v>
      </c>
      <c r="J107" t="s">
        <v>9</v>
      </c>
      <c r="K107" t="s">
        <v>10</v>
      </c>
    </row>
    <row r="108" spans="3:11" x14ac:dyDescent="0.25">
      <c r="C108" t="s">
        <v>45</v>
      </c>
      <c r="D108" t="s">
        <v>142</v>
      </c>
      <c r="K108" t="s">
        <v>118</v>
      </c>
    </row>
    <row r="110" spans="3:11" x14ac:dyDescent="0.25">
      <c r="C110" t="s">
        <v>119</v>
      </c>
      <c r="F110" t="s">
        <v>459</v>
      </c>
      <c r="J110" t="s">
        <v>6</v>
      </c>
    </row>
    <row r="111" spans="3:11" x14ac:dyDescent="0.25">
      <c r="D111" t="s">
        <v>7</v>
      </c>
      <c r="E111" t="s">
        <v>8</v>
      </c>
      <c r="F111" t="s">
        <v>9</v>
      </c>
      <c r="G111" t="s">
        <v>10</v>
      </c>
      <c r="I111" t="s">
        <v>8</v>
      </c>
      <c r="J111" t="s">
        <v>9</v>
      </c>
      <c r="K111" t="s">
        <v>10</v>
      </c>
    </row>
    <row r="112" spans="3:11" x14ac:dyDescent="0.25">
      <c r="C112" t="s">
        <v>45</v>
      </c>
      <c r="D112" t="s">
        <v>142</v>
      </c>
      <c r="K112" t="s">
        <v>139</v>
      </c>
    </row>
    <row r="116" spans="1:11" x14ac:dyDescent="0.25">
      <c r="A116" t="s">
        <v>0</v>
      </c>
      <c r="B116" t="s">
        <v>468</v>
      </c>
    </row>
    <row r="118" spans="1:11" x14ac:dyDescent="0.25">
      <c r="B118" t="s">
        <v>2</v>
      </c>
      <c r="C118" t="s">
        <v>458</v>
      </c>
    </row>
    <row r="120" spans="1:11" x14ac:dyDescent="0.25">
      <c r="C120" t="s">
        <v>4</v>
      </c>
      <c r="F120" t="s">
        <v>459</v>
      </c>
      <c r="J120" t="s">
        <v>6</v>
      </c>
    </row>
    <row r="121" spans="1:11" x14ac:dyDescent="0.25">
      <c r="D121" t="s">
        <v>7</v>
      </c>
      <c r="E121" t="s">
        <v>8</v>
      </c>
      <c r="F121" t="s">
        <v>9</v>
      </c>
      <c r="G121" t="s">
        <v>10</v>
      </c>
      <c r="I121" t="s">
        <v>8</v>
      </c>
      <c r="J121" t="s">
        <v>9</v>
      </c>
      <c r="K121" t="s">
        <v>10</v>
      </c>
    </row>
    <row r="122" spans="1:11" x14ac:dyDescent="0.25">
      <c r="C122" t="s">
        <v>189</v>
      </c>
      <c r="D122" t="s">
        <v>103</v>
      </c>
      <c r="E122">
        <v>-1.25</v>
      </c>
      <c r="F122">
        <v>-0.46</v>
      </c>
      <c r="G122">
        <v>-0.44</v>
      </c>
      <c r="I122" t="str">
        <f>"288/1624"</f>
        <v>288/1624</v>
      </c>
      <c r="J122" t="str">
        <f>"212/276"</f>
        <v>212/276</v>
      </c>
      <c r="K122" t="str">
        <f>"325/1038"</f>
        <v>325/1038</v>
      </c>
    </row>
    <row r="123" spans="1:11" x14ac:dyDescent="0.25">
      <c r="C123" t="s">
        <v>190</v>
      </c>
      <c r="D123" t="s">
        <v>30</v>
      </c>
      <c r="E123">
        <v>-0.97</v>
      </c>
      <c r="F123">
        <v>-0.28000000000000003</v>
      </c>
      <c r="G123">
        <v>-1.33</v>
      </c>
      <c r="I123" t="str">
        <f>"125/739"</f>
        <v>125/739</v>
      </c>
      <c r="J123" t="str">
        <f>"59/150"</f>
        <v>59/150</v>
      </c>
      <c r="K123" t="str">
        <f>"122/631"</f>
        <v>122/631</v>
      </c>
    </row>
    <row r="124" spans="1:11" x14ac:dyDescent="0.25">
      <c r="C124" t="s">
        <v>192</v>
      </c>
      <c r="D124" t="s">
        <v>87</v>
      </c>
      <c r="E124">
        <v>-1.64</v>
      </c>
      <c r="F124">
        <v>-0.7</v>
      </c>
      <c r="G124">
        <v>-0.61</v>
      </c>
      <c r="I124" t="str">
        <f>"288/1624"</f>
        <v>288/1624</v>
      </c>
      <c r="J124" t="str">
        <f>"212/276"</f>
        <v>212/276</v>
      </c>
      <c r="K124" t="str">
        <f>"325/1038"</f>
        <v>325/1038</v>
      </c>
    </row>
    <row r="125" spans="1:11" x14ac:dyDescent="0.25">
      <c r="C125" t="s">
        <v>193</v>
      </c>
      <c r="D125" t="s">
        <v>282</v>
      </c>
      <c r="E125">
        <v>-1.31</v>
      </c>
      <c r="F125">
        <v>-0.41</v>
      </c>
      <c r="G125">
        <v>-3.32</v>
      </c>
      <c r="I125" t="str">
        <f>"287/553"</f>
        <v>287/553</v>
      </c>
      <c r="J125" t="str">
        <f>"174/179"</f>
        <v>174/179</v>
      </c>
      <c r="K125" t="str">
        <f>"271/462"</f>
        <v>271/462</v>
      </c>
    </row>
    <row r="126" spans="1:11" x14ac:dyDescent="0.25">
      <c r="C126" t="s">
        <v>45</v>
      </c>
      <c r="D126" t="s">
        <v>469</v>
      </c>
      <c r="K126" t="s">
        <v>154</v>
      </c>
    </row>
    <row r="128" spans="1:11" x14ac:dyDescent="0.25">
      <c r="C128" t="s">
        <v>48</v>
      </c>
      <c r="F128" t="s">
        <v>459</v>
      </c>
      <c r="J128" t="s">
        <v>6</v>
      </c>
    </row>
    <row r="129" spans="3:11" x14ac:dyDescent="0.25">
      <c r="D129" t="s">
        <v>7</v>
      </c>
      <c r="E129" t="s">
        <v>8</v>
      </c>
      <c r="F129" t="s">
        <v>9</v>
      </c>
      <c r="G129" t="s">
        <v>10</v>
      </c>
      <c r="I129" t="s">
        <v>8</v>
      </c>
      <c r="J129" t="s">
        <v>9</v>
      </c>
      <c r="K129" t="s">
        <v>10</v>
      </c>
    </row>
    <row r="130" spans="3:11" x14ac:dyDescent="0.25">
      <c r="C130" t="s">
        <v>189</v>
      </c>
      <c r="D130" t="s">
        <v>470</v>
      </c>
      <c r="E130">
        <v>-1.51</v>
      </c>
      <c r="F130">
        <v>2.3199999999999998</v>
      </c>
      <c r="G130">
        <v>-0.6</v>
      </c>
      <c r="I130" t="str">
        <f>"111/276"</f>
        <v>111/276</v>
      </c>
      <c r="J130" t="str">
        <f>"26/30"</f>
        <v>26/30</v>
      </c>
      <c r="K130" t="str">
        <f>"94/104"</f>
        <v>94/104</v>
      </c>
    </row>
    <row r="131" spans="3:11" x14ac:dyDescent="0.25">
      <c r="C131" t="s">
        <v>190</v>
      </c>
      <c r="D131" t="s">
        <v>471</v>
      </c>
      <c r="E131">
        <v>-1.26</v>
      </c>
      <c r="F131">
        <v>2.2000000000000002</v>
      </c>
      <c r="G131">
        <v>-0.81</v>
      </c>
      <c r="I131" t="str">
        <f>"121/309"</f>
        <v>121/309</v>
      </c>
      <c r="J131" t="str">
        <f>"26/30"</f>
        <v>26/30</v>
      </c>
      <c r="K131" t="str">
        <f>"95/105"</f>
        <v>95/105</v>
      </c>
    </row>
    <row r="132" spans="3:11" x14ac:dyDescent="0.25">
      <c r="C132" t="s">
        <v>192</v>
      </c>
      <c r="D132" t="s">
        <v>472</v>
      </c>
      <c r="E132">
        <v>-1.38</v>
      </c>
      <c r="F132">
        <v>1.96</v>
      </c>
      <c r="G132">
        <v>-0.53</v>
      </c>
      <c r="I132" t="str">
        <f>"108/269"</f>
        <v>108/269</v>
      </c>
      <c r="J132" t="str">
        <f>"22/27"</f>
        <v>22/27</v>
      </c>
      <c r="K132" t="str">
        <f>"78/87"</f>
        <v>78/87</v>
      </c>
    </row>
    <row r="133" spans="3:11" x14ac:dyDescent="0.25">
      <c r="C133" t="s">
        <v>193</v>
      </c>
      <c r="D133" t="s">
        <v>473</v>
      </c>
      <c r="E133">
        <v>-1.32</v>
      </c>
      <c r="F133">
        <v>1.71</v>
      </c>
      <c r="G133">
        <v>-0.86</v>
      </c>
      <c r="I133" t="str">
        <f>"114/297"</f>
        <v>114/297</v>
      </c>
      <c r="J133" t="str">
        <f>"22/27"</f>
        <v>22/27</v>
      </c>
      <c r="K133" t="str">
        <f>"79/88"</f>
        <v>79/88</v>
      </c>
    </row>
    <row r="134" spans="3:11" x14ac:dyDescent="0.25">
      <c r="C134" t="s">
        <v>195</v>
      </c>
      <c r="D134" t="s">
        <v>305</v>
      </c>
      <c r="E134">
        <v>-1.67</v>
      </c>
      <c r="F134">
        <v>0.79</v>
      </c>
      <c r="G134">
        <v>-0.53</v>
      </c>
      <c r="I134" t="str">
        <f>"179/319"</f>
        <v>179/319</v>
      </c>
      <c r="J134" t="str">
        <f>"136/280"</f>
        <v>136/280</v>
      </c>
      <c r="K134" t="str">
        <f>"382/1351"</f>
        <v>382/1351</v>
      </c>
    </row>
    <row r="135" spans="3:11" x14ac:dyDescent="0.25">
      <c r="C135" t="s">
        <v>45</v>
      </c>
      <c r="D135" t="s">
        <v>474</v>
      </c>
      <c r="K135" t="s">
        <v>160</v>
      </c>
    </row>
    <row r="137" spans="3:11" x14ac:dyDescent="0.25">
      <c r="C137" t="s">
        <v>110</v>
      </c>
      <c r="F137" t="s">
        <v>459</v>
      </c>
      <c r="J137" t="s">
        <v>6</v>
      </c>
    </row>
    <row r="138" spans="3:11" x14ac:dyDescent="0.25">
      <c r="D138" t="s">
        <v>7</v>
      </c>
      <c r="E138" t="s">
        <v>8</v>
      </c>
      <c r="F138" t="s">
        <v>9</v>
      </c>
      <c r="G138" t="s">
        <v>10</v>
      </c>
      <c r="I138" t="s">
        <v>8</v>
      </c>
      <c r="J138" t="s">
        <v>9</v>
      </c>
      <c r="K138" t="s">
        <v>10</v>
      </c>
    </row>
    <row r="139" spans="3:11" x14ac:dyDescent="0.25">
      <c r="C139" t="s">
        <v>189</v>
      </c>
      <c r="D139" t="s">
        <v>331</v>
      </c>
      <c r="E139">
        <v>-1.39</v>
      </c>
      <c r="F139">
        <v>-1.06</v>
      </c>
      <c r="G139">
        <v>1.55</v>
      </c>
      <c r="I139" t="str">
        <f>"681/1112"</f>
        <v>681/1112</v>
      </c>
      <c r="J139" t="str">
        <f>"442/625"</f>
        <v>442/625</v>
      </c>
      <c r="K139" t="str">
        <f>"871/1889"</f>
        <v>871/1889</v>
      </c>
    </row>
    <row r="140" spans="3:11" x14ac:dyDescent="0.25">
      <c r="C140" t="s">
        <v>190</v>
      </c>
      <c r="D140" t="s">
        <v>128</v>
      </c>
      <c r="E140">
        <v>-1.02</v>
      </c>
      <c r="F140">
        <v>-1.68</v>
      </c>
      <c r="G140">
        <v>0.59</v>
      </c>
      <c r="I140" t="str">
        <f>"222/356"</f>
        <v>222/356</v>
      </c>
      <c r="J140" t="str">
        <f>"166/293"</f>
        <v>166/293</v>
      </c>
      <c r="K140" t="str">
        <f>"254/659"</f>
        <v>254/659</v>
      </c>
    </row>
    <row r="141" spans="3:11" x14ac:dyDescent="0.25">
      <c r="C141" t="s">
        <v>192</v>
      </c>
      <c r="D141" t="s">
        <v>475</v>
      </c>
      <c r="E141">
        <v>-2.5299999999999998</v>
      </c>
      <c r="F141">
        <v>-0.28999999999999998</v>
      </c>
      <c r="G141">
        <v>0.06</v>
      </c>
      <c r="I141" t="str">
        <f>"73/199"</f>
        <v>73/199</v>
      </c>
      <c r="J141" t="str">
        <f>"69/87"</f>
        <v>69/87</v>
      </c>
      <c r="K141" t="str">
        <f>"144/153"</f>
        <v>144/153</v>
      </c>
    </row>
    <row r="142" spans="3:11" x14ac:dyDescent="0.25">
      <c r="C142" t="s">
        <v>45</v>
      </c>
      <c r="D142" t="s">
        <v>476</v>
      </c>
      <c r="K142" t="s">
        <v>167</v>
      </c>
    </row>
    <row r="144" spans="3:11" x14ac:dyDescent="0.25">
      <c r="C144" t="s">
        <v>119</v>
      </c>
      <c r="F144" t="s">
        <v>459</v>
      </c>
      <c r="J144" t="s">
        <v>6</v>
      </c>
    </row>
    <row r="145" spans="2:11" x14ac:dyDescent="0.25">
      <c r="D145" t="s">
        <v>7</v>
      </c>
      <c r="E145" t="s">
        <v>8</v>
      </c>
      <c r="F145" t="s">
        <v>9</v>
      </c>
      <c r="G145" t="s">
        <v>10</v>
      </c>
      <c r="I145" t="s">
        <v>8</v>
      </c>
      <c r="J145" t="s">
        <v>9</v>
      </c>
      <c r="K145" t="s">
        <v>10</v>
      </c>
    </row>
    <row r="146" spans="2:11" x14ac:dyDescent="0.25">
      <c r="C146" t="s">
        <v>189</v>
      </c>
      <c r="D146" t="s">
        <v>477</v>
      </c>
      <c r="E146">
        <v>-0.76</v>
      </c>
      <c r="F146">
        <v>-0.24</v>
      </c>
      <c r="G146">
        <v>-0.41</v>
      </c>
      <c r="I146" t="str">
        <f>"240/291"</f>
        <v>240/291</v>
      </c>
      <c r="J146" t="str">
        <f>"139/135"</f>
        <v>139/135</v>
      </c>
      <c r="K146" t="str">
        <f>"204/230"</f>
        <v>204/230</v>
      </c>
    </row>
    <row r="147" spans="2:11" x14ac:dyDescent="0.25">
      <c r="C147" t="s">
        <v>190</v>
      </c>
      <c r="D147" t="s">
        <v>131</v>
      </c>
      <c r="E147">
        <v>-0.71</v>
      </c>
      <c r="F147">
        <v>-0.27</v>
      </c>
      <c r="G147">
        <v>-0.93</v>
      </c>
      <c r="I147" t="str">
        <f>"127/745"</f>
        <v>127/745</v>
      </c>
      <c r="J147" t="str">
        <f>"71/164"</f>
        <v>71/164</v>
      </c>
      <c r="K147" t="str">
        <f>"135/651"</f>
        <v>135/651</v>
      </c>
    </row>
    <row r="148" spans="2:11" x14ac:dyDescent="0.25">
      <c r="C148" t="s">
        <v>192</v>
      </c>
      <c r="D148" t="s">
        <v>428</v>
      </c>
      <c r="E148">
        <v>-0.56999999999999995</v>
      </c>
      <c r="F148">
        <v>-0.65</v>
      </c>
      <c r="G148">
        <v>-0.74</v>
      </c>
      <c r="I148" t="str">
        <f>"129/749"</f>
        <v>129/749</v>
      </c>
      <c r="J148" t="str">
        <f>"74/167"</f>
        <v>74/167</v>
      </c>
      <c r="K148" t="str">
        <f>"145/660"</f>
        <v>145/660</v>
      </c>
    </row>
    <row r="149" spans="2:11" x14ac:dyDescent="0.25">
      <c r="C149" t="s">
        <v>193</v>
      </c>
      <c r="D149" t="s">
        <v>478</v>
      </c>
      <c r="E149">
        <v>-0.7</v>
      </c>
      <c r="F149">
        <v>-0.48</v>
      </c>
      <c r="G149">
        <v>-0.84</v>
      </c>
      <c r="I149" t="str">
        <f>"129/749"</f>
        <v>129/749</v>
      </c>
      <c r="J149" t="str">
        <f>"74/167"</f>
        <v>74/167</v>
      </c>
      <c r="K149" t="str">
        <f>"145/660"</f>
        <v>145/660</v>
      </c>
    </row>
    <row r="150" spans="2:11" x14ac:dyDescent="0.25">
      <c r="C150" t="s">
        <v>195</v>
      </c>
      <c r="D150" t="s">
        <v>479</v>
      </c>
      <c r="E150">
        <v>-0.66</v>
      </c>
      <c r="F150">
        <v>-1.65</v>
      </c>
      <c r="G150">
        <v>-0.46</v>
      </c>
      <c r="I150" t="str">
        <f>"97/237"</f>
        <v>97/237</v>
      </c>
      <c r="J150" t="str">
        <f>"81/99"</f>
        <v>81/99</v>
      </c>
      <c r="K150" t="str">
        <f>"140/350"</f>
        <v>140/350</v>
      </c>
    </row>
    <row r="151" spans="2:11" x14ac:dyDescent="0.25">
      <c r="C151" t="s">
        <v>196</v>
      </c>
      <c r="D151" t="s">
        <v>480</v>
      </c>
      <c r="E151">
        <v>-0.74</v>
      </c>
      <c r="F151">
        <v>-1.29</v>
      </c>
      <c r="G151">
        <v>-0.78</v>
      </c>
      <c r="I151" t="str">
        <f>"85/182"</f>
        <v>85/182</v>
      </c>
      <c r="J151" t="str">
        <f>"68/84"</f>
        <v>68/84</v>
      </c>
      <c r="K151" t="str">
        <f>"123/292"</f>
        <v>123/292</v>
      </c>
    </row>
    <row r="152" spans="2:11" x14ac:dyDescent="0.25">
      <c r="C152" t="s">
        <v>45</v>
      </c>
      <c r="D152" t="s">
        <v>481</v>
      </c>
      <c r="K152" t="s">
        <v>179</v>
      </c>
    </row>
    <row r="154" spans="2:11" x14ac:dyDescent="0.25">
      <c r="B154" t="s">
        <v>140</v>
      </c>
      <c r="C154" t="s">
        <v>255</v>
      </c>
    </row>
    <row r="156" spans="2:11" x14ac:dyDescent="0.25">
      <c r="C156" t="s">
        <v>4</v>
      </c>
      <c r="F156" t="s">
        <v>459</v>
      </c>
      <c r="J156" t="s">
        <v>6</v>
      </c>
    </row>
    <row r="157" spans="2:11" x14ac:dyDescent="0.25">
      <c r="D157" t="s">
        <v>7</v>
      </c>
      <c r="E157" t="s">
        <v>8</v>
      </c>
      <c r="F157" t="s">
        <v>9</v>
      </c>
      <c r="G157" t="s">
        <v>10</v>
      </c>
      <c r="I157" t="s">
        <v>8</v>
      </c>
      <c r="J157" t="s">
        <v>9</v>
      </c>
      <c r="K157" t="s">
        <v>10</v>
      </c>
    </row>
    <row r="158" spans="2:11" x14ac:dyDescent="0.25">
      <c r="C158" t="s">
        <v>45</v>
      </c>
      <c r="D158" t="s">
        <v>142</v>
      </c>
      <c r="K158" t="s">
        <v>154</v>
      </c>
    </row>
    <row r="160" spans="2:11" x14ac:dyDescent="0.25">
      <c r="C160" t="s">
        <v>48</v>
      </c>
      <c r="F160" t="s">
        <v>459</v>
      </c>
      <c r="J160" t="s">
        <v>6</v>
      </c>
    </row>
    <row r="161" spans="2:11" x14ac:dyDescent="0.25">
      <c r="D161" t="s">
        <v>7</v>
      </c>
      <c r="E161" t="s">
        <v>8</v>
      </c>
      <c r="F161" t="s">
        <v>9</v>
      </c>
      <c r="G161" t="s">
        <v>10</v>
      </c>
      <c r="I161" t="s">
        <v>8</v>
      </c>
      <c r="J161" t="s">
        <v>9</v>
      </c>
      <c r="K161" t="s">
        <v>10</v>
      </c>
    </row>
    <row r="162" spans="2:11" x14ac:dyDescent="0.25">
      <c r="C162" t="s">
        <v>45</v>
      </c>
      <c r="D162" t="s">
        <v>142</v>
      </c>
      <c r="K162" t="s">
        <v>160</v>
      </c>
    </row>
    <row r="164" spans="2:11" x14ac:dyDescent="0.25">
      <c r="C164" t="s">
        <v>110</v>
      </c>
      <c r="F164" t="s">
        <v>459</v>
      </c>
      <c r="J164" t="s">
        <v>6</v>
      </c>
    </row>
    <row r="165" spans="2:11" x14ac:dyDescent="0.25">
      <c r="D165" t="s">
        <v>7</v>
      </c>
      <c r="E165" t="s">
        <v>8</v>
      </c>
      <c r="F165" t="s">
        <v>9</v>
      </c>
      <c r="G165" t="s">
        <v>10</v>
      </c>
      <c r="I165" t="s">
        <v>8</v>
      </c>
      <c r="J165" t="s">
        <v>9</v>
      </c>
      <c r="K165" t="s">
        <v>10</v>
      </c>
    </row>
    <row r="166" spans="2:11" x14ac:dyDescent="0.25">
      <c r="C166" t="s">
        <v>45</v>
      </c>
      <c r="D166" t="s">
        <v>142</v>
      </c>
      <c r="K166" t="s">
        <v>167</v>
      </c>
    </row>
    <row r="168" spans="2:11" x14ac:dyDescent="0.25">
      <c r="C168" t="s">
        <v>119</v>
      </c>
      <c r="F168" t="s">
        <v>459</v>
      </c>
      <c r="J168" t="s">
        <v>6</v>
      </c>
    </row>
    <row r="169" spans="2:11" x14ac:dyDescent="0.25">
      <c r="D169" t="s">
        <v>7</v>
      </c>
      <c r="E169" t="s">
        <v>8</v>
      </c>
      <c r="F169" t="s">
        <v>9</v>
      </c>
      <c r="G169" t="s">
        <v>10</v>
      </c>
      <c r="I169" t="s">
        <v>8</v>
      </c>
      <c r="J169" t="s">
        <v>9</v>
      </c>
      <c r="K169" t="s">
        <v>10</v>
      </c>
    </row>
    <row r="170" spans="2:11" x14ac:dyDescent="0.25">
      <c r="C170" t="s">
        <v>45</v>
      </c>
      <c r="D170" t="s">
        <v>142</v>
      </c>
      <c r="K170" t="s">
        <v>179</v>
      </c>
    </row>
    <row r="172" spans="2:11" x14ac:dyDescent="0.25">
      <c r="B172" t="s">
        <v>143</v>
      </c>
      <c r="C172" t="s">
        <v>259</v>
      </c>
    </row>
    <row r="174" spans="2:11" x14ac:dyDescent="0.25">
      <c r="C174" t="s">
        <v>4</v>
      </c>
      <c r="F174" t="s">
        <v>459</v>
      </c>
      <c r="J174" t="s">
        <v>6</v>
      </c>
    </row>
    <row r="175" spans="2:11" x14ac:dyDescent="0.25">
      <c r="D175" t="s">
        <v>7</v>
      </c>
      <c r="E175" t="s">
        <v>8</v>
      </c>
      <c r="F175" t="s">
        <v>9</v>
      </c>
      <c r="G175" t="s">
        <v>10</v>
      </c>
      <c r="I175" t="s">
        <v>8</v>
      </c>
      <c r="J175" t="s">
        <v>9</v>
      </c>
      <c r="K175" t="s">
        <v>10</v>
      </c>
    </row>
    <row r="176" spans="2:11" x14ac:dyDescent="0.25">
      <c r="C176" t="s">
        <v>45</v>
      </c>
      <c r="D176" t="s">
        <v>142</v>
      </c>
      <c r="K176" t="s">
        <v>154</v>
      </c>
    </row>
    <row r="178" spans="3:11" x14ac:dyDescent="0.25">
      <c r="C178" t="s">
        <v>48</v>
      </c>
      <c r="F178" t="s">
        <v>459</v>
      </c>
      <c r="J178" t="s">
        <v>6</v>
      </c>
    </row>
    <row r="179" spans="3:11" x14ac:dyDescent="0.25">
      <c r="D179" t="s">
        <v>7</v>
      </c>
      <c r="E179" t="s">
        <v>8</v>
      </c>
      <c r="F179" t="s">
        <v>9</v>
      </c>
      <c r="G179" t="s">
        <v>10</v>
      </c>
      <c r="I179" t="s">
        <v>8</v>
      </c>
      <c r="J179" t="s">
        <v>9</v>
      </c>
      <c r="K179" t="s">
        <v>10</v>
      </c>
    </row>
    <row r="180" spans="3:11" x14ac:dyDescent="0.25">
      <c r="C180" t="s">
        <v>45</v>
      </c>
      <c r="D180" t="s">
        <v>142</v>
      </c>
      <c r="K180" t="s">
        <v>160</v>
      </c>
    </row>
    <row r="182" spans="3:11" x14ac:dyDescent="0.25">
      <c r="C182" t="s">
        <v>110</v>
      </c>
      <c r="F182" t="s">
        <v>459</v>
      </c>
      <c r="J182" t="s">
        <v>6</v>
      </c>
    </row>
    <row r="183" spans="3:11" x14ac:dyDescent="0.25">
      <c r="D183" t="s">
        <v>7</v>
      </c>
      <c r="E183" t="s">
        <v>8</v>
      </c>
      <c r="F183" t="s">
        <v>9</v>
      </c>
      <c r="G183" t="s">
        <v>10</v>
      </c>
      <c r="I183" t="s">
        <v>8</v>
      </c>
      <c r="J183" t="s">
        <v>9</v>
      </c>
      <c r="K183" t="s">
        <v>10</v>
      </c>
    </row>
    <row r="184" spans="3:11" x14ac:dyDescent="0.25">
      <c r="C184" t="s">
        <v>45</v>
      </c>
      <c r="D184" t="s">
        <v>142</v>
      </c>
      <c r="K184" t="s">
        <v>167</v>
      </c>
    </row>
    <row r="186" spans="3:11" x14ac:dyDescent="0.25">
      <c r="C186" t="s">
        <v>119</v>
      </c>
      <c r="F186" t="s">
        <v>459</v>
      </c>
      <c r="J186" t="s">
        <v>6</v>
      </c>
    </row>
    <row r="187" spans="3:11" x14ac:dyDescent="0.25">
      <c r="D187" t="s">
        <v>7</v>
      </c>
      <c r="E187" t="s">
        <v>8</v>
      </c>
      <c r="F187" t="s">
        <v>9</v>
      </c>
      <c r="G187" t="s">
        <v>10</v>
      </c>
      <c r="I187" t="s">
        <v>8</v>
      </c>
      <c r="J187" t="s">
        <v>9</v>
      </c>
      <c r="K187" t="s">
        <v>10</v>
      </c>
    </row>
    <row r="188" spans="3:11" x14ac:dyDescent="0.25">
      <c r="C188" t="s">
        <v>45</v>
      </c>
      <c r="D188" t="s">
        <v>142</v>
      </c>
      <c r="K188" t="s">
        <v>179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workbookViewId="0">
      <selection activeCell="L18" sqref="L18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66.28515625" customWidth="1"/>
    <col min="5" max="5" width="5.7109375" bestFit="1" customWidth="1"/>
    <col min="6" max="6" width="10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482</v>
      </c>
    </row>
    <row r="3" spans="1:11" x14ac:dyDescent="0.25">
      <c r="B3" t="s">
        <v>2</v>
      </c>
      <c r="C3" t="s">
        <v>483</v>
      </c>
    </row>
    <row r="5" spans="1:11" x14ac:dyDescent="0.25">
      <c r="C5" t="s">
        <v>4</v>
      </c>
      <c r="F5" t="s">
        <v>484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485</v>
      </c>
      <c r="D7" t="s">
        <v>191</v>
      </c>
      <c r="E7">
        <v>6.91</v>
      </c>
      <c r="F7">
        <v>6.96</v>
      </c>
      <c r="G7">
        <v>7.02</v>
      </c>
      <c r="I7" t="str">
        <f>"623/3350"</f>
        <v>623/3350</v>
      </c>
      <c r="J7" t="str">
        <f>"512/1514"</f>
        <v>512/1514</v>
      </c>
      <c r="K7" t="str">
        <f>"995/5511"</f>
        <v>995/5511</v>
      </c>
    </row>
    <row r="8" spans="1:11" x14ac:dyDescent="0.25">
      <c r="C8" t="s">
        <v>486</v>
      </c>
      <c r="D8" t="s">
        <v>67</v>
      </c>
      <c r="E8">
        <v>6.93</v>
      </c>
      <c r="F8">
        <v>6.96</v>
      </c>
      <c r="G8">
        <v>6.99</v>
      </c>
      <c r="I8" t="str">
        <f>"553/2938"</f>
        <v>553/2938</v>
      </c>
      <c r="J8" t="str">
        <f>"443/1252"</f>
        <v>443/1252</v>
      </c>
      <c r="K8" t="str">
        <f>"879/4762"</f>
        <v>879/4762</v>
      </c>
    </row>
    <row r="9" spans="1:11" x14ac:dyDescent="0.25">
      <c r="C9" t="s">
        <v>487</v>
      </c>
      <c r="D9" t="s">
        <v>194</v>
      </c>
      <c r="E9">
        <v>6.95</v>
      </c>
      <c r="F9">
        <v>6.74</v>
      </c>
      <c r="G9">
        <v>7.02</v>
      </c>
      <c r="I9" t="str">
        <f>"545/2919"</f>
        <v>545/2919</v>
      </c>
      <c r="J9" t="str">
        <f>"416/1093"</f>
        <v>416/1093</v>
      </c>
      <c r="K9" t="str">
        <f>"802/3240"</f>
        <v>802/3240</v>
      </c>
    </row>
    <row r="10" spans="1:11" x14ac:dyDescent="0.25">
      <c r="C10" t="s">
        <v>488</v>
      </c>
      <c r="D10" t="s">
        <v>54</v>
      </c>
      <c r="E10">
        <v>6.72</v>
      </c>
      <c r="F10">
        <v>6.77</v>
      </c>
      <c r="G10">
        <v>6.99</v>
      </c>
      <c r="I10" t="str">
        <f>"628/4683"</f>
        <v>628/4683</v>
      </c>
      <c r="J10" t="str">
        <f>"528/1714"</f>
        <v>528/1714</v>
      </c>
      <c r="K10" t="str">
        <f>"973/5229"</f>
        <v>973/5229</v>
      </c>
    </row>
    <row r="11" spans="1:11" x14ac:dyDescent="0.25">
      <c r="C11" t="s">
        <v>489</v>
      </c>
      <c r="D11" t="s">
        <v>206</v>
      </c>
      <c r="E11">
        <v>6.82</v>
      </c>
      <c r="F11">
        <v>6.7</v>
      </c>
      <c r="G11">
        <v>6.95</v>
      </c>
      <c r="I11" t="str">
        <f>"414/2420"</f>
        <v>414/2420</v>
      </c>
      <c r="J11" t="str">
        <f>"282/708"</f>
        <v>282/708</v>
      </c>
      <c r="K11" t="str">
        <f>"591/2975"</f>
        <v>591/2975</v>
      </c>
    </row>
    <row r="12" spans="1:11" x14ac:dyDescent="0.25">
      <c r="C12" t="s">
        <v>490</v>
      </c>
      <c r="D12" t="s">
        <v>83</v>
      </c>
      <c r="E12">
        <v>6.72</v>
      </c>
      <c r="F12">
        <v>6.75</v>
      </c>
      <c r="G12">
        <v>6.97</v>
      </c>
      <c r="I12" t="str">
        <f>"529/3869"</f>
        <v>529/3869</v>
      </c>
      <c r="J12" t="str">
        <f>"369/1181"</f>
        <v>369/1181</v>
      </c>
      <c r="K12" t="str">
        <f>"789/4372"</f>
        <v>789/4372</v>
      </c>
    </row>
    <row r="13" spans="1:11" x14ac:dyDescent="0.25">
      <c r="C13" t="s">
        <v>491</v>
      </c>
      <c r="D13" t="s">
        <v>79</v>
      </c>
      <c r="E13">
        <v>6.83</v>
      </c>
      <c r="F13">
        <v>6.6</v>
      </c>
      <c r="G13">
        <v>6.93</v>
      </c>
      <c r="I13" t="str">
        <f>"405/2328"</f>
        <v>405/2328</v>
      </c>
      <c r="J13" t="str">
        <f>"275/633"</f>
        <v>275/633</v>
      </c>
      <c r="K13" t="str">
        <f>"564/2712"</f>
        <v>564/2712</v>
      </c>
    </row>
    <row r="14" spans="1:11" x14ac:dyDescent="0.25">
      <c r="C14" t="s">
        <v>492</v>
      </c>
      <c r="D14" t="s">
        <v>77</v>
      </c>
      <c r="E14">
        <v>6.71</v>
      </c>
      <c r="F14">
        <v>6.71</v>
      </c>
      <c r="G14">
        <v>6.93</v>
      </c>
      <c r="I14" t="str">
        <f>"526/3845"</f>
        <v>526/3845</v>
      </c>
      <c r="J14" t="str">
        <f>"369/1181"</f>
        <v>369/1181</v>
      </c>
      <c r="K14" t="str">
        <f>"785/4340"</f>
        <v>785/4340</v>
      </c>
    </row>
    <row r="15" spans="1:11" x14ac:dyDescent="0.25">
      <c r="C15" t="s">
        <v>493</v>
      </c>
      <c r="D15" t="s">
        <v>124</v>
      </c>
      <c r="E15">
        <v>6.87</v>
      </c>
      <c r="F15">
        <v>6.63</v>
      </c>
      <c r="G15">
        <v>6.8</v>
      </c>
      <c r="I15" t="str">
        <f>"641/3535"</f>
        <v>641/3535</v>
      </c>
      <c r="J15" t="str">
        <f>"524/1607"</f>
        <v>524/1607</v>
      </c>
      <c r="K15" t="str">
        <f>"956/3839"</f>
        <v>956/3839</v>
      </c>
    </row>
    <row r="16" spans="1:11" x14ac:dyDescent="0.25">
      <c r="C16" t="s">
        <v>494</v>
      </c>
      <c r="D16" t="s">
        <v>211</v>
      </c>
      <c r="E16">
        <v>6.79</v>
      </c>
      <c r="F16">
        <v>6.47</v>
      </c>
      <c r="G16">
        <v>6.97</v>
      </c>
      <c r="I16" t="str">
        <f>"467/2342"</f>
        <v>467/2342</v>
      </c>
      <c r="J16" t="str">
        <f>"346/882"</f>
        <v>346/882</v>
      </c>
      <c r="K16" t="str">
        <f>"704/2626"</f>
        <v>704/2626</v>
      </c>
    </row>
    <row r="17" spans="3:11" x14ac:dyDescent="0.25">
      <c r="C17" t="s">
        <v>495</v>
      </c>
      <c r="D17" t="s">
        <v>69</v>
      </c>
      <c r="E17">
        <v>6.59</v>
      </c>
      <c r="F17">
        <v>6.65</v>
      </c>
      <c r="G17">
        <v>6.97</v>
      </c>
      <c r="I17" t="str">
        <f>"625/3536"</f>
        <v>625/3536</v>
      </c>
      <c r="J17" t="str">
        <f>"479/1165"</f>
        <v>479/1165</v>
      </c>
      <c r="K17" t="str">
        <f>"920/4036"</f>
        <v>920/4036</v>
      </c>
    </row>
    <row r="18" spans="3:11" x14ac:dyDescent="0.25">
      <c r="C18" t="s">
        <v>496</v>
      </c>
      <c r="D18" t="s">
        <v>99</v>
      </c>
      <c r="E18">
        <v>6.77</v>
      </c>
      <c r="F18">
        <v>6.51</v>
      </c>
      <c r="G18">
        <v>6.92</v>
      </c>
      <c r="I18" t="str">
        <f>"417/2430"</f>
        <v>417/2430</v>
      </c>
      <c r="J18" t="str">
        <f>"282/708"</f>
        <v>282/708</v>
      </c>
      <c r="K18" t="str">
        <f>"596/3006"</f>
        <v>596/3006</v>
      </c>
    </row>
    <row r="19" spans="3:11" x14ac:dyDescent="0.25">
      <c r="C19" t="s">
        <v>497</v>
      </c>
      <c r="D19" t="s">
        <v>75</v>
      </c>
      <c r="E19">
        <v>6.78</v>
      </c>
      <c r="F19">
        <v>6.47</v>
      </c>
      <c r="G19">
        <v>6.93</v>
      </c>
      <c r="I19" t="str">
        <f>"405/2328"</f>
        <v>405/2328</v>
      </c>
      <c r="J19" t="str">
        <f>"275/633"</f>
        <v>275/633</v>
      </c>
      <c r="K19" t="str">
        <f>"564/2712"</f>
        <v>564/2712</v>
      </c>
    </row>
    <row r="20" spans="3:11" x14ac:dyDescent="0.25">
      <c r="C20" t="s">
        <v>498</v>
      </c>
      <c r="D20" t="s">
        <v>198</v>
      </c>
      <c r="E20">
        <v>6.64</v>
      </c>
      <c r="F20">
        <v>6.58</v>
      </c>
      <c r="G20">
        <v>6.92</v>
      </c>
      <c r="I20" t="str">
        <f>"502/3747"</f>
        <v>502/3747</v>
      </c>
      <c r="J20" t="str">
        <f>"344/1124"</f>
        <v>344/1124</v>
      </c>
      <c r="K20" t="str">
        <f>"759/4231"</f>
        <v>759/4231</v>
      </c>
    </row>
    <row r="21" spans="3:11" x14ac:dyDescent="0.25">
      <c r="C21" t="s">
        <v>499</v>
      </c>
      <c r="D21" t="s">
        <v>122</v>
      </c>
      <c r="E21">
        <v>6.85</v>
      </c>
      <c r="F21">
        <v>6.49</v>
      </c>
      <c r="G21">
        <v>6.77</v>
      </c>
      <c r="I21" t="str">
        <f>"533/2925"</f>
        <v>533/2925</v>
      </c>
      <c r="J21" t="str">
        <f>"447/1358"</f>
        <v>447/1358</v>
      </c>
      <c r="K21" t="str">
        <f>"815/3345"</f>
        <v>815/3345</v>
      </c>
    </row>
    <row r="22" spans="3:11" x14ac:dyDescent="0.25">
      <c r="C22" t="s">
        <v>500</v>
      </c>
      <c r="D22" t="s">
        <v>230</v>
      </c>
      <c r="E22">
        <v>6.78</v>
      </c>
      <c r="F22">
        <v>6.39</v>
      </c>
      <c r="G22">
        <v>6.91</v>
      </c>
      <c r="I22" t="str">
        <f>"399/2071"</f>
        <v>399/2071</v>
      </c>
      <c r="J22" t="str">
        <f>"290/739"</f>
        <v>290/739</v>
      </c>
      <c r="K22" t="str">
        <f>"586/2232"</f>
        <v>586/2232</v>
      </c>
    </row>
    <row r="23" spans="3:11" x14ac:dyDescent="0.25">
      <c r="C23" t="s">
        <v>501</v>
      </c>
      <c r="D23" t="s">
        <v>250</v>
      </c>
      <c r="E23">
        <v>6.55</v>
      </c>
      <c r="F23">
        <v>6.6</v>
      </c>
      <c r="G23">
        <v>6.84</v>
      </c>
      <c r="I23" t="str">
        <f>"400/1568"</f>
        <v>400/1568</v>
      </c>
      <c r="J23" t="str">
        <f>"375/887"</f>
        <v>375/887</v>
      </c>
      <c r="K23" t="str">
        <f>"714/2214"</f>
        <v>714/2214</v>
      </c>
    </row>
    <row r="24" spans="3:11" x14ac:dyDescent="0.25">
      <c r="C24" t="s">
        <v>502</v>
      </c>
      <c r="D24" t="s">
        <v>22</v>
      </c>
      <c r="E24">
        <v>6.84</v>
      </c>
      <c r="F24">
        <v>6.48</v>
      </c>
      <c r="G24">
        <v>6.63</v>
      </c>
      <c r="I24" t="str">
        <f>"303/2188"</f>
        <v>303/2188</v>
      </c>
      <c r="J24" t="str">
        <f>"228/1264"</f>
        <v>228/1264</v>
      </c>
      <c r="K24" t="str">
        <f>"433/2342"</f>
        <v>433/2342</v>
      </c>
    </row>
    <row r="25" spans="3:11" x14ac:dyDescent="0.25">
      <c r="C25" t="s">
        <v>503</v>
      </c>
      <c r="D25" t="s">
        <v>222</v>
      </c>
      <c r="E25">
        <v>6.69</v>
      </c>
      <c r="F25">
        <v>6.39</v>
      </c>
      <c r="G25">
        <v>6.85</v>
      </c>
      <c r="I25" t="str">
        <f>"428/1746"</f>
        <v>428/1746</v>
      </c>
      <c r="J25" t="str">
        <f>"309/632"</f>
        <v>309/632</v>
      </c>
      <c r="K25" t="str">
        <f>"692/2183"</f>
        <v>692/2183</v>
      </c>
    </row>
    <row r="26" spans="3:11" x14ac:dyDescent="0.25">
      <c r="C26" t="s">
        <v>504</v>
      </c>
      <c r="D26" t="s">
        <v>34</v>
      </c>
      <c r="E26">
        <v>6.79</v>
      </c>
      <c r="F26">
        <v>6.39</v>
      </c>
      <c r="G26">
        <v>6.73</v>
      </c>
      <c r="I26" t="str">
        <f>"589/6533"</f>
        <v>589/6533</v>
      </c>
      <c r="J26" t="str">
        <f>"437/1378"</f>
        <v>437/1378</v>
      </c>
      <c r="K26" t="str">
        <f>"809/4478"</f>
        <v>809/4478</v>
      </c>
    </row>
    <row r="27" spans="3:11" x14ac:dyDescent="0.25">
      <c r="C27" t="s">
        <v>505</v>
      </c>
      <c r="D27" t="s">
        <v>20</v>
      </c>
      <c r="E27">
        <v>6.89</v>
      </c>
      <c r="F27">
        <v>6.44</v>
      </c>
      <c r="G27">
        <v>6.5</v>
      </c>
      <c r="I27" t="str">
        <f>"366/6346"</f>
        <v>366/6346</v>
      </c>
      <c r="J27" t="str">
        <f>"226/947"</f>
        <v>226/947</v>
      </c>
      <c r="K27" t="str">
        <f>"473/2810"</f>
        <v>473/2810</v>
      </c>
    </row>
    <row r="28" spans="3:11" x14ac:dyDescent="0.25">
      <c r="C28" t="s">
        <v>45</v>
      </c>
      <c r="D28" t="s">
        <v>506</v>
      </c>
      <c r="K28" t="s">
        <v>47</v>
      </c>
    </row>
    <row r="30" spans="3:11" x14ac:dyDescent="0.25">
      <c r="C30" t="s">
        <v>48</v>
      </c>
      <c r="F30" t="s">
        <v>484</v>
      </c>
      <c r="J30" t="s">
        <v>6</v>
      </c>
    </row>
    <row r="31" spans="3:11" x14ac:dyDescent="0.25">
      <c r="D31" t="s">
        <v>7</v>
      </c>
      <c r="E31" t="s">
        <v>8</v>
      </c>
      <c r="F31" t="s">
        <v>9</v>
      </c>
      <c r="G31" t="s">
        <v>10</v>
      </c>
      <c r="I31" t="s">
        <v>8</v>
      </c>
      <c r="J31" t="s">
        <v>9</v>
      </c>
      <c r="K31" t="s">
        <v>10</v>
      </c>
    </row>
    <row r="32" spans="3:11" x14ac:dyDescent="0.25">
      <c r="C32" t="s">
        <v>485</v>
      </c>
      <c r="D32" t="s">
        <v>18</v>
      </c>
      <c r="E32">
        <v>6.96</v>
      </c>
      <c r="F32">
        <v>6.09</v>
      </c>
      <c r="G32">
        <v>6.91</v>
      </c>
      <c r="I32" t="str">
        <f>"346/3422"</f>
        <v>346/3422</v>
      </c>
      <c r="J32" t="str">
        <f>"269/899"</f>
        <v>269/899</v>
      </c>
      <c r="K32" t="str">
        <f>"593/3055"</f>
        <v>593/3055</v>
      </c>
    </row>
    <row r="33" spans="3:11" x14ac:dyDescent="0.25">
      <c r="C33" t="s">
        <v>486</v>
      </c>
      <c r="D33" t="s">
        <v>57</v>
      </c>
      <c r="E33">
        <v>6.84</v>
      </c>
      <c r="F33">
        <v>6.14</v>
      </c>
      <c r="G33">
        <v>6.79</v>
      </c>
      <c r="I33" t="str">
        <f>"294/1861"</f>
        <v>294/1861</v>
      </c>
      <c r="J33" t="str">
        <f>"180/367"</f>
        <v>180/367</v>
      </c>
      <c r="K33" t="str">
        <f>"388/1938"</f>
        <v>388/1938</v>
      </c>
    </row>
    <row r="34" spans="3:11" x14ac:dyDescent="0.25">
      <c r="C34" t="s">
        <v>487</v>
      </c>
      <c r="D34" t="s">
        <v>49</v>
      </c>
      <c r="E34">
        <v>6.76</v>
      </c>
      <c r="F34">
        <v>6.17</v>
      </c>
      <c r="G34">
        <v>6.84</v>
      </c>
      <c r="I34" t="str">
        <f>"296/1866"</f>
        <v>296/1866</v>
      </c>
      <c r="J34" t="str">
        <f>"180/367"</f>
        <v>180/367</v>
      </c>
      <c r="K34" t="str">
        <f>"392/1951"</f>
        <v>392/1951</v>
      </c>
    </row>
    <row r="35" spans="3:11" x14ac:dyDescent="0.25">
      <c r="C35" t="s">
        <v>488</v>
      </c>
      <c r="D35" t="s">
        <v>63</v>
      </c>
      <c r="E35">
        <v>6.76</v>
      </c>
      <c r="F35">
        <v>6.03</v>
      </c>
      <c r="G35">
        <v>6.96</v>
      </c>
      <c r="I35" t="str">
        <f>"599/4405"</f>
        <v>599/4405</v>
      </c>
      <c r="J35" t="str">
        <f>"444/1217"</f>
        <v>444/1217</v>
      </c>
      <c r="K35" t="str">
        <f>"890/4301"</f>
        <v>890/4301</v>
      </c>
    </row>
    <row r="36" spans="3:11" x14ac:dyDescent="0.25">
      <c r="C36" t="s">
        <v>489</v>
      </c>
      <c r="D36" t="s">
        <v>14</v>
      </c>
      <c r="E36">
        <v>6.88</v>
      </c>
      <c r="F36">
        <v>6.26</v>
      </c>
      <c r="G36">
        <v>6.56</v>
      </c>
      <c r="I36" t="str">
        <f>"339/6300"</f>
        <v>339/6300</v>
      </c>
      <c r="J36" t="str">
        <f>"172/883"</f>
        <v>172/883</v>
      </c>
      <c r="K36" t="str">
        <f>"369/2568"</f>
        <v>369/2568</v>
      </c>
    </row>
    <row r="37" spans="3:11" x14ac:dyDescent="0.25">
      <c r="C37" t="s">
        <v>490</v>
      </c>
      <c r="D37" t="s">
        <v>24</v>
      </c>
      <c r="E37">
        <v>6.87</v>
      </c>
      <c r="F37">
        <v>5.87</v>
      </c>
      <c r="G37">
        <v>6.93</v>
      </c>
      <c r="I37" t="str">
        <f>"346/3422"</f>
        <v>346/3422</v>
      </c>
      <c r="J37" t="str">
        <f>"267/896"</f>
        <v>267/896</v>
      </c>
      <c r="K37" t="str">
        <f>"591/3051"</f>
        <v>591/3051</v>
      </c>
    </row>
    <row r="38" spans="3:11" x14ac:dyDescent="0.25">
      <c r="C38" t="s">
        <v>491</v>
      </c>
      <c r="D38" t="s">
        <v>53</v>
      </c>
      <c r="E38">
        <v>6.78</v>
      </c>
      <c r="F38">
        <v>6</v>
      </c>
      <c r="G38">
        <v>6.81</v>
      </c>
      <c r="I38" t="str">
        <f>"299/1876"</f>
        <v>299/1876</v>
      </c>
      <c r="J38" t="str">
        <f>"185/375"</f>
        <v>185/375</v>
      </c>
      <c r="K38" t="str">
        <f>"400/1980"</f>
        <v>400/1980</v>
      </c>
    </row>
    <row r="39" spans="3:11" x14ac:dyDescent="0.25">
      <c r="C39" t="s">
        <v>492</v>
      </c>
      <c r="D39" t="s">
        <v>51</v>
      </c>
      <c r="E39">
        <v>6.76</v>
      </c>
      <c r="F39">
        <v>6.05</v>
      </c>
      <c r="G39">
        <v>6.75</v>
      </c>
      <c r="I39" t="str">
        <f>"297/1870"</f>
        <v>297/1870</v>
      </c>
      <c r="J39" t="str">
        <f>"181/369"</f>
        <v>181/369</v>
      </c>
      <c r="K39" t="str">
        <f>"392/1961"</f>
        <v>392/1961</v>
      </c>
    </row>
    <row r="40" spans="3:11" x14ac:dyDescent="0.25">
      <c r="C40" t="s">
        <v>493</v>
      </c>
      <c r="D40" t="s">
        <v>55</v>
      </c>
      <c r="E40">
        <v>6.73</v>
      </c>
      <c r="F40">
        <v>5.93</v>
      </c>
      <c r="G40">
        <v>6.84</v>
      </c>
      <c r="I40" t="str">
        <f>"308/1908"</f>
        <v>308/1908</v>
      </c>
      <c r="J40" t="str">
        <f>"185/377"</f>
        <v>185/377</v>
      </c>
      <c r="K40" t="str">
        <f>"419/2060"</f>
        <v>419/2060</v>
      </c>
    </row>
    <row r="41" spans="3:11" x14ac:dyDescent="0.25">
      <c r="C41" t="s">
        <v>494</v>
      </c>
      <c r="D41" t="s">
        <v>28</v>
      </c>
      <c r="E41">
        <v>6.85</v>
      </c>
      <c r="F41">
        <v>5.94</v>
      </c>
      <c r="G41">
        <v>6.68</v>
      </c>
      <c r="I41" t="str">
        <f>"256/2834"</f>
        <v>256/2834</v>
      </c>
      <c r="J41" t="str">
        <f>"190/660"</f>
        <v>190/660</v>
      </c>
      <c r="K41" t="str">
        <f>"364/2223"</f>
        <v>364/2223</v>
      </c>
    </row>
    <row r="42" spans="3:11" x14ac:dyDescent="0.25">
      <c r="C42" t="s">
        <v>495</v>
      </c>
      <c r="D42" t="s">
        <v>52</v>
      </c>
      <c r="E42">
        <v>6.66</v>
      </c>
      <c r="F42">
        <v>5.79</v>
      </c>
      <c r="G42">
        <v>6.87</v>
      </c>
      <c r="I42" t="str">
        <f>"294/1861"</f>
        <v>294/1861</v>
      </c>
      <c r="J42" t="str">
        <f>"180/367"</f>
        <v>180/367</v>
      </c>
      <c r="K42" t="str">
        <f>"389/1949"</f>
        <v>389/1949</v>
      </c>
    </row>
    <row r="43" spans="3:11" x14ac:dyDescent="0.25">
      <c r="C43" t="s">
        <v>496</v>
      </c>
      <c r="D43" t="s">
        <v>242</v>
      </c>
      <c r="E43">
        <v>6.52</v>
      </c>
      <c r="F43">
        <v>6.05</v>
      </c>
      <c r="G43">
        <v>6.73</v>
      </c>
      <c r="I43" t="str">
        <f>"396/1794"</f>
        <v>396/1794</v>
      </c>
      <c r="J43" t="str">
        <f>"294/678"</f>
        <v>294/678</v>
      </c>
      <c r="K43" t="str">
        <f>"691/2694"</f>
        <v>691/2694</v>
      </c>
    </row>
    <row r="44" spans="3:11" x14ac:dyDescent="0.25">
      <c r="C44" t="s">
        <v>497</v>
      </c>
      <c r="D44" t="s">
        <v>226</v>
      </c>
      <c r="E44">
        <v>6.52</v>
      </c>
      <c r="F44">
        <v>5.88</v>
      </c>
      <c r="G44">
        <v>6.81</v>
      </c>
      <c r="I44" t="str">
        <f>"589/2892"</f>
        <v>589/2892</v>
      </c>
      <c r="J44" t="str">
        <f>"376/713"</f>
        <v>376/713</v>
      </c>
      <c r="K44" t="str">
        <f>"912/3088"</f>
        <v>912/3088</v>
      </c>
    </row>
    <row r="45" spans="3:11" x14ac:dyDescent="0.25">
      <c r="C45" t="s">
        <v>498</v>
      </c>
      <c r="D45" t="s">
        <v>56</v>
      </c>
      <c r="E45">
        <v>6.77</v>
      </c>
      <c r="F45">
        <v>5.54</v>
      </c>
      <c r="G45">
        <v>6.88</v>
      </c>
      <c r="I45" t="str">
        <f>"301/1880"</f>
        <v>301/1880</v>
      </c>
      <c r="J45" t="str">
        <f>"182/369"</f>
        <v>182/369</v>
      </c>
      <c r="K45" t="str">
        <f>"402/1980"</f>
        <v>402/1980</v>
      </c>
    </row>
    <row r="46" spans="3:11" x14ac:dyDescent="0.25">
      <c r="C46" t="s">
        <v>499</v>
      </c>
      <c r="D46" t="s">
        <v>89</v>
      </c>
      <c r="E46">
        <v>6.81</v>
      </c>
      <c r="F46">
        <v>5.69</v>
      </c>
      <c r="G46">
        <v>6.66</v>
      </c>
      <c r="I46" t="str">
        <f>"213/1714"</f>
        <v>213/1714</v>
      </c>
      <c r="J46" t="str">
        <f>"155/441"</f>
        <v>155/441</v>
      </c>
      <c r="K46" t="str">
        <f>"349/1611"</f>
        <v>349/1611</v>
      </c>
    </row>
    <row r="47" spans="3:11" x14ac:dyDescent="0.25">
      <c r="C47" t="s">
        <v>500</v>
      </c>
      <c r="D47" t="s">
        <v>507</v>
      </c>
      <c r="E47">
        <v>6.67</v>
      </c>
      <c r="F47">
        <v>5.45</v>
      </c>
      <c r="G47">
        <v>6.85</v>
      </c>
      <c r="I47" t="str">
        <f>"722/2799"</f>
        <v>722/2799</v>
      </c>
      <c r="J47" t="str">
        <f>"413/853"</f>
        <v>413/853</v>
      </c>
      <c r="K47" t="str">
        <f>"997/3400"</f>
        <v>997/3400</v>
      </c>
    </row>
    <row r="48" spans="3:11" x14ac:dyDescent="0.25">
      <c r="C48" t="s">
        <v>501</v>
      </c>
      <c r="D48" t="s">
        <v>424</v>
      </c>
      <c r="E48">
        <v>6.58</v>
      </c>
      <c r="F48">
        <v>5.43</v>
      </c>
      <c r="G48">
        <v>6.57</v>
      </c>
      <c r="I48" t="str">
        <f>"561/2204"</f>
        <v>561/2204</v>
      </c>
      <c r="J48" t="str">
        <f>"345/684"</f>
        <v>345/684</v>
      </c>
      <c r="K48" t="str">
        <f>"799/2587"</f>
        <v>799/2587</v>
      </c>
    </row>
    <row r="49" spans="3:11" x14ac:dyDescent="0.25">
      <c r="C49" t="s">
        <v>502</v>
      </c>
      <c r="D49" t="s">
        <v>228</v>
      </c>
      <c r="E49">
        <v>6.58</v>
      </c>
      <c r="F49">
        <v>5.14</v>
      </c>
      <c r="G49">
        <v>6.69</v>
      </c>
      <c r="I49" t="str">
        <f>"482/3312"</f>
        <v>482/3312</v>
      </c>
      <c r="J49" t="str">
        <f>"372/997"</f>
        <v>372/997</v>
      </c>
      <c r="K49" t="str">
        <f>"653/2634"</f>
        <v>653/2634</v>
      </c>
    </row>
    <row r="50" spans="3:11" x14ac:dyDescent="0.25">
      <c r="C50" t="s">
        <v>503</v>
      </c>
      <c r="D50" t="s">
        <v>65</v>
      </c>
      <c r="E50">
        <v>6.84</v>
      </c>
      <c r="F50">
        <v>3.72</v>
      </c>
      <c r="G50">
        <v>6.71</v>
      </c>
      <c r="I50" t="str">
        <f>"196/1530"</f>
        <v>196/1530</v>
      </c>
      <c r="J50" t="str">
        <f>"135/357"</f>
        <v>135/357</v>
      </c>
      <c r="K50" t="str">
        <f>"310/1259"</f>
        <v>310/1259</v>
      </c>
    </row>
    <row r="51" spans="3:11" x14ac:dyDescent="0.25">
      <c r="C51" t="s">
        <v>504</v>
      </c>
      <c r="D51" t="s">
        <v>388</v>
      </c>
      <c r="E51">
        <v>6.62</v>
      </c>
      <c r="F51">
        <v>3.66</v>
      </c>
      <c r="G51">
        <v>6.82</v>
      </c>
      <c r="I51" t="str">
        <f>"243/1653"</f>
        <v>243/1653</v>
      </c>
      <c r="J51" t="str">
        <f>"150/373"</f>
        <v>150/373</v>
      </c>
      <c r="K51" t="str">
        <f>"392/1784"</f>
        <v>392/1784</v>
      </c>
    </row>
    <row r="52" spans="3:11" x14ac:dyDescent="0.25">
      <c r="C52" t="s">
        <v>505</v>
      </c>
      <c r="D52" t="s">
        <v>508</v>
      </c>
      <c r="E52">
        <v>6.62</v>
      </c>
      <c r="F52">
        <v>2.86</v>
      </c>
      <c r="G52">
        <v>6.48</v>
      </c>
      <c r="I52" t="str">
        <f>"814/2077"</f>
        <v>814/2077</v>
      </c>
      <c r="J52" t="str">
        <f>"462/571"</f>
        <v>462/571</v>
      </c>
      <c r="K52" t="str">
        <f>"969/1913"</f>
        <v>969/1913</v>
      </c>
    </row>
    <row r="53" spans="3:11" x14ac:dyDescent="0.25">
      <c r="C53" t="s">
        <v>45</v>
      </c>
      <c r="D53" t="s">
        <v>509</v>
      </c>
      <c r="K53" t="s">
        <v>109</v>
      </c>
    </row>
    <row r="55" spans="3:11" x14ac:dyDescent="0.25">
      <c r="C55" t="s">
        <v>110</v>
      </c>
      <c r="F55" t="s">
        <v>484</v>
      </c>
      <c r="J55" t="s">
        <v>6</v>
      </c>
    </row>
    <row r="56" spans="3:11" x14ac:dyDescent="0.25">
      <c r="D56" t="s">
        <v>7</v>
      </c>
      <c r="E56" t="s">
        <v>8</v>
      </c>
      <c r="F56" t="s">
        <v>9</v>
      </c>
      <c r="G56" t="s">
        <v>10</v>
      </c>
      <c r="I56" t="s">
        <v>8</v>
      </c>
      <c r="J56" t="s">
        <v>9</v>
      </c>
      <c r="K56" t="s">
        <v>10</v>
      </c>
    </row>
    <row r="57" spans="3:11" x14ac:dyDescent="0.25">
      <c r="C57" t="s">
        <v>485</v>
      </c>
      <c r="D57" t="s">
        <v>16</v>
      </c>
      <c r="E57">
        <v>6.93</v>
      </c>
      <c r="F57">
        <v>6.4</v>
      </c>
      <c r="G57">
        <v>6.32</v>
      </c>
      <c r="I57" t="str">
        <f>"344/6322"</f>
        <v>344/6322</v>
      </c>
      <c r="J57" t="str">
        <f>"184/897"</f>
        <v>184/897</v>
      </c>
      <c r="K57" t="str">
        <f>"381/2595"</f>
        <v>381/2595</v>
      </c>
    </row>
    <row r="58" spans="3:11" x14ac:dyDescent="0.25">
      <c r="C58" t="s">
        <v>486</v>
      </c>
      <c r="D58" t="s">
        <v>58</v>
      </c>
      <c r="E58">
        <v>6.61</v>
      </c>
      <c r="F58">
        <v>6.31</v>
      </c>
      <c r="G58">
        <v>5.75</v>
      </c>
      <c r="I58" t="str">
        <f>"323/3796"</f>
        <v>323/3796</v>
      </c>
      <c r="J58" t="str">
        <f>"182/633"</f>
        <v>182/633</v>
      </c>
      <c r="K58" t="str">
        <f>"369/2147"</f>
        <v>369/2147</v>
      </c>
    </row>
    <row r="59" spans="3:11" x14ac:dyDescent="0.25">
      <c r="C59" t="s">
        <v>45</v>
      </c>
      <c r="D59" t="s">
        <v>510</v>
      </c>
      <c r="K59" t="s">
        <v>118</v>
      </c>
    </row>
    <row r="61" spans="3:11" x14ac:dyDescent="0.25">
      <c r="C61" t="s">
        <v>119</v>
      </c>
      <c r="F61" t="s">
        <v>484</v>
      </c>
      <c r="J61" t="s">
        <v>6</v>
      </c>
    </row>
    <row r="62" spans="3:11" x14ac:dyDescent="0.25">
      <c r="D62" t="s">
        <v>7</v>
      </c>
      <c r="E62" t="s">
        <v>8</v>
      </c>
      <c r="F62" t="s">
        <v>9</v>
      </c>
      <c r="G62" t="s">
        <v>10</v>
      </c>
      <c r="I62" t="s">
        <v>8</v>
      </c>
      <c r="J62" t="s">
        <v>9</v>
      </c>
      <c r="K62" t="s">
        <v>10</v>
      </c>
    </row>
    <row r="63" spans="3:11" x14ac:dyDescent="0.25">
      <c r="C63" t="s">
        <v>485</v>
      </c>
      <c r="D63" t="s">
        <v>26</v>
      </c>
      <c r="E63">
        <v>6.2</v>
      </c>
      <c r="F63">
        <v>6.65</v>
      </c>
      <c r="G63">
        <v>6.94</v>
      </c>
      <c r="I63" t="str">
        <f>"452/1721"</f>
        <v>452/1721</v>
      </c>
      <c r="J63" t="str">
        <f>"430/1832"</f>
        <v>430/1832</v>
      </c>
      <c r="K63" t="str">
        <f>"839/3131"</f>
        <v>839/3131</v>
      </c>
    </row>
    <row r="64" spans="3:11" x14ac:dyDescent="0.25">
      <c r="C64" t="s">
        <v>486</v>
      </c>
      <c r="D64" t="s">
        <v>105</v>
      </c>
      <c r="E64">
        <v>6.39</v>
      </c>
      <c r="F64">
        <v>6.37</v>
      </c>
      <c r="G64">
        <v>6.76</v>
      </c>
      <c r="I64" t="str">
        <f>"671/3536"</f>
        <v>671/3536</v>
      </c>
      <c r="J64" t="str">
        <f>"439/868"</f>
        <v>439/868</v>
      </c>
      <c r="K64" t="str">
        <f>"984/3406"</f>
        <v>984/3406</v>
      </c>
    </row>
    <row r="65" spans="2:11" x14ac:dyDescent="0.25">
      <c r="C65" t="s">
        <v>487</v>
      </c>
      <c r="D65" t="s">
        <v>127</v>
      </c>
      <c r="E65">
        <v>6.51</v>
      </c>
      <c r="F65">
        <v>6.4</v>
      </c>
      <c r="G65">
        <v>6.53</v>
      </c>
      <c r="I65" t="str">
        <f>"485/1835"</f>
        <v>485/1835</v>
      </c>
      <c r="J65" t="str">
        <f>"486/1830"</f>
        <v>486/1830</v>
      </c>
      <c r="K65" t="str">
        <f>"899/2778"</f>
        <v>899/2778</v>
      </c>
    </row>
    <row r="66" spans="2:11" x14ac:dyDescent="0.25">
      <c r="C66" t="s">
        <v>488</v>
      </c>
      <c r="D66" t="s">
        <v>218</v>
      </c>
      <c r="E66">
        <v>5.81</v>
      </c>
      <c r="F66">
        <v>6.32</v>
      </c>
      <c r="G66">
        <v>6.89</v>
      </c>
      <c r="I66" t="str">
        <f>"460/2035"</f>
        <v>460/2035</v>
      </c>
      <c r="J66" t="str">
        <f>"342/678"</f>
        <v>342/678</v>
      </c>
      <c r="K66" t="str">
        <f>"740/2621"</f>
        <v>740/2621</v>
      </c>
    </row>
    <row r="67" spans="2:11" x14ac:dyDescent="0.25">
      <c r="C67" t="s">
        <v>489</v>
      </c>
      <c r="D67" t="s">
        <v>113</v>
      </c>
      <c r="E67">
        <v>5.01</v>
      </c>
      <c r="F67">
        <v>6.52</v>
      </c>
      <c r="G67">
        <v>6.68</v>
      </c>
      <c r="I67" t="str">
        <f>"377/1237"</f>
        <v>377/1237</v>
      </c>
      <c r="J67" t="str">
        <f>"349/1292"</f>
        <v>349/1292</v>
      </c>
      <c r="K67" t="str">
        <f>"694/2254"</f>
        <v>694/2254</v>
      </c>
    </row>
    <row r="68" spans="2:11" x14ac:dyDescent="0.25">
      <c r="C68" t="s">
        <v>45</v>
      </c>
      <c r="D68" t="s">
        <v>511</v>
      </c>
      <c r="K68" t="s">
        <v>139</v>
      </c>
    </row>
    <row r="70" spans="2:11" x14ac:dyDescent="0.25">
      <c r="B70" t="s">
        <v>140</v>
      </c>
      <c r="C70" t="s">
        <v>512</v>
      </c>
    </row>
    <row r="72" spans="2:11" x14ac:dyDescent="0.25">
      <c r="C72" t="s">
        <v>4</v>
      </c>
      <c r="F72" t="s">
        <v>484</v>
      </c>
      <c r="J72" t="s">
        <v>6</v>
      </c>
    </row>
    <row r="73" spans="2:11" x14ac:dyDescent="0.25">
      <c r="D73" t="s">
        <v>7</v>
      </c>
      <c r="E73" t="s">
        <v>8</v>
      </c>
      <c r="F73" t="s">
        <v>9</v>
      </c>
      <c r="G73" t="s">
        <v>10</v>
      </c>
      <c r="I73" t="s">
        <v>8</v>
      </c>
      <c r="J73" t="s">
        <v>9</v>
      </c>
      <c r="K73" t="s">
        <v>10</v>
      </c>
    </row>
    <row r="74" spans="2:11" x14ac:dyDescent="0.25">
      <c r="C74" t="s">
        <v>45</v>
      </c>
      <c r="D74" t="s">
        <v>142</v>
      </c>
      <c r="K74" t="s">
        <v>47</v>
      </c>
    </row>
    <row r="76" spans="2:11" x14ac:dyDescent="0.25">
      <c r="C76" t="s">
        <v>48</v>
      </c>
      <c r="F76" t="s">
        <v>484</v>
      </c>
      <c r="J76" t="s">
        <v>6</v>
      </c>
    </row>
    <row r="77" spans="2:11" x14ac:dyDescent="0.25">
      <c r="D77" t="s">
        <v>7</v>
      </c>
      <c r="E77" t="s">
        <v>8</v>
      </c>
      <c r="F77" t="s">
        <v>9</v>
      </c>
      <c r="G77" t="s">
        <v>10</v>
      </c>
      <c r="I77" t="s">
        <v>8</v>
      </c>
      <c r="J77" t="s">
        <v>9</v>
      </c>
      <c r="K77" t="s">
        <v>10</v>
      </c>
    </row>
    <row r="78" spans="2:11" x14ac:dyDescent="0.25">
      <c r="C78" t="s">
        <v>45</v>
      </c>
      <c r="D78" t="s">
        <v>142</v>
      </c>
      <c r="K78" t="s">
        <v>109</v>
      </c>
    </row>
    <row r="80" spans="2:11" x14ac:dyDescent="0.25">
      <c r="C80" t="s">
        <v>110</v>
      </c>
      <c r="F80" t="s">
        <v>484</v>
      </c>
      <c r="J80" t="s">
        <v>6</v>
      </c>
    </row>
    <row r="81" spans="2:11" x14ac:dyDescent="0.25">
      <c r="D81" t="s">
        <v>7</v>
      </c>
      <c r="E81" t="s">
        <v>8</v>
      </c>
      <c r="F81" t="s">
        <v>9</v>
      </c>
      <c r="G81" t="s">
        <v>10</v>
      </c>
      <c r="I81" t="s">
        <v>8</v>
      </c>
      <c r="J81" t="s">
        <v>9</v>
      </c>
      <c r="K81" t="s">
        <v>10</v>
      </c>
    </row>
    <row r="82" spans="2:11" x14ac:dyDescent="0.25">
      <c r="C82" t="s">
        <v>45</v>
      </c>
      <c r="D82" t="s">
        <v>142</v>
      </c>
      <c r="K82" t="s">
        <v>118</v>
      </c>
    </row>
    <row r="84" spans="2:11" x14ac:dyDescent="0.25">
      <c r="C84" t="s">
        <v>119</v>
      </c>
      <c r="F84" t="s">
        <v>484</v>
      </c>
      <c r="J84" t="s">
        <v>6</v>
      </c>
    </row>
    <row r="85" spans="2:11" x14ac:dyDescent="0.25">
      <c r="D85" t="s">
        <v>7</v>
      </c>
      <c r="E85" t="s">
        <v>8</v>
      </c>
      <c r="F85" t="s">
        <v>9</v>
      </c>
      <c r="G85" t="s">
        <v>10</v>
      </c>
      <c r="I85" t="s">
        <v>8</v>
      </c>
      <c r="J85" t="s">
        <v>9</v>
      </c>
      <c r="K85" t="s">
        <v>10</v>
      </c>
    </row>
    <row r="86" spans="2:11" x14ac:dyDescent="0.25">
      <c r="C86" t="s">
        <v>45</v>
      </c>
      <c r="D86" t="s">
        <v>142</v>
      </c>
      <c r="K86" t="s">
        <v>139</v>
      </c>
    </row>
    <row r="88" spans="2:11" x14ac:dyDescent="0.25">
      <c r="B88" t="s">
        <v>143</v>
      </c>
      <c r="C88" t="s">
        <v>337</v>
      </c>
    </row>
    <row r="90" spans="2:11" x14ac:dyDescent="0.25">
      <c r="C90" t="s">
        <v>4</v>
      </c>
      <c r="F90" t="s">
        <v>484</v>
      </c>
      <c r="J90" t="s">
        <v>6</v>
      </c>
    </row>
    <row r="91" spans="2:11" x14ac:dyDescent="0.25">
      <c r="D91" t="s">
        <v>7</v>
      </c>
      <c r="E91" t="s">
        <v>8</v>
      </c>
      <c r="F91" t="s">
        <v>9</v>
      </c>
      <c r="G91" t="s">
        <v>10</v>
      </c>
      <c r="I91" t="s">
        <v>8</v>
      </c>
      <c r="J91" t="s">
        <v>9</v>
      </c>
      <c r="K91" t="s">
        <v>10</v>
      </c>
    </row>
    <row r="92" spans="2:11" x14ac:dyDescent="0.25">
      <c r="C92" t="s">
        <v>45</v>
      </c>
      <c r="D92" t="s">
        <v>142</v>
      </c>
      <c r="K92" t="s">
        <v>47</v>
      </c>
    </row>
    <row r="94" spans="2:11" x14ac:dyDescent="0.25">
      <c r="C94" t="s">
        <v>48</v>
      </c>
      <c r="F94" t="s">
        <v>484</v>
      </c>
      <c r="J94" t="s">
        <v>6</v>
      </c>
    </row>
    <row r="95" spans="2:11" x14ac:dyDescent="0.25">
      <c r="D95" t="s">
        <v>7</v>
      </c>
      <c r="E95" t="s">
        <v>8</v>
      </c>
      <c r="F95" t="s">
        <v>9</v>
      </c>
      <c r="G95" t="s">
        <v>10</v>
      </c>
      <c r="I95" t="s">
        <v>8</v>
      </c>
      <c r="J95" t="s">
        <v>9</v>
      </c>
      <c r="K95" t="s">
        <v>10</v>
      </c>
    </row>
    <row r="96" spans="2:11" x14ac:dyDescent="0.25">
      <c r="C96" t="s">
        <v>45</v>
      </c>
      <c r="D96" t="s">
        <v>142</v>
      </c>
      <c r="K96" t="s">
        <v>109</v>
      </c>
    </row>
    <row r="98" spans="1:11" x14ac:dyDescent="0.25">
      <c r="C98" t="s">
        <v>110</v>
      </c>
      <c r="F98" t="s">
        <v>484</v>
      </c>
      <c r="J98" t="s">
        <v>6</v>
      </c>
    </row>
    <row r="99" spans="1:11" x14ac:dyDescent="0.25">
      <c r="D99" t="s">
        <v>7</v>
      </c>
      <c r="E99" t="s">
        <v>8</v>
      </c>
      <c r="F99" t="s">
        <v>9</v>
      </c>
      <c r="G99" t="s">
        <v>10</v>
      </c>
      <c r="I99" t="s">
        <v>8</v>
      </c>
      <c r="J99" t="s">
        <v>9</v>
      </c>
      <c r="K99" t="s">
        <v>10</v>
      </c>
    </row>
    <row r="100" spans="1:11" x14ac:dyDescent="0.25">
      <c r="C100" t="s">
        <v>45</v>
      </c>
      <c r="D100" t="s">
        <v>142</v>
      </c>
      <c r="K100" t="s">
        <v>118</v>
      </c>
    </row>
    <row r="102" spans="1:11" x14ac:dyDescent="0.25">
      <c r="C102" t="s">
        <v>119</v>
      </c>
      <c r="F102" t="s">
        <v>484</v>
      </c>
      <c r="J102" t="s">
        <v>6</v>
      </c>
    </row>
    <row r="103" spans="1:11" x14ac:dyDescent="0.25">
      <c r="D103" t="s">
        <v>7</v>
      </c>
      <c r="E103" t="s">
        <v>8</v>
      </c>
      <c r="F103" t="s">
        <v>9</v>
      </c>
      <c r="G103" t="s">
        <v>10</v>
      </c>
      <c r="I103" t="s">
        <v>8</v>
      </c>
      <c r="J103" t="s">
        <v>9</v>
      </c>
      <c r="K103" t="s">
        <v>10</v>
      </c>
    </row>
    <row r="104" spans="1:11" x14ac:dyDescent="0.25">
      <c r="C104" t="s">
        <v>45</v>
      </c>
      <c r="D104" t="s">
        <v>142</v>
      </c>
      <c r="K104" t="s">
        <v>139</v>
      </c>
    </row>
    <row r="108" spans="1:11" x14ac:dyDescent="0.25">
      <c r="A108" t="s">
        <v>0</v>
      </c>
      <c r="B108" t="s">
        <v>513</v>
      </c>
    </row>
    <row r="110" spans="1:11" x14ac:dyDescent="0.25">
      <c r="B110" t="s">
        <v>2</v>
      </c>
      <c r="C110" t="s">
        <v>483</v>
      </c>
    </row>
    <row r="112" spans="1:11" x14ac:dyDescent="0.25">
      <c r="C112" t="s">
        <v>4</v>
      </c>
      <c r="F112" t="s">
        <v>484</v>
      </c>
      <c r="J112" t="s">
        <v>6</v>
      </c>
    </row>
    <row r="113" spans="3:11" x14ac:dyDescent="0.25">
      <c r="D113" t="s">
        <v>7</v>
      </c>
      <c r="E113" t="s">
        <v>8</v>
      </c>
      <c r="F113" t="s">
        <v>9</v>
      </c>
      <c r="G113" t="s">
        <v>10</v>
      </c>
      <c r="I113" t="s">
        <v>8</v>
      </c>
      <c r="J113" t="s">
        <v>9</v>
      </c>
      <c r="K113" t="s">
        <v>10</v>
      </c>
    </row>
    <row r="114" spans="3:11" x14ac:dyDescent="0.25">
      <c r="C114" t="s">
        <v>485</v>
      </c>
      <c r="D114" t="s">
        <v>514</v>
      </c>
      <c r="E114">
        <v>-0.59</v>
      </c>
      <c r="F114">
        <v>-0.88</v>
      </c>
      <c r="G114">
        <v>-2.2999999999999998</v>
      </c>
      <c r="I114" t="str">
        <f>"122/268"</f>
        <v>122/268</v>
      </c>
      <c r="J114" t="str">
        <f>"123/187"</f>
        <v>123/187</v>
      </c>
      <c r="K114" t="str">
        <f>"293/607"</f>
        <v>293/607</v>
      </c>
    </row>
    <row r="115" spans="3:11" x14ac:dyDescent="0.25">
      <c r="C115" t="s">
        <v>45</v>
      </c>
      <c r="D115" t="s">
        <v>515</v>
      </c>
      <c r="K115" t="s">
        <v>154</v>
      </c>
    </row>
    <row r="117" spans="3:11" x14ac:dyDescent="0.25">
      <c r="C117" t="s">
        <v>48</v>
      </c>
      <c r="F117" t="s">
        <v>484</v>
      </c>
      <c r="J117" t="s">
        <v>6</v>
      </c>
    </row>
    <row r="118" spans="3:11" x14ac:dyDescent="0.25">
      <c r="D118" t="s">
        <v>7</v>
      </c>
      <c r="E118" t="s">
        <v>8</v>
      </c>
      <c r="F118" t="s">
        <v>9</v>
      </c>
      <c r="G118" t="s">
        <v>10</v>
      </c>
      <c r="I118" t="s">
        <v>8</v>
      </c>
      <c r="J118" t="s">
        <v>9</v>
      </c>
      <c r="K118" t="s">
        <v>10</v>
      </c>
    </row>
    <row r="119" spans="3:11" x14ac:dyDescent="0.25">
      <c r="C119" t="s">
        <v>485</v>
      </c>
      <c r="D119" t="s">
        <v>416</v>
      </c>
      <c r="E119">
        <v>-1.1100000000000001</v>
      </c>
      <c r="F119">
        <v>4.8099999999999996</v>
      </c>
      <c r="G119">
        <v>-1.56</v>
      </c>
      <c r="I119" t="str">
        <f>"173/345"</f>
        <v>173/345</v>
      </c>
      <c r="J119" t="str">
        <f>"192/338"</f>
        <v>192/338</v>
      </c>
      <c r="K119" t="str">
        <f>"262/411"</f>
        <v>262/411</v>
      </c>
    </row>
    <row r="120" spans="3:11" x14ac:dyDescent="0.25">
      <c r="C120" t="s">
        <v>486</v>
      </c>
      <c r="D120" t="s">
        <v>516</v>
      </c>
      <c r="E120">
        <v>-0.65</v>
      </c>
      <c r="F120">
        <v>3.69</v>
      </c>
      <c r="G120">
        <v>-1.08</v>
      </c>
      <c r="I120" t="str">
        <f>"59/95"</f>
        <v>59/95</v>
      </c>
      <c r="J120" t="str">
        <f>"31/82"</f>
        <v>31/82</v>
      </c>
      <c r="K120" t="str">
        <f>"88/180"</f>
        <v>88/180</v>
      </c>
    </row>
    <row r="121" spans="3:11" x14ac:dyDescent="0.25">
      <c r="C121" t="s">
        <v>487</v>
      </c>
      <c r="D121" t="s">
        <v>375</v>
      </c>
      <c r="E121">
        <v>-0.52</v>
      </c>
      <c r="F121">
        <v>1.34</v>
      </c>
      <c r="G121">
        <v>-1.53</v>
      </c>
      <c r="I121" t="str">
        <f>"23/45"</f>
        <v>23/45</v>
      </c>
      <c r="J121" t="str">
        <f>"26/53"</f>
        <v>26/53</v>
      </c>
      <c r="K121" t="str">
        <f>"66/173"</f>
        <v>66/173</v>
      </c>
    </row>
    <row r="122" spans="3:11" x14ac:dyDescent="0.25">
      <c r="C122" t="s">
        <v>45</v>
      </c>
      <c r="D122" t="s">
        <v>270</v>
      </c>
      <c r="K122" t="s">
        <v>160</v>
      </c>
    </row>
    <row r="124" spans="3:11" x14ac:dyDescent="0.25">
      <c r="C124" t="s">
        <v>110</v>
      </c>
      <c r="F124" t="s">
        <v>484</v>
      </c>
      <c r="J124" t="s">
        <v>6</v>
      </c>
    </row>
    <row r="125" spans="3:11" x14ac:dyDescent="0.25">
      <c r="D125" t="s">
        <v>7</v>
      </c>
      <c r="E125" t="s">
        <v>8</v>
      </c>
      <c r="F125" t="s">
        <v>9</v>
      </c>
      <c r="G125" t="s">
        <v>10</v>
      </c>
      <c r="I125" t="s">
        <v>8</v>
      </c>
      <c r="J125" t="s">
        <v>9</v>
      </c>
      <c r="K125" t="s">
        <v>10</v>
      </c>
    </row>
    <row r="126" spans="3:11" x14ac:dyDescent="0.25">
      <c r="C126" t="s">
        <v>485</v>
      </c>
      <c r="D126" t="s">
        <v>517</v>
      </c>
      <c r="E126">
        <v>-0.46</v>
      </c>
      <c r="F126">
        <v>-0.66</v>
      </c>
      <c r="G126">
        <v>3.61</v>
      </c>
      <c r="I126" t="str">
        <f>"61/85"</f>
        <v>61/85</v>
      </c>
      <c r="J126" t="str">
        <f>"58/70"</f>
        <v>58/70</v>
      </c>
      <c r="K126" t="str">
        <f>"87/143"</f>
        <v>87/143</v>
      </c>
    </row>
    <row r="127" spans="3:11" x14ac:dyDescent="0.25">
      <c r="C127" t="s">
        <v>486</v>
      </c>
      <c r="D127" t="s">
        <v>518</v>
      </c>
      <c r="E127">
        <v>-0.56999999999999995</v>
      </c>
      <c r="F127">
        <v>-0.36</v>
      </c>
      <c r="G127">
        <v>2.29</v>
      </c>
      <c r="I127" t="str">
        <f>"25/40"</f>
        <v>25/40</v>
      </c>
      <c r="J127" t="str">
        <f>"13/23"</f>
        <v>13/23</v>
      </c>
      <c r="K127" t="str">
        <f>"44/121"</f>
        <v>44/121</v>
      </c>
    </row>
    <row r="128" spans="3:11" x14ac:dyDescent="0.25">
      <c r="C128" t="s">
        <v>487</v>
      </c>
      <c r="D128" t="s">
        <v>519</v>
      </c>
      <c r="E128">
        <v>-1.74</v>
      </c>
      <c r="F128">
        <v>-0.56999999999999995</v>
      </c>
      <c r="G128">
        <v>3.54</v>
      </c>
      <c r="I128" t="str">
        <f>"663/1100"</f>
        <v>663/1100</v>
      </c>
      <c r="J128" t="str">
        <f>"392/479"</f>
        <v>392/479</v>
      </c>
      <c r="K128" t="str">
        <f>"802/1254"</f>
        <v>802/1254</v>
      </c>
    </row>
    <row r="129" spans="2:11" x14ac:dyDescent="0.25">
      <c r="C129" t="s">
        <v>488</v>
      </c>
      <c r="D129" t="s">
        <v>520</v>
      </c>
      <c r="E129">
        <v>-0.6</v>
      </c>
      <c r="F129">
        <v>-0.49</v>
      </c>
      <c r="G129">
        <v>2.2200000000000002</v>
      </c>
      <c r="I129" t="str">
        <f>"25/40"</f>
        <v>25/40</v>
      </c>
      <c r="J129" t="str">
        <f>"13/23"</f>
        <v>13/23</v>
      </c>
      <c r="K129" t="str">
        <f>"44/121"</f>
        <v>44/121</v>
      </c>
    </row>
    <row r="130" spans="2:11" x14ac:dyDescent="0.25">
      <c r="C130" t="s">
        <v>489</v>
      </c>
      <c r="D130" t="s">
        <v>521</v>
      </c>
      <c r="E130">
        <v>-1.95</v>
      </c>
      <c r="F130">
        <v>-0.8</v>
      </c>
      <c r="G130">
        <v>3.29</v>
      </c>
      <c r="I130" t="str">
        <f>"35/141"</f>
        <v>35/141</v>
      </c>
      <c r="J130" t="str">
        <f>"18/30"</f>
        <v>18/30</v>
      </c>
      <c r="K130" t="str">
        <f>"38/161"</f>
        <v>38/161</v>
      </c>
    </row>
    <row r="131" spans="2:11" x14ac:dyDescent="0.25">
      <c r="C131" t="s">
        <v>490</v>
      </c>
      <c r="D131" t="s">
        <v>522</v>
      </c>
      <c r="E131">
        <v>-1.25</v>
      </c>
      <c r="F131">
        <v>-0.35</v>
      </c>
      <c r="G131">
        <v>2.12</v>
      </c>
      <c r="I131" t="str">
        <f>"324/561"</f>
        <v>324/561</v>
      </c>
      <c r="J131" t="str">
        <f>"212/248"</f>
        <v>212/248</v>
      </c>
      <c r="K131" t="str">
        <f>"494/715"</f>
        <v>494/715</v>
      </c>
    </row>
    <row r="132" spans="2:11" x14ac:dyDescent="0.25">
      <c r="C132" t="s">
        <v>45</v>
      </c>
      <c r="D132" t="s">
        <v>523</v>
      </c>
      <c r="K132" t="s">
        <v>167</v>
      </c>
    </row>
    <row r="134" spans="2:11" x14ac:dyDescent="0.25">
      <c r="C134" t="s">
        <v>119</v>
      </c>
      <c r="F134" t="s">
        <v>484</v>
      </c>
      <c r="J134" t="s">
        <v>6</v>
      </c>
    </row>
    <row r="135" spans="2:11" x14ac:dyDescent="0.25">
      <c r="D135" t="s">
        <v>7</v>
      </c>
      <c r="E135" t="s">
        <v>8</v>
      </c>
      <c r="F135" t="s">
        <v>9</v>
      </c>
      <c r="G135" t="s">
        <v>10</v>
      </c>
      <c r="I135" t="s">
        <v>8</v>
      </c>
      <c r="J135" t="s">
        <v>9</v>
      </c>
      <c r="K135" t="s">
        <v>10</v>
      </c>
    </row>
    <row r="136" spans="2:11" x14ac:dyDescent="0.25">
      <c r="C136" t="s">
        <v>485</v>
      </c>
      <c r="D136" t="s">
        <v>524</v>
      </c>
      <c r="E136">
        <v>-0.33</v>
      </c>
      <c r="F136">
        <v>-0.43</v>
      </c>
      <c r="G136">
        <v>-0.79</v>
      </c>
      <c r="I136" t="str">
        <f>"50/87"</f>
        <v>50/87</v>
      </c>
      <c r="J136" t="str">
        <f>"21/31"</f>
        <v>21/31</v>
      </c>
      <c r="K136" t="str">
        <f>"39/65"</f>
        <v>39/65</v>
      </c>
    </row>
    <row r="137" spans="2:11" x14ac:dyDescent="0.25">
      <c r="C137" t="s">
        <v>486</v>
      </c>
      <c r="D137" t="s">
        <v>525</v>
      </c>
      <c r="E137">
        <v>-0.34</v>
      </c>
      <c r="F137">
        <v>-0.43</v>
      </c>
      <c r="G137">
        <v>-0.86</v>
      </c>
      <c r="I137" t="str">
        <f>"50/87"</f>
        <v>50/87</v>
      </c>
      <c r="J137" t="str">
        <f>"21/31"</f>
        <v>21/31</v>
      </c>
      <c r="K137" t="str">
        <f>"41/67"</f>
        <v>41/67</v>
      </c>
    </row>
    <row r="138" spans="2:11" x14ac:dyDescent="0.25">
      <c r="C138" t="s">
        <v>487</v>
      </c>
      <c r="D138" t="s">
        <v>526</v>
      </c>
      <c r="E138">
        <v>-0.41</v>
      </c>
      <c r="F138">
        <v>-0.49</v>
      </c>
      <c r="G138">
        <v>-0.87</v>
      </c>
      <c r="I138" t="str">
        <f>"50/87"</f>
        <v>50/87</v>
      </c>
      <c r="J138" t="str">
        <f>"21/31"</f>
        <v>21/31</v>
      </c>
      <c r="K138" t="str">
        <f>"39/65"</f>
        <v>39/65</v>
      </c>
    </row>
    <row r="139" spans="2:11" x14ac:dyDescent="0.25">
      <c r="C139" t="s">
        <v>488</v>
      </c>
      <c r="D139" t="s">
        <v>281</v>
      </c>
      <c r="E139">
        <v>-0.37</v>
      </c>
      <c r="F139">
        <v>-0.52</v>
      </c>
      <c r="G139">
        <v>-0.91</v>
      </c>
      <c r="I139" t="str">
        <f>"50/87"</f>
        <v>50/87</v>
      </c>
      <c r="J139" t="str">
        <f>"21/31"</f>
        <v>21/31</v>
      </c>
      <c r="K139" t="str">
        <f>"39/65"</f>
        <v>39/65</v>
      </c>
    </row>
    <row r="140" spans="2:11" x14ac:dyDescent="0.25">
      <c r="C140" t="s">
        <v>489</v>
      </c>
      <c r="D140" t="s">
        <v>280</v>
      </c>
      <c r="E140">
        <v>-0.34</v>
      </c>
      <c r="F140">
        <v>-0.49</v>
      </c>
      <c r="G140">
        <v>-1.05</v>
      </c>
      <c r="I140" t="str">
        <f>"51/88"</f>
        <v>51/88</v>
      </c>
      <c r="J140" t="str">
        <f>"21/31"</f>
        <v>21/31</v>
      </c>
      <c r="K140" t="str">
        <f>"42/70"</f>
        <v>42/70</v>
      </c>
    </row>
    <row r="141" spans="2:11" x14ac:dyDescent="0.25">
      <c r="C141" t="s">
        <v>45</v>
      </c>
      <c r="D141" t="s">
        <v>527</v>
      </c>
      <c r="K141" t="s">
        <v>179</v>
      </c>
    </row>
    <row r="143" spans="2:11" x14ac:dyDescent="0.25">
      <c r="B143" t="s">
        <v>140</v>
      </c>
      <c r="C143" t="s">
        <v>512</v>
      </c>
    </row>
    <row r="145" spans="3:11" x14ac:dyDescent="0.25">
      <c r="C145" t="s">
        <v>4</v>
      </c>
      <c r="F145" t="s">
        <v>484</v>
      </c>
      <c r="J145" t="s">
        <v>6</v>
      </c>
    </row>
    <row r="146" spans="3:11" x14ac:dyDescent="0.25">
      <c r="D146" t="s">
        <v>7</v>
      </c>
      <c r="E146" t="s">
        <v>8</v>
      </c>
      <c r="F146" t="s">
        <v>9</v>
      </c>
      <c r="G146" t="s">
        <v>10</v>
      </c>
      <c r="I146" t="s">
        <v>8</v>
      </c>
      <c r="J146" t="s">
        <v>9</v>
      </c>
      <c r="K146" t="s">
        <v>10</v>
      </c>
    </row>
    <row r="147" spans="3:11" x14ac:dyDescent="0.25">
      <c r="C147" t="s">
        <v>45</v>
      </c>
      <c r="D147" t="s">
        <v>142</v>
      </c>
      <c r="K147" t="s">
        <v>154</v>
      </c>
    </row>
    <row r="149" spans="3:11" x14ac:dyDescent="0.25">
      <c r="C149" t="s">
        <v>48</v>
      </c>
      <c r="F149" t="s">
        <v>484</v>
      </c>
      <c r="J149" t="s">
        <v>6</v>
      </c>
    </row>
    <row r="150" spans="3:11" x14ac:dyDescent="0.25">
      <c r="D150" t="s">
        <v>7</v>
      </c>
      <c r="E150" t="s">
        <v>8</v>
      </c>
      <c r="F150" t="s">
        <v>9</v>
      </c>
      <c r="G150" t="s">
        <v>10</v>
      </c>
      <c r="I150" t="s">
        <v>8</v>
      </c>
      <c r="J150" t="s">
        <v>9</v>
      </c>
      <c r="K150" t="s">
        <v>10</v>
      </c>
    </row>
    <row r="151" spans="3:11" x14ac:dyDescent="0.25">
      <c r="C151" t="s">
        <v>45</v>
      </c>
      <c r="D151" t="s">
        <v>142</v>
      </c>
      <c r="K151" t="s">
        <v>160</v>
      </c>
    </row>
    <row r="153" spans="3:11" x14ac:dyDescent="0.25">
      <c r="C153" t="s">
        <v>110</v>
      </c>
      <c r="F153" t="s">
        <v>484</v>
      </c>
      <c r="J153" t="s">
        <v>6</v>
      </c>
    </row>
    <row r="154" spans="3:11" x14ac:dyDescent="0.25">
      <c r="D154" t="s">
        <v>7</v>
      </c>
      <c r="E154" t="s">
        <v>8</v>
      </c>
      <c r="F154" t="s">
        <v>9</v>
      </c>
      <c r="G154" t="s">
        <v>10</v>
      </c>
      <c r="I154" t="s">
        <v>8</v>
      </c>
      <c r="J154" t="s">
        <v>9</v>
      </c>
      <c r="K154" t="s">
        <v>10</v>
      </c>
    </row>
    <row r="155" spans="3:11" x14ac:dyDescent="0.25">
      <c r="C155" t="s">
        <v>45</v>
      </c>
      <c r="D155" t="s">
        <v>142</v>
      </c>
      <c r="K155" t="s">
        <v>167</v>
      </c>
    </row>
    <row r="157" spans="3:11" x14ac:dyDescent="0.25">
      <c r="C157" t="s">
        <v>119</v>
      </c>
      <c r="F157" t="s">
        <v>484</v>
      </c>
      <c r="J157" t="s">
        <v>6</v>
      </c>
    </row>
    <row r="158" spans="3:11" x14ac:dyDescent="0.25">
      <c r="D158" t="s">
        <v>7</v>
      </c>
      <c r="E158" t="s">
        <v>8</v>
      </c>
      <c r="F158" t="s">
        <v>9</v>
      </c>
      <c r="G158" t="s">
        <v>10</v>
      </c>
      <c r="I158" t="s">
        <v>8</v>
      </c>
      <c r="J158" t="s">
        <v>9</v>
      </c>
      <c r="K158" t="s">
        <v>10</v>
      </c>
    </row>
    <row r="159" spans="3:11" x14ac:dyDescent="0.25">
      <c r="C159" t="s">
        <v>45</v>
      </c>
      <c r="D159" t="s">
        <v>142</v>
      </c>
      <c r="K159" t="s">
        <v>179</v>
      </c>
    </row>
    <row r="161" spans="2:11" x14ac:dyDescent="0.25">
      <c r="B161" t="s">
        <v>143</v>
      </c>
      <c r="C161" t="s">
        <v>337</v>
      </c>
    </row>
    <row r="163" spans="2:11" x14ac:dyDescent="0.25">
      <c r="C163" t="s">
        <v>4</v>
      </c>
      <c r="F163" t="s">
        <v>484</v>
      </c>
      <c r="J163" t="s">
        <v>6</v>
      </c>
    </row>
    <row r="164" spans="2:11" x14ac:dyDescent="0.25">
      <c r="D164" t="s">
        <v>7</v>
      </c>
      <c r="E164" t="s">
        <v>8</v>
      </c>
      <c r="F164" t="s">
        <v>9</v>
      </c>
      <c r="G164" t="s">
        <v>10</v>
      </c>
      <c r="I164" t="s">
        <v>8</v>
      </c>
      <c r="J164" t="s">
        <v>9</v>
      </c>
      <c r="K164" t="s">
        <v>10</v>
      </c>
    </row>
    <row r="165" spans="2:11" x14ac:dyDescent="0.25">
      <c r="C165" t="s">
        <v>45</v>
      </c>
      <c r="D165" t="s">
        <v>142</v>
      </c>
      <c r="K165" t="s">
        <v>154</v>
      </c>
    </row>
    <row r="167" spans="2:11" x14ac:dyDescent="0.25">
      <c r="C167" t="s">
        <v>48</v>
      </c>
      <c r="F167" t="s">
        <v>484</v>
      </c>
      <c r="J167" t="s">
        <v>6</v>
      </c>
    </row>
    <row r="168" spans="2:11" x14ac:dyDescent="0.25">
      <c r="D168" t="s">
        <v>7</v>
      </c>
      <c r="E168" t="s">
        <v>8</v>
      </c>
      <c r="F168" t="s">
        <v>9</v>
      </c>
      <c r="G168" t="s">
        <v>10</v>
      </c>
      <c r="I168" t="s">
        <v>8</v>
      </c>
      <c r="J168" t="s">
        <v>9</v>
      </c>
      <c r="K168" t="s">
        <v>10</v>
      </c>
    </row>
    <row r="169" spans="2:11" x14ac:dyDescent="0.25">
      <c r="C169" t="s">
        <v>45</v>
      </c>
      <c r="D169" t="s">
        <v>142</v>
      </c>
      <c r="K169" t="s">
        <v>160</v>
      </c>
    </row>
    <row r="171" spans="2:11" x14ac:dyDescent="0.25">
      <c r="C171" t="s">
        <v>110</v>
      </c>
      <c r="F171" t="s">
        <v>484</v>
      </c>
      <c r="J171" t="s">
        <v>6</v>
      </c>
    </row>
    <row r="172" spans="2:11" x14ac:dyDescent="0.25">
      <c r="D172" t="s">
        <v>7</v>
      </c>
      <c r="E172" t="s">
        <v>8</v>
      </c>
      <c r="F172" t="s">
        <v>9</v>
      </c>
      <c r="G172" t="s">
        <v>10</v>
      </c>
      <c r="I172" t="s">
        <v>8</v>
      </c>
      <c r="J172" t="s">
        <v>9</v>
      </c>
      <c r="K172" t="s">
        <v>10</v>
      </c>
    </row>
    <row r="173" spans="2:11" x14ac:dyDescent="0.25">
      <c r="C173" t="s">
        <v>45</v>
      </c>
      <c r="D173" t="s">
        <v>142</v>
      </c>
      <c r="K173" t="s">
        <v>167</v>
      </c>
    </row>
    <row r="175" spans="2:11" x14ac:dyDescent="0.25">
      <c r="C175" t="s">
        <v>119</v>
      </c>
      <c r="F175" t="s">
        <v>484</v>
      </c>
      <c r="J175" t="s">
        <v>6</v>
      </c>
    </row>
    <row r="176" spans="2:11" x14ac:dyDescent="0.25">
      <c r="D176" t="s">
        <v>7</v>
      </c>
      <c r="E176" t="s">
        <v>8</v>
      </c>
      <c r="F176" t="s">
        <v>9</v>
      </c>
      <c r="G176" t="s">
        <v>10</v>
      </c>
      <c r="I176" t="s">
        <v>8</v>
      </c>
      <c r="J176" t="s">
        <v>9</v>
      </c>
      <c r="K176" t="s">
        <v>10</v>
      </c>
    </row>
    <row r="177" spans="3:11" x14ac:dyDescent="0.25">
      <c r="C177" t="s">
        <v>45</v>
      </c>
      <c r="D177" t="s">
        <v>142</v>
      </c>
      <c r="K177" t="s">
        <v>179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workbookViewId="0">
      <selection activeCell="M17" sqref="M17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18" bestFit="1" customWidth="1"/>
    <col min="4" max="4" width="74" customWidth="1"/>
    <col min="5" max="5" width="5.7109375" bestFit="1" customWidth="1"/>
    <col min="6" max="6" width="10.28515625" bestFit="1" customWidth="1"/>
    <col min="7" max="7" width="5.7109375" bestFit="1" customWidth="1"/>
    <col min="9" max="9" width="8.85546875" bestFit="1" customWidth="1"/>
    <col min="10" max="10" width="14.7109375" bestFit="1" customWidth="1"/>
    <col min="11" max="11" width="11.85546875" bestFit="1" customWidth="1"/>
  </cols>
  <sheetData>
    <row r="1" spans="1:11" x14ac:dyDescent="0.25">
      <c r="A1" t="s">
        <v>0</v>
      </c>
      <c r="B1" t="s">
        <v>528</v>
      </c>
    </row>
    <row r="3" spans="1:11" x14ac:dyDescent="0.25">
      <c r="B3" t="s">
        <v>2</v>
      </c>
      <c r="C3" t="s">
        <v>529</v>
      </c>
    </row>
    <row r="5" spans="1:11" x14ac:dyDescent="0.25">
      <c r="C5" t="s">
        <v>4</v>
      </c>
      <c r="F5" t="s">
        <v>530</v>
      </c>
      <c r="J5" t="s">
        <v>6</v>
      </c>
    </row>
    <row r="6" spans="1:11" x14ac:dyDescent="0.25">
      <c r="D6" t="s">
        <v>7</v>
      </c>
      <c r="E6" t="s">
        <v>8</v>
      </c>
      <c r="F6" t="s">
        <v>9</v>
      </c>
      <c r="G6" t="s">
        <v>10</v>
      </c>
      <c r="I6" t="s">
        <v>8</v>
      </c>
      <c r="J6" t="s">
        <v>9</v>
      </c>
      <c r="K6" t="s">
        <v>10</v>
      </c>
    </row>
    <row r="7" spans="1:11" x14ac:dyDescent="0.25">
      <c r="C7" t="s">
        <v>531</v>
      </c>
      <c r="D7" t="s">
        <v>67</v>
      </c>
      <c r="E7">
        <v>7.07</v>
      </c>
      <c r="F7">
        <v>7.07</v>
      </c>
      <c r="G7">
        <v>7.07</v>
      </c>
      <c r="I7" t="str">
        <f>"553/2938"</f>
        <v>553/2938</v>
      </c>
      <c r="J7" t="str">
        <f>"443/1252"</f>
        <v>443/1252</v>
      </c>
      <c r="K7" t="str">
        <f>"879/4762"</f>
        <v>879/4762</v>
      </c>
    </row>
    <row r="8" spans="1:11" x14ac:dyDescent="0.25">
      <c r="C8" t="s">
        <v>532</v>
      </c>
      <c r="D8" t="s">
        <v>191</v>
      </c>
      <c r="E8">
        <v>7.07</v>
      </c>
      <c r="F8">
        <v>7.07</v>
      </c>
      <c r="G8">
        <v>7.07</v>
      </c>
      <c r="I8" t="str">
        <f>"623/3350"</f>
        <v>623/3350</v>
      </c>
      <c r="J8" t="str">
        <f>"512/1514"</f>
        <v>512/1514</v>
      </c>
      <c r="K8" t="str">
        <f>"995/5511"</f>
        <v>995/5511</v>
      </c>
    </row>
    <row r="9" spans="1:11" x14ac:dyDescent="0.25">
      <c r="C9" t="s">
        <v>533</v>
      </c>
      <c r="D9" t="s">
        <v>54</v>
      </c>
      <c r="E9">
        <v>7.06</v>
      </c>
      <c r="F9">
        <v>7.07</v>
      </c>
      <c r="G9">
        <v>7.07</v>
      </c>
      <c r="I9" t="str">
        <f>"628/4683"</f>
        <v>628/4683</v>
      </c>
      <c r="J9" t="str">
        <f>"528/1714"</f>
        <v>528/1714</v>
      </c>
      <c r="K9" t="str">
        <f>"973/5229"</f>
        <v>973/5229</v>
      </c>
    </row>
    <row r="10" spans="1:11" x14ac:dyDescent="0.25">
      <c r="C10" t="s">
        <v>534</v>
      </c>
      <c r="D10" t="s">
        <v>194</v>
      </c>
      <c r="E10">
        <v>7.07</v>
      </c>
      <c r="F10">
        <v>7.06</v>
      </c>
      <c r="G10">
        <v>7.07</v>
      </c>
      <c r="I10" t="str">
        <f>"545/2919"</f>
        <v>545/2919</v>
      </c>
      <c r="J10" t="str">
        <f>"416/1093"</f>
        <v>416/1093</v>
      </c>
      <c r="K10" t="str">
        <f>"802/3240"</f>
        <v>802/3240</v>
      </c>
    </row>
    <row r="11" spans="1:11" x14ac:dyDescent="0.25">
      <c r="C11" t="s">
        <v>535</v>
      </c>
      <c r="D11" t="s">
        <v>206</v>
      </c>
      <c r="E11">
        <v>7.06</v>
      </c>
      <c r="F11">
        <v>7.06</v>
      </c>
      <c r="G11">
        <v>7.07</v>
      </c>
      <c r="I11" t="str">
        <f>"414/2420"</f>
        <v>414/2420</v>
      </c>
      <c r="J11" t="str">
        <f>"282/708"</f>
        <v>282/708</v>
      </c>
      <c r="K11" t="str">
        <f>"591/2975"</f>
        <v>591/2975</v>
      </c>
    </row>
    <row r="12" spans="1:11" x14ac:dyDescent="0.25">
      <c r="C12" t="s">
        <v>536</v>
      </c>
      <c r="D12" t="s">
        <v>105</v>
      </c>
      <c r="E12">
        <v>7.06</v>
      </c>
      <c r="F12">
        <v>7.06</v>
      </c>
      <c r="G12">
        <v>7.07</v>
      </c>
      <c r="I12" t="str">
        <f>"671/3536"</f>
        <v>671/3536</v>
      </c>
      <c r="J12" t="str">
        <f>"439/868"</f>
        <v>439/868</v>
      </c>
      <c r="K12" t="str">
        <f>"984/3406"</f>
        <v>984/3406</v>
      </c>
    </row>
    <row r="13" spans="1:11" x14ac:dyDescent="0.25">
      <c r="C13" t="s">
        <v>537</v>
      </c>
      <c r="D13" t="s">
        <v>63</v>
      </c>
      <c r="E13">
        <v>7.06</v>
      </c>
      <c r="F13">
        <v>7.06</v>
      </c>
      <c r="G13">
        <v>7.07</v>
      </c>
      <c r="I13" t="str">
        <f>"599/4405"</f>
        <v>599/4405</v>
      </c>
      <c r="J13" t="str">
        <f>"444/1217"</f>
        <v>444/1217</v>
      </c>
      <c r="K13" t="str">
        <f>"890/4301"</f>
        <v>890/4301</v>
      </c>
    </row>
    <row r="14" spans="1:11" x14ac:dyDescent="0.25">
      <c r="C14" t="s">
        <v>538</v>
      </c>
      <c r="D14" t="s">
        <v>124</v>
      </c>
      <c r="E14">
        <v>7.07</v>
      </c>
      <c r="F14">
        <v>7.05</v>
      </c>
      <c r="G14">
        <v>7.07</v>
      </c>
      <c r="I14" t="str">
        <f>"641/3535"</f>
        <v>641/3535</v>
      </c>
      <c r="J14" t="str">
        <f>"524/1607"</f>
        <v>524/1607</v>
      </c>
      <c r="K14" t="str">
        <f>"956/3839"</f>
        <v>956/3839</v>
      </c>
    </row>
    <row r="15" spans="1:11" x14ac:dyDescent="0.25">
      <c r="C15" t="s">
        <v>539</v>
      </c>
      <c r="D15" t="s">
        <v>198</v>
      </c>
      <c r="E15">
        <v>7.06</v>
      </c>
      <c r="F15">
        <v>7.06</v>
      </c>
      <c r="G15">
        <v>7.07</v>
      </c>
      <c r="I15" t="str">
        <f>"502/3747"</f>
        <v>502/3747</v>
      </c>
      <c r="J15" t="str">
        <f>"344/1124"</f>
        <v>344/1124</v>
      </c>
      <c r="K15" t="str">
        <f>"759/4231"</f>
        <v>759/4231</v>
      </c>
    </row>
    <row r="16" spans="1:11" x14ac:dyDescent="0.25">
      <c r="C16" t="s">
        <v>540</v>
      </c>
      <c r="D16" t="s">
        <v>79</v>
      </c>
      <c r="E16">
        <v>7.06</v>
      </c>
      <c r="F16">
        <v>7.06</v>
      </c>
      <c r="G16">
        <v>7.07</v>
      </c>
      <c r="I16" t="str">
        <f>"405/2328"</f>
        <v>405/2328</v>
      </c>
      <c r="J16" t="str">
        <f>"275/633"</f>
        <v>275/633</v>
      </c>
      <c r="K16" t="str">
        <f>"564/2712"</f>
        <v>564/2712</v>
      </c>
    </row>
    <row r="17" spans="3:11" x14ac:dyDescent="0.25">
      <c r="C17" t="s">
        <v>541</v>
      </c>
      <c r="D17" t="s">
        <v>218</v>
      </c>
      <c r="E17">
        <v>7.06</v>
      </c>
      <c r="F17">
        <v>7.06</v>
      </c>
      <c r="G17">
        <v>7.07</v>
      </c>
      <c r="I17" t="str">
        <f>"460/2035"</f>
        <v>460/2035</v>
      </c>
      <c r="J17" t="str">
        <f>"342/678"</f>
        <v>342/678</v>
      </c>
      <c r="K17" t="str">
        <f>"740/2621"</f>
        <v>740/2621</v>
      </c>
    </row>
    <row r="18" spans="3:11" x14ac:dyDescent="0.25">
      <c r="C18" t="s">
        <v>542</v>
      </c>
      <c r="D18" t="s">
        <v>83</v>
      </c>
      <c r="E18">
        <v>7.06</v>
      </c>
      <c r="F18">
        <v>7.06</v>
      </c>
      <c r="G18">
        <v>7.07</v>
      </c>
      <c r="I18" t="str">
        <f>"529/3869"</f>
        <v>529/3869</v>
      </c>
      <c r="J18" t="str">
        <f>"369/1181"</f>
        <v>369/1181</v>
      </c>
      <c r="K18" t="str">
        <f>"789/4372"</f>
        <v>789/4372</v>
      </c>
    </row>
    <row r="19" spans="3:11" x14ac:dyDescent="0.25">
      <c r="C19" t="s">
        <v>543</v>
      </c>
      <c r="D19" t="s">
        <v>99</v>
      </c>
      <c r="E19">
        <v>7.06</v>
      </c>
      <c r="F19">
        <v>7.06</v>
      </c>
      <c r="G19">
        <v>7.07</v>
      </c>
      <c r="I19" t="str">
        <f>"417/2430"</f>
        <v>417/2430</v>
      </c>
      <c r="J19" t="str">
        <f>"282/708"</f>
        <v>282/708</v>
      </c>
      <c r="K19" t="str">
        <f>"596/3006"</f>
        <v>596/3006</v>
      </c>
    </row>
    <row r="20" spans="3:11" x14ac:dyDescent="0.25">
      <c r="C20" t="s">
        <v>544</v>
      </c>
      <c r="D20" t="s">
        <v>75</v>
      </c>
      <c r="E20">
        <v>7.06</v>
      </c>
      <c r="F20">
        <v>7.06</v>
      </c>
      <c r="G20">
        <v>7.07</v>
      </c>
      <c r="I20" t="str">
        <f>"405/2328"</f>
        <v>405/2328</v>
      </c>
      <c r="J20" t="str">
        <f>"275/633"</f>
        <v>275/633</v>
      </c>
      <c r="K20" t="str">
        <f>"564/2712"</f>
        <v>564/2712</v>
      </c>
    </row>
    <row r="21" spans="3:11" x14ac:dyDescent="0.25">
      <c r="C21" t="s">
        <v>545</v>
      </c>
      <c r="D21" t="s">
        <v>77</v>
      </c>
      <c r="E21">
        <v>7.06</v>
      </c>
      <c r="F21">
        <v>7.05</v>
      </c>
      <c r="G21">
        <v>7.07</v>
      </c>
      <c r="I21" t="str">
        <f>"526/3845"</f>
        <v>526/3845</v>
      </c>
      <c r="J21" t="str">
        <f>"369/1181"</f>
        <v>369/1181</v>
      </c>
      <c r="K21" t="str">
        <f>"785/4340"</f>
        <v>785/4340</v>
      </c>
    </row>
    <row r="22" spans="3:11" x14ac:dyDescent="0.25">
      <c r="C22" t="s">
        <v>546</v>
      </c>
      <c r="D22" t="s">
        <v>55</v>
      </c>
      <c r="E22">
        <v>7.05</v>
      </c>
      <c r="F22">
        <v>7.05</v>
      </c>
      <c r="G22">
        <v>7.07</v>
      </c>
      <c r="I22" t="str">
        <f>"308/1908"</f>
        <v>308/1908</v>
      </c>
      <c r="J22" t="str">
        <f>"185/377"</f>
        <v>185/377</v>
      </c>
      <c r="K22" t="str">
        <f>"419/2060"</f>
        <v>419/2060</v>
      </c>
    </row>
    <row r="23" spans="3:11" x14ac:dyDescent="0.25">
      <c r="C23" t="s">
        <v>547</v>
      </c>
      <c r="D23" t="s">
        <v>26</v>
      </c>
      <c r="E23">
        <v>7.05</v>
      </c>
      <c r="F23">
        <v>7.05</v>
      </c>
      <c r="G23">
        <v>7.07</v>
      </c>
      <c r="I23" t="str">
        <f>"452/1721"</f>
        <v>452/1721</v>
      </c>
      <c r="J23" t="str">
        <f>"430/1832"</f>
        <v>430/1832</v>
      </c>
      <c r="K23" t="str">
        <f>"839/3131"</f>
        <v>839/3131</v>
      </c>
    </row>
    <row r="24" spans="3:11" x14ac:dyDescent="0.25">
      <c r="C24" t="s">
        <v>548</v>
      </c>
      <c r="D24" t="s">
        <v>122</v>
      </c>
      <c r="E24">
        <v>7.07</v>
      </c>
      <c r="F24">
        <v>7.04</v>
      </c>
      <c r="G24">
        <v>7.07</v>
      </c>
      <c r="I24" t="str">
        <f>"533/2925"</f>
        <v>533/2925</v>
      </c>
      <c r="J24" t="str">
        <f>"447/1358"</f>
        <v>447/1358</v>
      </c>
      <c r="K24" t="str">
        <f>"815/3345"</f>
        <v>815/3345</v>
      </c>
    </row>
    <row r="25" spans="3:11" x14ac:dyDescent="0.25">
      <c r="C25" t="s">
        <v>549</v>
      </c>
      <c r="D25" t="s">
        <v>69</v>
      </c>
      <c r="E25">
        <v>7.06</v>
      </c>
      <c r="F25">
        <v>7.04</v>
      </c>
      <c r="G25">
        <v>7.07</v>
      </c>
      <c r="I25" t="str">
        <f>"625/3536"</f>
        <v>625/3536</v>
      </c>
      <c r="J25" t="str">
        <f>"479/1165"</f>
        <v>479/1165</v>
      </c>
      <c r="K25" t="str">
        <f>"920/4036"</f>
        <v>920/4036</v>
      </c>
    </row>
    <row r="26" spans="3:11" x14ac:dyDescent="0.25">
      <c r="C26" t="s">
        <v>550</v>
      </c>
      <c r="D26" t="s">
        <v>51</v>
      </c>
      <c r="E26">
        <v>7.06</v>
      </c>
      <c r="F26">
        <v>7.05</v>
      </c>
      <c r="G26">
        <v>7.07</v>
      </c>
      <c r="I26" t="str">
        <f>"297/1870"</f>
        <v>297/1870</v>
      </c>
      <c r="J26" t="str">
        <f>"181/369"</f>
        <v>181/369</v>
      </c>
      <c r="K26" t="str">
        <f>"392/1961"</f>
        <v>392/1961</v>
      </c>
    </row>
    <row r="27" spans="3:11" x14ac:dyDescent="0.25">
      <c r="C27" t="s">
        <v>551</v>
      </c>
      <c r="D27" t="s">
        <v>246</v>
      </c>
      <c r="E27">
        <v>7.05</v>
      </c>
      <c r="F27">
        <v>7.05</v>
      </c>
      <c r="G27">
        <v>7.07</v>
      </c>
      <c r="I27" t="str">
        <f>"525/2773"</f>
        <v>525/2773</v>
      </c>
      <c r="J27" t="str">
        <f>"334/649"</f>
        <v>334/649</v>
      </c>
      <c r="K27" t="str">
        <f>"738/2505"</f>
        <v>738/2505</v>
      </c>
    </row>
    <row r="28" spans="3:11" x14ac:dyDescent="0.25">
      <c r="C28" t="s">
        <v>552</v>
      </c>
      <c r="D28" t="s">
        <v>34</v>
      </c>
      <c r="E28">
        <v>7.06</v>
      </c>
      <c r="F28">
        <v>7.04</v>
      </c>
      <c r="G28">
        <v>7.07</v>
      </c>
      <c r="I28" t="str">
        <f>"589/6533"</f>
        <v>589/6533</v>
      </c>
      <c r="J28" t="str">
        <f>"437/1378"</f>
        <v>437/1378</v>
      </c>
      <c r="K28" t="str">
        <f>"809/4478"</f>
        <v>809/4478</v>
      </c>
    </row>
    <row r="29" spans="3:11" x14ac:dyDescent="0.25">
      <c r="C29" t="s">
        <v>553</v>
      </c>
      <c r="D29" t="s">
        <v>211</v>
      </c>
      <c r="E29">
        <v>7.06</v>
      </c>
      <c r="F29">
        <v>7.04</v>
      </c>
      <c r="G29">
        <v>7.07</v>
      </c>
      <c r="I29" t="str">
        <f>"467/2342"</f>
        <v>467/2342</v>
      </c>
      <c r="J29" t="str">
        <f>"346/882"</f>
        <v>346/882</v>
      </c>
      <c r="K29" t="str">
        <f>"704/2626"</f>
        <v>704/2626</v>
      </c>
    </row>
    <row r="30" spans="3:11" x14ac:dyDescent="0.25">
      <c r="C30" t="s">
        <v>554</v>
      </c>
      <c r="D30" t="s">
        <v>226</v>
      </c>
      <c r="E30">
        <v>7.05</v>
      </c>
      <c r="F30">
        <v>7.05</v>
      </c>
      <c r="G30">
        <v>7.07</v>
      </c>
      <c r="I30" t="str">
        <f>"589/2892"</f>
        <v>589/2892</v>
      </c>
      <c r="J30" t="str">
        <f>"376/713"</f>
        <v>376/713</v>
      </c>
      <c r="K30" t="str">
        <f>"912/3088"</f>
        <v>912/3088</v>
      </c>
    </row>
    <row r="31" spans="3:11" x14ac:dyDescent="0.25">
      <c r="C31" t="s">
        <v>555</v>
      </c>
      <c r="D31" t="s">
        <v>101</v>
      </c>
      <c r="E31">
        <v>7.05</v>
      </c>
      <c r="F31">
        <v>7.04</v>
      </c>
      <c r="G31">
        <v>7.07</v>
      </c>
      <c r="I31" t="str">
        <f>"504/2700"</f>
        <v>504/2700</v>
      </c>
      <c r="J31" t="str">
        <f>"294/591"</f>
        <v>294/591</v>
      </c>
      <c r="K31" t="str">
        <f>"692/2374"</f>
        <v>692/2374</v>
      </c>
    </row>
    <row r="32" spans="3:11" x14ac:dyDescent="0.25">
      <c r="C32" t="s">
        <v>556</v>
      </c>
      <c r="D32" t="s">
        <v>237</v>
      </c>
      <c r="E32">
        <v>7.06</v>
      </c>
      <c r="F32">
        <v>7.04</v>
      </c>
      <c r="G32">
        <v>7.06</v>
      </c>
      <c r="I32" t="str">
        <f>"331/1414"</f>
        <v>331/1414</v>
      </c>
      <c r="J32" t="str">
        <f>"288/1371"</f>
        <v>288/1371</v>
      </c>
      <c r="K32" t="str">
        <f>"500/1372"</f>
        <v>500/1372</v>
      </c>
    </row>
    <row r="33" spans="3:11" x14ac:dyDescent="0.25">
      <c r="C33" t="s">
        <v>557</v>
      </c>
      <c r="D33" t="s">
        <v>233</v>
      </c>
      <c r="E33">
        <v>7.06</v>
      </c>
      <c r="F33">
        <v>7.04</v>
      </c>
      <c r="G33">
        <v>7.07</v>
      </c>
      <c r="I33" t="str">
        <f>"487/2669"</f>
        <v>487/2669</v>
      </c>
      <c r="J33" t="str">
        <f>"282/577"</f>
        <v>282/577</v>
      </c>
      <c r="K33" t="str">
        <f>"657/2281"</f>
        <v>657/2281</v>
      </c>
    </row>
    <row r="34" spans="3:11" x14ac:dyDescent="0.25">
      <c r="C34" t="s">
        <v>558</v>
      </c>
      <c r="D34" t="s">
        <v>235</v>
      </c>
      <c r="E34">
        <v>7.06</v>
      </c>
      <c r="F34">
        <v>7.03</v>
      </c>
      <c r="G34">
        <v>7.07</v>
      </c>
      <c r="I34" t="str">
        <f>"506/2702"</f>
        <v>506/2702</v>
      </c>
      <c r="J34" t="str">
        <f>"302/607"</f>
        <v>302/607</v>
      </c>
      <c r="K34" t="str">
        <f>"724/2450"</f>
        <v>724/2450</v>
      </c>
    </row>
    <row r="35" spans="3:11" x14ac:dyDescent="0.25">
      <c r="C35" t="s">
        <v>559</v>
      </c>
      <c r="D35" t="s">
        <v>52</v>
      </c>
      <c r="E35">
        <v>7.05</v>
      </c>
      <c r="F35">
        <v>7.04</v>
      </c>
      <c r="G35">
        <v>7.07</v>
      </c>
      <c r="I35" t="str">
        <f>"294/1861"</f>
        <v>294/1861</v>
      </c>
      <c r="J35" t="str">
        <f>"180/367"</f>
        <v>180/367</v>
      </c>
      <c r="K35" t="str">
        <f>"389/1949"</f>
        <v>389/1949</v>
      </c>
    </row>
    <row r="36" spans="3:11" x14ac:dyDescent="0.25">
      <c r="C36" t="s">
        <v>560</v>
      </c>
      <c r="D36" t="s">
        <v>49</v>
      </c>
      <c r="E36">
        <v>7.05</v>
      </c>
      <c r="F36">
        <v>7.04</v>
      </c>
      <c r="G36">
        <v>7.07</v>
      </c>
      <c r="I36" t="str">
        <f>"296/1866"</f>
        <v>296/1866</v>
      </c>
      <c r="J36" t="str">
        <f>"180/367"</f>
        <v>180/367</v>
      </c>
      <c r="K36" t="str">
        <f>"392/1951"</f>
        <v>392/1951</v>
      </c>
    </row>
    <row r="37" spans="3:11" x14ac:dyDescent="0.25">
      <c r="C37" t="s">
        <v>561</v>
      </c>
      <c r="D37" t="s">
        <v>230</v>
      </c>
      <c r="E37">
        <v>7.06</v>
      </c>
      <c r="F37">
        <v>7.04</v>
      </c>
      <c r="G37">
        <v>7.06</v>
      </c>
      <c r="I37" t="str">
        <f>"399/2071"</f>
        <v>399/2071</v>
      </c>
      <c r="J37" t="str">
        <f>"290/739"</f>
        <v>290/739</v>
      </c>
      <c r="K37" t="str">
        <f>"586/2232"</f>
        <v>586/2232</v>
      </c>
    </row>
    <row r="38" spans="3:11" x14ac:dyDescent="0.25">
      <c r="C38" t="s">
        <v>562</v>
      </c>
      <c r="D38" t="s">
        <v>114</v>
      </c>
      <c r="E38">
        <v>7.05</v>
      </c>
      <c r="F38">
        <v>7.03</v>
      </c>
      <c r="G38">
        <v>7.07</v>
      </c>
      <c r="I38" t="str">
        <f>"391/2915"</f>
        <v>391/2915</v>
      </c>
      <c r="J38" t="str">
        <f>"275/849"</f>
        <v>275/849</v>
      </c>
      <c r="K38" t="str">
        <f>"524/2715"</f>
        <v>524/2715</v>
      </c>
    </row>
    <row r="39" spans="3:11" x14ac:dyDescent="0.25">
      <c r="C39" t="s">
        <v>45</v>
      </c>
      <c r="D39" t="s">
        <v>563</v>
      </c>
      <c r="K39" t="s">
        <v>47</v>
      </c>
    </row>
    <row r="41" spans="3:11" x14ac:dyDescent="0.25">
      <c r="C41" t="s">
        <v>48</v>
      </c>
      <c r="F41" t="s">
        <v>530</v>
      </c>
      <c r="J41" t="s">
        <v>6</v>
      </c>
    </row>
    <row r="42" spans="3:11" x14ac:dyDescent="0.25">
      <c r="D42" t="s">
        <v>7</v>
      </c>
      <c r="E42" t="s">
        <v>8</v>
      </c>
      <c r="F42" t="s">
        <v>9</v>
      </c>
      <c r="G42" t="s">
        <v>10</v>
      </c>
      <c r="I42" t="s">
        <v>8</v>
      </c>
      <c r="J42" t="s">
        <v>9</v>
      </c>
      <c r="K42" t="s">
        <v>10</v>
      </c>
    </row>
    <row r="43" spans="3:11" x14ac:dyDescent="0.25">
      <c r="C43" t="s">
        <v>531</v>
      </c>
      <c r="D43" t="s">
        <v>57</v>
      </c>
      <c r="E43">
        <v>7.06</v>
      </c>
      <c r="F43">
        <v>7.03</v>
      </c>
      <c r="G43">
        <v>7.07</v>
      </c>
      <c r="I43" t="str">
        <f>"294/1861"</f>
        <v>294/1861</v>
      </c>
      <c r="J43" t="str">
        <f>"180/367"</f>
        <v>180/367</v>
      </c>
      <c r="K43" t="str">
        <f>"388/1938"</f>
        <v>388/1938</v>
      </c>
    </row>
    <row r="44" spans="3:11" x14ac:dyDescent="0.25">
      <c r="C44" t="s">
        <v>532</v>
      </c>
      <c r="D44" t="s">
        <v>18</v>
      </c>
      <c r="E44">
        <v>7.06</v>
      </c>
      <c r="F44">
        <v>7.03</v>
      </c>
      <c r="G44">
        <v>7.07</v>
      </c>
      <c r="I44" t="str">
        <f>"346/3422"</f>
        <v>346/3422</v>
      </c>
      <c r="J44" t="str">
        <f>"269/899"</f>
        <v>269/899</v>
      </c>
      <c r="K44" t="str">
        <f>"593/3055"</f>
        <v>593/3055</v>
      </c>
    </row>
    <row r="45" spans="3:11" x14ac:dyDescent="0.25">
      <c r="C45" t="s">
        <v>533</v>
      </c>
      <c r="D45" t="s">
        <v>204</v>
      </c>
      <c r="E45">
        <v>7.06</v>
      </c>
      <c r="F45">
        <v>7.02</v>
      </c>
      <c r="G45">
        <v>7.07</v>
      </c>
      <c r="I45" t="str">
        <f>"505/3944"</f>
        <v>505/3944</v>
      </c>
      <c r="J45" t="str">
        <f>"338/954"</f>
        <v>338/954</v>
      </c>
      <c r="K45" t="str">
        <f>"662/2878"</f>
        <v>662/2878</v>
      </c>
    </row>
    <row r="46" spans="3:11" x14ac:dyDescent="0.25">
      <c r="C46" t="s">
        <v>534</v>
      </c>
      <c r="D46" t="s">
        <v>22</v>
      </c>
      <c r="E46">
        <v>7.06</v>
      </c>
      <c r="F46">
        <v>7.02</v>
      </c>
      <c r="G46">
        <v>7.07</v>
      </c>
      <c r="I46" t="str">
        <f>"303/2188"</f>
        <v>303/2188</v>
      </c>
      <c r="J46" t="str">
        <f>"228/1264"</f>
        <v>228/1264</v>
      </c>
      <c r="K46" t="str">
        <f>"433/2342"</f>
        <v>433/2342</v>
      </c>
    </row>
    <row r="47" spans="3:11" x14ac:dyDescent="0.25">
      <c r="C47" t="s">
        <v>535</v>
      </c>
      <c r="D47" t="s">
        <v>507</v>
      </c>
      <c r="E47">
        <v>7.06</v>
      </c>
      <c r="F47">
        <v>7.02</v>
      </c>
      <c r="G47">
        <v>7.06</v>
      </c>
      <c r="I47" t="str">
        <f>"722/2799"</f>
        <v>722/2799</v>
      </c>
      <c r="J47" t="str">
        <f>"413/853"</f>
        <v>413/853</v>
      </c>
      <c r="K47" t="str">
        <f>"997/3400"</f>
        <v>997/3400</v>
      </c>
    </row>
    <row r="48" spans="3:11" x14ac:dyDescent="0.25">
      <c r="C48" t="s">
        <v>536</v>
      </c>
      <c r="D48" t="s">
        <v>112</v>
      </c>
      <c r="E48">
        <v>7.05</v>
      </c>
      <c r="F48">
        <v>7.02</v>
      </c>
      <c r="G48">
        <v>7.06</v>
      </c>
      <c r="I48" t="str">
        <f>"377/1237"</f>
        <v>377/1237</v>
      </c>
      <c r="J48" t="str">
        <f>"346/1289"</f>
        <v>346/1289</v>
      </c>
      <c r="K48" t="str">
        <f>"689/2249"</f>
        <v>689/2249</v>
      </c>
    </row>
    <row r="49" spans="3:11" x14ac:dyDescent="0.25">
      <c r="C49" t="s">
        <v>537</v>
      </c>
      <c r="D49" t="s">
        <v>113</v>
      </c>
      <c r="E49">
        <v>7.05</v>
      </c>
      <c r="F49">
        <v>7.02</v>
      </c>
      <c r="G49">
        <v>7.06</v>
      </c>
      <c r="I49" t="str">
        <f>"377/1237"</f>
        <v>377/1237</v>
      </c>
      <c r="J49" t="str">
        <f>"349/1292"</f>
        <v>349/1292</v>
      </c>
      <c r="K49" t="str">
        <f>"694/2254"</f>
        <v>694/2254</v>
      </c>
    </row>
    <row r="50" spans="3:11" x14ac:dyDescent="0.25">
      <c r="C50" t="s">
        <v>538</v>
      </c>
      <c r="D50" t="s">
        <v>95</v>
      </c>
      <c r="E50">
        <v>7.05</v>
      </c>
      <c r="F50">
        <v>7.02</v>
      </c>
      <c r="G50">
        <v>7.06</v>
      </c>
      <c r="I50" t="str">
        <f>"378/2964"</f>
        <v>378/2964</v>
      </c>
      <c r="J50" t="str">
        <f>"217/613"</f>
        <v>217/613</v>
      </c>
      <c r="K50" t="str">
        <f>"478/2346"</f>
        <v>478/2346</v>
      </c>
    </row>
    <row r="51" spans="3:11" x14ac:dyDescent="0.25">
      <c r="C51" t="s">
        <v>539</v>
      </c>
      <c r="D51" t="s">
        <v>24</v>
      </c>
      <c r="E51">
        <v>7.06</v>
      </c>
      <c r="F51">
        <v>7.01</v>
      </c>
      <c r="G51">
        <v>7.07</v>
      </c>
      <c r="I51" t="str">
        <f>"346/3422"</f>
        <v>346/3422</v>
      </c>
      <c r="J51" t="str">
        <f>"267/896"</f>
        <v>267/896</v>
      </c>
      <c r="K51" t="str">
        <f>"591/3051"</f>
        <v>591/3051</v>
      </c>
    </row>
    <row r="52" spans="3:11" x14ac:dyDescent="0.25">
      <c r="C52" t="s">
        <v>540</v>
      </c>
      <c r="D52" t="s">
        <v>228</v>
      </c>
      <c r="E52">
        <v>7.05</v>
      </c>
      <c r="F52">
        <v>7</v>
      </c>
      <c r="G52">
        <v>7.07</v>
      </c>
      <c r="I52" t="str">
        <f>"482/3312"</f>
        <v>482/3312</v>
      </c>
      <c r="J52" t="str">
        <f>"372/997"</f>
        <v>372/997</v>
      </c>
      <c r="K52" t="str">
        <f>"653/2634"</f>
        <v>653/2634</v>
      </c>
    </row>
    <row r="53" spans="3:11" x14ac:dyDescent="0.25">
      <c r="C53" t="s">
        <v>541</v>
      </c>
      <c r="D53" t="s">
        <v>58</v>
      </c>
      <c r="E53">
        <v>7.06</v>
      </c>
      <c r="F53">
        <v>7</v>
      </c>
      <c r="G53">
        <v>7.06</v>
      </c>
      <c r="I53" t="str">
        <f>"323/3796"</f>
        <v>323/3796</v>
      </c>
      <c r="J53" t="str">
        <f>"182/633"</f>
        <v>182/633</v>
      </c>
      <c r="K53" t="str">
        <f>"369/2147"</f>
        <v>369/2147</v>
      </c>
    </row>
    <row r="54" spans="3:11" x14ac:dyDescent="0.25">
      <c r="C54" t="s">
        <v>542</v>
      </c>
      <c r="D54" t="s">
        <v>62</v>
      </c>
      <c r="E54">
        <v>7.05</v>
      </c>
      <c r="F54">
        <v>6.99</v>
      </c>
      <c r="G54">
        <v>7.06</v>
      </c>
      <c r="I54" t="str">
        <f>"480/3310"</f>
        <v>480/3310</v>
      </c>
      <c r="J54" t="str">
        <f>"370/995"</f>
        <v>370/995</v>
      </c>
      <c r="K54" t="str">
        <f>"650/2628"</f>
        <v>650/2628</v>
      </c>
    </row>
    <row r="55" spans="3:11" x14ac:dyDescent="0.25">
      <c r="C55" t="s">
        <v>543</v>
      </c>
      <c r="D55" t="s">
        <v>125</v>
      </c>
      <c r="E55">
        <v>7.05</v>
      </c>
      <c r="F55">
        <v>6.99</v>
      </c>
      <c r="G55">
        <v>7.06</v>
      </c>
      <c r="I55" t="str">
        <f>"715/2235"</f>
        <v>715/2235</v>
      </c>
      <c r="J55" t="str">
        <f>"424/890"</f>
        <v>424/890</v>
      </c>
      <c r="K55" t="str">
        <f>"838/2156"</f>
        <v>838/2156</v>
      </c>
    </row>
    <row r="56" spans="3:11" x14ac:dyDescent="0.25">
      <c r="C56" t="s">
        <v>544</v>
      </c>
      <c r="D56" t="s">
        <v>56</v>
      </c>
      <c r="E56">
        <v>7.06</v>
      </c>
      <c r="F56">
        <v>6.97</v>
      </c>
      <c r="G56">
        <v>7.07</v>
      </c>
      <c r="I56" t="str">
        <f>"301/1880"</f>
        <v>301/1880</v>
      </c>
      <c r="J56" t="str">
        <f>"182/369"</f>
        <v>182/369</v>
      </c>
      <c r="K56" t="str">
        <f>"402/1980"</f>
        <v>402/1980</v>
      </c>
    </row>
    <row r="57" spans="3:11" x14ac:dyDescent="0.25">
      <c r="C57" t="s">
        <v>45</v>
      </c>
      <c r="D57" t="s">
        <v>564</v>
      </c>
      <c r="K57" t="s">
        <v>109</v>
      </c>
    </row>
    <row r="59" spans="3:11" x14ac:dyDescent="0.25">
      <c r="C59" t="s">
        <v>110</v>
      </c>
      <c r="F59" t="s">
        <v>530</v>
      </c>
      <c r="J59" t="s">
        <v>6</v>
      </c>
    </row>
    <row r="60" spans="3:11" x14ac:dyDescent="0.25">
      <c r="D60" t="s">
        <v>7</v>
      </c>
      <c r="E60" t="s">
        <v>8</v>
      </c>
      <c r="F60" t="s">
        <v>9</v>
      </c>
      <c r="G60" t="s">
        <v>10</v>
      </c>
      <c r="I60" t="s">
        <v>8</v>
      </c>
      <c r="J60" t="s">
        <v>9</v>
      </c>
      <c r="K60" t="s">
        <v>10</v>
      </c>
    </row>
    <row r="61" spans="3:11" x14ac:dyDescent="0.25">
      <c r="C61" t="s">
        <v>531</v>
      </c>
      <c r="D61" t="s">
        <v>20</v>
      </c>
      <c r="E61">
        <v>7.06</v>
      </c>
      <c r="F61">
        <v>7.03</v>
      </c>
      <c r="G61">
        <v>7.05</v>
      </c>
      <c r="I61" t="str">
        <f>"366/6346"</f>
        <v>366/6346</v>
      </c>
      <c r="J61" t="str">
        <f>"226/947"</f>
        <v>226/947</v>
      </c>
      <c r="K61" t="str">
        <f>"473/2810"</f>
        <v>473/2810</v>
      </c>
    </row>
    <row r="62" spans="3:11" x14ac:dyDescent="0.25">
      <c r="C62" t="s">
        <v>532</v>
      </c>
      <c r="D62" t="s">
        <v>111</v>
      </c>
      <c r="E62">
        <v>7.05</v>
      </c>
      <c r="F62">
        <v>7.04</v>
      </c>
      <c r="G62">
        <v>7.06</v>
      </c>
      <c r="I62" t="str">
        <f>"322/1660"</f>
        <v>322/1660</v>
      </c>
      <c r="J62" t="str">
        <f>"287/1677"</f>
        <v>287/1677</v>
      </c>
      <c r="K62" t="str">
        <f>"481/1467"</f>
        <v>481/1467</v>
      </c>
    </row>
    <row r="63" spans="3:11" x14ac:dyDescent="0.25">
      <c r="C63" t="s">
        <v>45</v>
      </c>
      <c r="D63" t="s">
        <v>565</v>
      </c>
      <c r="K63" t="s">
        <v>118</v>
      </c>
    </row>
    <row r="65" spans="2:11" x14ac:dyDescent="0.25">
      <c r="C65" t="s">
        <v>119</v>
      </c>
      <c r="F65" t="s">
        <v>530</v>
      </c>
      <c r="J65" t="s">
        <v>6</v>
      </c>
    </row>
    <row r="66" spans="2:11" x14ac:dyDescent="0.25">
      <c r="D66" t="s">
        <v>7</v>
      </c>
      <c r="E66" t="s">
        <v>8</v>
      </c>
      <c r="F66" t="s">
        <v>9</v>
      </c>
      <c r="G66" t="s">
        <v>10</v>
      </c>
      <c r="I66" t="s">
        <v>8</v>
      </c>
      <c r="J66" t="s">
        <v>9</v>
      </c>
      <c r="K66" t="s">
        <v>10</v>
      </c>
    </row>
    <row r="67" spans="2:11" x14ac:dyDescent="0.25">
      <c r="C67" t="s">
        <v>531</v>
      </c>
      <c r="D67" t="s">
        <v>222</v>
      </c>
      <c r="E67">
        <v>7.05</v>
      </c>
      <c r="F67">
        <v>7.05</v>
      </c>
      <c r="G67">
        <v>7.06</v>
      </c>
      <c r="I67" t="str">
        <f>"428/1746"</f>
        <v>428/1746</v>
      </c>
      <c r="J67" t="str">
        <f>"309/632"</f>
        <v>309/632</v>
      </c>
      <c r="K67" t="str">
        <f>"692/2183"</f>
        <v>692/2183</v>
      </c>
    </row>
    <row r="68" spans="2:11" x14ac:dyDescent="0.25">
      <c r="C68" t="s">
        <v>532</v>
      </c>
      <c r="D68" t="s">
        <v>240</v>
      </c>
      <c r="E68">
        <v>7.05</v>
      </c>
      <c r="F68">
        <v>7.04</v>
      </c>
      <c r="G68">
        <v>7.07</v>
      </c>
      <c r="I68" t="str">
        <f>"521/2737"</f>
        <v>521/2737</v>
      </c>
      <c r="J68" t="str">
        <f>"303/601"</f>
        <v>303/601</v>
      </c>
      <c r="K68" t="str">
        <f>"720/2439"</f>
        <v>720/2439</v>
      </c>
    </row>
    <row r="69" spans="2:11" x14ac:dyDescent="0.25">
      <c r="C69" t="s">
        <v>533</v>
      </c>
      <c r="D69" t="s">
        <v>250</v>
      </c>
      <c r="E69">
        <v>7.05</v>
      </c>
      <c r="F69">
        <v>7.04</v>
      </c>
      <c r="G69">
        <v>7.06</v>
      </c>
      <c r="I69" t="str">
        <f>"400/1568"</f>
        <v>400/1568</v>
      </c>
      <c r="J69" t="str">
        <f>"375/887"</f>
        <v>375/887</v>
      </c>
      <c r="K69" t="str">
        <f>"714/2214"</f>
        <v>714/2214</v>
      </c>
    </row>
    <row r="70" spans="2:11" x14ac:dyDescent="0.25">
      <c r="C70" t="s">
        <v>534</v>
      </c>
      <c r="D70" t="s">
        <v>91</v>
      </c>
      <c r="E70">
        <v>7.04</v>
      </c>
      <c r="F70">
        <v>7.04</v>
      </c>
      <c r="G70">
        <v>7.07</v>
      </c>
      <c r="I70" t="str">
        <f>"521/2737"</f>
        <v>521/2737</v>
      </c>
      <c r="J70" t="str">
        <f>"303/601"</f>
        <v>303/601</v>
      </c>
      <c r="K70" t="str">
        <f>"720/2439"</f>
        <v>720/2439</v>
      </c>
    </row>
    <row r="71" spans="2:11" x14ac:dyDescent="0.25">
      <c r="C71" t="s">
        <v>45</v>
      </c>
      <c r="D71" t="s">
        <v>566</v>
      </c>
      <c r="K71" t="s">
        <v>139</v>
      </c>
    </row>
    <row r="73" spans="2:11" x14ac:dyDescent="0.25">
      <c r="B73" t="s">
        <v>140</v>
      </c>
      <c r="C73" t="s">
        <v>409</v>
      </c>
    </row>
    <row r="75" spans="2:11" x14ac:dyDescent="0.25">
      <c r="C75" t="s">
        <v>4</v>
      </c>
      <c r="F75" t="s">
        <v>530</v>
      </c>
      <c r="J75" t="s">
        <v>6</v>
      </c>
    </row>
    <row r="76" spans="2:11" x14ac:dyDescent="0.25">
      <c r="D76" t="s">
        <v>7</v>
      </c>
      <c r="E76" t="s">
        <v>8</v>
      </c>
      <c r="F76" t="s">
        <v>9</v>
      </c>
      <c r="G76" t="s">
        <v>10</v>
      </c>
      <c r="I76" t="s">
        <v>8</v>
      </c>
      <c r="J76" t="s">
        <v>9</v>
      </c>
      <c r="K76" t="s">
        <v>10</v>
      </c>
    </row>
    <row r="77" spans="2:11" x14ac:dyDescent="0.25">
      <c r="C77" t="s">
        <v>45</v>
      </c>
      <c r="D77" t="s">
        <v>142</v>
      </c>
      <c r="K77" t="s">
        <v>47</v>
      </c>
    </row>
    <row r="79" spans="2:11" x14ac:dyDescent="0.25">
      <c r="C79" t="s">
        <v>48</v>
      </c>
      <c r="F79" t="s">
        <v>530</v>
      </c>
      <c r="J79" t="s">
        <v>6</v>
      </c>
    </row>
    <row r="80" spans="2:11" x14ac:dyDescent="0.25">
      <c r="D80" t="s">
        <v>7</v>
      </c>
      <c r="E80" t="s">
        <v>8</v>
      </c>
      <c r="F80" t="s">
        <v>9</v>
      </c>
      <c r="G80" t="s">
        <v>10</v>
      </c>
      <c r="I80" t="s">
        <v>8</v>
      </c>
      <c r="J80" t="s">
        <v>9</v>
      </c>
      <c r="K80" t="s">
        <v>10</v>
      </c>
    </row>
    <row r="81" spans="2:11" x14ac:dyDescent="0.25">
      <c r="C81" t="s">
        <v>45</v>
      </c>
      <c r="D81" t="s">
        <v>142</v>
      </c>
      <c r="K81" t="s">
        <v>109</v>
      </c>
    </row>
    <row r="83" spans="2:11" x14ac:dyDescent="0.25">
      <c r="C83" t="s">
        <v>110</v>
      </c>
      <c r="F83" t="s">
        <v>530</v>
      </c>
      <c r="J83" t="s">
        <v>6</v>
      </c>
    </row>
    <row r="84" spans="2:11" x14ac:dyDescent="0.25">
      <c r="D84" t="s">
        <v>7</v>
      </c>
      <c r="E84" t="s">
        <v>8</v>
      </c>
      <c r="F84" t="s">
        <v>9</v>
      </c>
      <c r="G84" t="s">
        <v>10</v>
      </c>
      <c r="I84" t="s">
        <v>8</v>
      </c>
      <c r="J84" t="s">
        <v>9</v>
      </c>
      <c r="K84" t="s">
        <v>10</v>
      </c>
    </row>
    <row r="85" spans="2:11" x14ac:dyDescent="0.25">
      <c r="C85" t="s">
        <v>45</v>
      </c>
      <c r="D85" t="s">
        <v>142</v>
      </c>
      <c r="K85" t="s">
        <v>118</v>
      </c>
    </row>
    <row r="87" spans="2:11" x14ac:dyDescent="0.25">
      <c r="C87" t="s">
        <v>119</v>
      </c>
      <c r="F87" t="s">
        <v>530</v>
      </c>
      <c r="J87" t="s">
        <v>6</v>
      </c>
    </row>
    <row r="88" spans="2:11" x14ac:dyDescent="0.25">
      <c r="D88" t="s">
        <v>7</v>
      </c>
      <c r="E88" t="s">
        <v>8</v>
      </c>
      <c r="F88" t="s">
        <v>9</v>
      </c>
      <c r="G88" t="s">
        <v>10</v>
      </c>
      <c r="I88" t="s">
        <v>8</v>
      </c>
      <c r="J88" t="s">
        <v>9</v>
      </c>
      <c r="K88" t="s">
        <v>10</v>
      </c>
    </row>
    <row r="89" spans="2:11" x14ac:dyDescent="0.25">
      <c r="C89" t="s">
        <v>45</v>
      </c>
      <c r="D89" t="s">
        <v>142</v>
      </c>
      <c r="K89" t="s">
        <v>139</v>
      </c>
    </row>
    <row r="91" spans="2:11" x14ac:dyDescent="0.25">
      <c r="B91" t="s">
        <v>143</v>
      </c>
      <c r="C91" t="s">
        <v>567</v>
      </c>
    </row>
    <row r="93" spans="2:11" x14ac:dyDescent="0.25">
      <c r="C93" t="s">
        <v>4</v>
      </c>
      <c r="F93" t="s">
        <v>530</v>
      </c>
      <c r="J93" t="s">
        <v>6</v>
      </c>
    </row>
    <row r="94" spans="2:11" x14ac:dyDescent="0.25">
      <c r="D94" t="s">
        <v>7</v>
      </c>
      <c r="E94" t="s">
        <v>8</v>
      </c>
      <c r="F94" t="s">
        <v>9</v>
      </c>
      <c r="G94" t="s">
        <v>10</v>
      </c>
      <c r="I94" t="s">
        <v>8</v>
      </c>
      <c r="J94" t="s">
        <v>9</v>
      </c>
      <c r="K94" t="s">
        <v>10</v>
      </c>
    </row>
    <row r="95" spans="2:11" x14ac:dyDescent="0.25">
      <c r="C95" t="s">
        <v>45</v>
      </c>
      <c r="D95" t="s">
        <v>142</v>
      </c>
      <c r="K95" t="s">
        <v>47</v>
      </c>
    </row>
    <row r="97" spans="1:11" x14ac:dyDescent="0.25">
      <c r="C97" t="s">
        <v>48</v>
      </c>
      <c r="F97" t="s">
        <v>530</v>
      </c>
      <c r="J97" t="s">
        <v>6</v>
      </c>
    </row>
    <row r="98" spans="1:11" x14ac:dyDescent="0.25">
      <c r="D98" t="s">
        <v>7</v>
      </c>
      <c r="E98" t="s">
        <v>8</v>
      </c>
      <c r="F98" t="s">
        <v>9</v>
      </c>
      <c r="G98" t="s">
        <v>10</v>
      </c>
      <c r="I98" t="s">
        <v>8</v>
      </c>
      <c r="J98" t="s">
        <v>9</v>
      </c>
      <c r="K98" t="s">
        <v>10</v>
      </c>
    </row>
    <row r="99" spans="1:11" x14ac:dyDescent="0.25">
      <c r="C99" t="s">
        <v>45</v>
      </c>
      <c r="D99" t="s">
        <v>142</v>
      </c>
      <c r="K99" t="s">
        <v>109</v>
      </c>
    </row>
    <row r="101" spans="1:11" x14ac:dyDescent="0.25">
      <c r="C101" t="s">
        <v>110</v>
      </c>
      <c r="F101" t="s">
        <v>530</v>
      </c>
      <c r="J101" t="s">
        <v>6</v>
      </c>
    </row>
    <row r="102" spans="1:11" x14ac:dyDescent="0.25">
      <c r="D102" t="s">
        <v>7</v>
      </c>
      <c r="E102" t="s">
        <v>8</v>
      </c>
      <c r="F102" t="s">
        <v>9</v>
      </c>
      <c r="G102" t="s">
        <v>10</v>
      </c>
      <c r="I102" t="s">
        <v>8</v>
      </c>
      <c r="J102" t="s">
        <v>9</v>
      </c>
      <c r="K102" t="s">
        <v>10</v>
      </c>
    </row>
    <row r="103" spans="1:11" x14ac:dyDescent="0.25">
      <c r="C103" t="s">
        <v>45</v>
      </c>
      <c r="D103" t="s">
        <v>142</v>
      </c>
      <c r="K103" t="s">
        <v>118</v>
      </c>
    </row>
    <row r="105" spans="1:11" x14ac:dyDescent="0.25">
      <c r="C105" t="s">
        <v>119</v>
      </c>
      <c r="F105" t="s">
        <v>530</v>
      </c>
      <c r="J105" t="s">
        <v>6</v>
      </c>
    </row>
    <row r="106" spans="1:11" x14ac:dyDescent="0.25">
      <c r="D106" t="s">
        <v>7</v>
      </c>
      <c r="E106" t="s">
        <v>8</v>
      </c>
      <c r="F106" t="s">
        <v>9</v>
      </c>
      <c r="G106" t="s">
        <v>10</v>
      </c>
      <c r="I106" t="s">
        <v>8</v>
      </c>
      <c r="J106" t="s">
        <v>9</v>
      </c>
      <c r="K106" t="s">
        <v>10</v>
      </c>
    </row>
    <row r="107" spans="1:11" x14ac:dyDescent="0.25">
      <c r="C107" t="s">
        <v>45</v>
      </c>
      <c r="D107" t="s">
        <v>142</v>
      </c>
      <c r="K107" t="s">
        <v>139</v>
      </c>
    </row>
    <row r="111" spans="1:11" x14ac:dyDescent="0.25">
      <c r="A111" t="s">
        <v>0</v>
      </c>
      <c r="B111" t="s">
        <v>568</v>
      </c>
    </row>
    <row r="113" spans="2:11" x14ac:dyDescent="0.25">
      <c r="B113" t="s">
        <v>2</v>
      </c>
      <c r="C113" t="s">
        <v>529</v>
      </c>
    </row>
    <row r="115" spans="2:11" x14ac:dyDescent="0.25">
      <c r="C115" t="s">
        <v>4</v>
      </c>
      <c r="F115" t="s">
        <v>530</v>
      </c>
      <c r="J115" t="s">
        <v>6</v>
      </c>
    </row>
    <row r="116" spans="2:11" x14ac:dyDescent="0.25">
      <c r="D116" t="s">
        <v>7</v>
      </c>
      <c r="E116" t="s">
        <v>8</v>
      </c>
      <c r="F116" t="s">
        <v>9</v>
      </c>
      <c r="G116" t="s">
        <v>10</v>
      </c>
      <c r="I116" t="s">
        <v>8</v>
      </c>
      <c r="J116" t="s">
        <v>9</v>
      </c>
      <c r="K116" t="s">
        <v>10</v>
      </c>
    </row>
    <row r="117" spans="2:11" x14ac:dyDescent="0.25">
      <c r="C117" t="s">
        <v>45</v>
      </c>
      <c r="D117" t="s">
        <v>411</v>
      </c>
      <c r="K117" t="s">
        <v>154</v>
      </c>
    </row>
    <row r="119" spans="2:11" x14ac:dyDescent="0.25">
      <c r="C119" t="s">
        <v>48</v>
      </c>
      <c r="F119" t="s">
        <v>530</v>
      </c>
      <c r="J119" t="s">
        <v>6</v>
      </c>
    </row>
    <row r="120" spans="2:11" x14ac:dyDescent="0.25">
      <c r="D120" t="s">
        <v>7</v>
      </c>
      <c r="E120" t="s">
        <v>8</v>
      </c>
      <c r="F120" t="s">
        <v>9</v>
      </c>
      <c r="G120" t="s">
        <v>10</v>
      </c>
      <c r="I120" t="s">
        <v>8</v>
      </c>
      <c r="J120" t="s">
        <v>9</v>
      </c>
      <c r="K120" t="s">
        <v>10</v>
      </c>
    </row>
    <row r="121" spans="2:11" x14ac:dyDescent="0.25">
      <c r="C121" t="s">
        <v>45</v>
      </c>
      <c r="D121" t="s">
        <v>569</v>
      </c>
      <c r="K121" t="s">
        <v>160</v>
      </c>
    </row>
    <row r="123" spans="2:11" x14ac:dyDescent="0.25">
      <c r="C123" t="s">
        <v>110</v>
      </c>
      <c r="F123" t="s">
        <v>530</v>
      </c>
      <c r="J123" t="s">
        <v>6</v>
      </c>
    </row>
    <row r="124" spans="2:11" x14ac:dyDescent="0.25">
      <c r="D124" t="s">
        <v>7</v>
      </c>
      <c r="E124" t="s">
        <v>8</v>
      </c>
      <c r="F124" t="s">
        <v>9</v>
      </c>
      <c r="G124" t="s">
        <v>10</v>
      </c>
      <c r="I124" t="s">
        <v>8</v>
      </c>
      <c r="J124" t="s">
        <v>9</v>
      </c>
      <c r="K124" t="s">
        <v>10</v>
      </c>
    </row>
    <row r="125" spans="2:11" x14ac:dyDescent="0.25">
      <c r="C125" t="s">
        <v>531</v>
      </c>
      <c r="D125" t="s">
        <v>272</v>
      </c>
      <c r="E125">
        <v>-0.2</v>
      </c>
      <c r="F125">
        <v>-0.28000000000000003</v>
      </c>
      <c r="G125">
        <v>5.5</v>
      </c>
      <c r="I125" t="str">
        <f>"20/21"</f>
        <v>20/21</v>
      </c>
      <c r="J125" t="str">
        <f>"32/41"</f>
        <v>32/41</v>
      </c>
      <c r="K125" t="str">
        <f>"57/110"</f>
        <v>57/110</v>
      </c>
    </row>
    <row r="126" spans="2:11" x14ac:dyDescent="0.25">
      <c r="C126" t="s">
        <v>532</v>
      </c>
      <c r="D126" t="s">
        <v>273</v>
      </c>
      <c r="E126">
        <v>-0.76</v>
      </c>
      <c r="F126">
        <v>-1.03</v>
      </c>
      <c r="G126">
        <v>6.73</v>
      </c>
      <c r="I126" t="str">
        <f>"113/174"</f>
        <v>113/174</v>
      </c>
      <c r="J126" t="str">
        <f>"88/141"</f>
        <v>88/141</v>
      </c>
      <c r="K126" t="str">
        <f>"128/339"</f>
        <v>128/339</v>
      </c>
    </row>
    <row r="127" spans="2:11" x14ac:dyDescent="0.25">
      <c r="C127" t="s">
        <v>533</v>
      </c>
      <c r="D127" t="s">
        <v>275</v>
      </c>
      <c r="E127">
        <v>-0.56000000000000005</v>
      </c>
      <c r="F127">
        <v>-1.3</v>
      </c>
      <c r="G127">
        <v>6.58</v>
      </c>
      <c r="I127" t="str">
        <f>"103/162"</f>
        <v>103/162</v>
      </c>
      <c r="J127" t="str">
        <f>"85/138"</f>
        <v>85/138</v>
      </c>
      <c r="K127" t="str">
        <f>"123/327"</f>
        <v>123/327</v>
      </c>
    </row>
    <row r="128" spans="2:11" x14ac:dyDescent="0.25">
      <c r="C128" t="s">
        <v>534</v>
      </c>
      <c r="D128" t="s">
        <v>276</v>
      </c>
      <c r="E128">
        <v>-0.85</v>
      </c>
      <c r="F128">
        <v>-1.28</v>
      </c>
      <c r="G128">
        <v>6.67</v>
      </c>
      <c r="I128" t="str">
        <f>"112/173"</f>
        <v>112/173</v>
      </c>
      <c r="J128" t="str">
        <f>"87/140"</f>
        <v>87/140</v>
      </c>
      <c r="K128" t="str">
        <f>"128/339"</f>
        <v>128/339</v>
      </c>
    </row>
    <row r="129" spans="2:11" x14ac:dyDescent="0.25">
      <c r="C129" t="s">
        <v>535</v>
      </c>
      <c r="D129" t="s">
        <v>128</v>
      </c>
      <c r="E129">
        <v>-1.1399999999999999</v>
      </c>
      <c r="F129">
        <v>-1.37</v>
      </c>
      <c r="G129">
        <v>6.49</v>
      </c>
      <c r="I129" t="str">
        <f>"222/356"</f>
        <v>222/356</v>
      </c>
      <c r="J129" t="str">
        <f>"166/293"</f>
        <v>166/293</v>
      </c>
      <c r="K129" t="str">
        <f>"254/659"</f>
        <v>254/659</v>
      </c>
    </row>
    <row r="130" spans="2:11" x14ac:dyDescent="0.25">
      <c r="C130" t="s">
        <v>45</v>
      </c>
      <c r="D130" t="s">
        <v>570</v>
      </c>
      <c r="K130" t="s">
        <v>167</v>
      </c>
    </row>
    <row r="132" spans="2:11" x14ac:dyDescent="0.25">
      <c r="C132" t="s">
        <v>119</v>
      </c>
      <c r="F132" t="s">
        <v>530</v>
      </c>
      <c r="J132" t="s">
        <v>6</v>
      </c>
    </row>
    <row r="133" spans="2:11" x14ac:dyDescent="0.25">
      <c r="D133" t="s">
        <v>7</v>
      </c>
      <c r="E133" t="s">
        <v>8</v>
      </c>
      <c r="F133" t="s">
        <v>9</v>
      </c>
      <c r="G133" t="s">
        <v>10</v>
      </c>
      <c r="I133" t="s">
        <v>8</v>
      </c>
      <c r="J133" t="s">
        <v>9</v>
      </c>
      <c r="K133" t="s">
        <v>10</v>
      </c>
    </row>
    <row r="134" spans="2:11" x14ac:dyDescent="0.25">
      <c r="C134" t="s">
        <v>531</v>
      </c>
      <c r="D134" t="s">
        <v>571</v>
      </c>
      <c r="E134">
        <v>6.82</v>
      </c>
      <c r="F134">
        <v>1.65</v>
      </c>
      <c r="G134">
        <v>-0.71</v>
      </c>
      <c r="I134" t="str">
        <f>"62/188"</f>
        <v>62/188</v>
      </c>
      <c r="J134" t="str">
        <f>"63/81"</f>
        <v>63/81</v>
      </c>
      <c r="K134" t="str">
        <f>"85/95"</f>
        <v>85/95</v>
      </c>
    </row>
    <row r="135" spans="2:11" x14ac:dyDescent="0.25">
      <c r="C135" t="s">
        <v>45</v>
      </c>
      <c r="D135" t="s">
        <v>572</v>
      </c>
      <c r="K135" t="s">
        <v>179</v>
      </c>
    </row>
    <row r="137" spans="2:11" x14ac:dyDescent="0.25">
      <c r="B137" t="s">
        <v>140</v>
      </c>
      <c r="C137" t="s">
        <v>409</v>
      </c>
    </row>
    <row r="139" spans="2:11" x14ac:dyDescent="0.25">
      <c r="C139" t="s">
        <v>4</v>
      </c>
      <c r="F139" t="s">
        <v>530</v>
      </c>
      <c r="J139" t="s">
        <v>6</v>
      </c>
    </row>
    <row r="140" spans="2:11" x14ac:dyDescent="0.25">
      <c r="D140" t="s">
        <v>7</v>
      </c>
      <c r="E140" t="s">
        <v>8</v>
      </c>
      <c r="F140" t="s">
        <v>9</v>
      </c>
      <c r="G140" t="s">
        <v>10</v>
      </c>
      <c r="I140" t="s">
        <v>8</v>
      </c>
      <c r="J140" t="s">
        <v>9</v>
      </c>
      <c r="K140" t="s">
        <v>10</v>
      </c>
    </row>
    <row r="141" spans="2:11" x14ac:dyDescent="0.25">
      <c r="C141" t="s">
        <v>45</v>
      </c>
      <c r="D141" t="s">
        <v>142</v>
      </c>
      <c r="K141" t="s">
        <v>154</v>
      </c>
    </row>
    <row r="143" spans="2:11" x14ac:dyDescent="0.25">
      <c r="C143" t="s">
        <v>48</v>
      </c>
      <c r="F143" t="s">
        <v>530</v>
      </c>
      <c r="J143" t="s">
        <v>6</v>
      </c>
    </row>
    <row r="144" spans="2:11" x14ac:dyDescent="0.25">
      <c r="D144" t="s">
        <v>7</v>
      </c>
      <c r="E144" t="s">
        <v>8</v>
      </c>
      <c r="F144" t="s">
        <v>9</v>
      </c>
      <c r="G144" t="s">
        <v>10</v>
      </c>
      <c r="I144" t="s">
        <v>8</v>
      </c>
      <c r="J144" t="s">
        <v>9</v>
      </c>
      <c r="K144" t="s">
        <v>10</v>
      </c>
    </row>
    <row r="145" spans="2:11" x14ac:dyDescent="0.25">
      <c r="C145" t="s">
        <v>45</v>
      </c>
      <c r="D145" t="s">
        <v>142</v>
      </c>
      <c r="K145" t="s">
        <v>160</v>
      </c>
    </row>
    <row r="147" spans="2:11" x14ac:dyDescent="0.25">
      <c r="C147" t="s">
        <v>110</v>
      </c>
      <c r="F147" t="s">
        <v>530</v>
      </c>
      <c r="J147" t="s">
        <v>6</v>
      </c>
    </row>
    <row r="148" spans="2:11" x14ac:dyDescent="0.25">
      <c r="D148" t="s">
        <v>7</v>
      </c>
      <c r="E148" t="s">
        <v>8</v>
      </c>
      <c r="F148" t="s">
        <v>9</v>
      </c>
      <c r="G148" t="s">
        <v>10</v>
      </c>
      <c r="I148" t="s">
        <v>8</v>
      </c>
      <c r="J148" t="s">
        <v>9</v>
      </c>
      <c r="K148" t="s">
        <v>10</v>
      </c>
    </row>
    <row r="149" spans="2:11" x14ac:dyDescent="0.25">
      <c r="C149" t="s">
        <v>45</v>
      </c>
      <c r="D149" t="s">
        <v>142</v>
      </c>
      <c r="K149" t="s">
        <v>167</v>
      </c>
    </row>
    <row r="151" spans="2:11" x14ac:dyDescent="0.25">
      <c r="C151" t="s">
        <v>119</v>
      </c>
      <c r="F151" t="s">
        <v>530</v>
      </c>
      <c r="J151" t="s">
        <v>6</v>
      </c>
    </row>
    <row r="152" spans="2:11" x14ac:dyDescent="0.25">
      <c r="D152" t="s">
        <v>7</v>
      </c>
      <c r="E152" t="s">
        <v>8</v>
      </c>
      <c r="F152" t="s">
        <v>9</v>
      </c>
      <c r="G152" t="s">
        <v>10</v>
      </c>
      <c r="I152" t="s">
        <v>8</v>
      </c>
      <c r="J152" t="s">
        <v>9</v>
      </c>
      <c r="K152" t="s">
        <v>10</v>
      </c>
    </row>
    <row r="153" spans="2:11" x14ac:dyDescent="0.25">
      <c r="C153" t="s">
        <v>45</v>
      </c>
      <c r="D153" t="s">
        <v>142</v>
      </c>
      <c r="K153" t="s">
        <v>179</v>
      </c>
    </row>
    <row r="155" spans="2:11" x14ac:dyDescent="0.25">
      <c r="B155" t="s">
        <v>143</v>
      </c>
      <c r="C155" t="s">
        <v>567</v>
      </c>
    </row>
    <row r="157" spans="2:11" x14ac:dyDescent="0.25">
      <c r="C157" t="s">
        <v>4</v>
      </c>
      <c r="F157" t="s">
        <v>530</v>
      </c>
      <c r="J157" t="s">
        <v>6</v>
      </c>
    </row>
    <row r="158" spans="2:11" x14ac:dyDescent="0.25">
      <c r="D158" t="s">
        <v>7</v>
      </c>
      <c r="E158" t="s">
        <v>8</v>
      </c>
      <c r="F158" t="s">
        <v>9</v>
      </c>
      <c r="G158" t="s">
        <v>10</v>
      </c>
      <c r="I158" t="s">
        <v>8</v>
      </c>
      <c r="J158" t="s">
        <v>9</v>
      </c>
      <c r="K158" t="s">
        <v>10</v>
      </c>
    </row>
    <row r="159" spans="2:11" x14ac:dyDescent="0.25">
      <c r="C159" t="s">
        <v>45</v>
      </c>
      <c r="D159" t="s">
        <v>142</v>
      </c>
      <c r="K159" t="s">
        <v>154</v>
      </c>
    </row>
    <row r="161" spans="3:11" x14ac:dyDescent="0.25">
      <c r="C161" t="s">
        <v>48</v>
      </c>
      <c r="F161" t="s">
        <v>530</v>
      </c>
      <c r="J161" t="s">
        <v>6</v>
      </c>
    </row>
    <row r="162" spans="3:11" x14ac:dyDescent="0.25">
      <c r="D162" t="s">
        <v>7</v>
      </c>
      <c r="E162" t="s">
        <v>8</v>
      </c>
      <c r="F162" t="s">
        <v>9</v>
      </c>
      <c r="G162" t="s">
        <v>10</v>
      </c>
      <c r="I162" t="s">
        <v>8</v>
      </c>
      <c r="J162" t="s">
        <v>9</v>
      </c>
      <c r="K162" t="s">
        <v>10</v>
      </c>
    </row>
    <row r="163" spans="3:11" x14ac:dyDescent="0.25">
      <c r="C163" t="s">
        <v>45</v>
      </c>
      <c r="D163" t="s">
        <v>142</v>
      </c>
      <c r="K163" t="s">
        <v>160</v>
      </c>
    </row>
    <row r="165" spans="3:11" x14ac:dyDescent="0.25">
      <c r="C165" t="s">
        <v>110</v>
      </c>
      <c r="F165" t="s">
        <v>530</v>
      </c>
      <c r="J165" t="s">
        <v>6</v>
      </c>
    </row>
    <row r="166" spans="3:11" x14ac:dyDescent="0.25">
      <c r="D166" t="s">
        <v>7</v>
      </c>
      <c r="E166" t="s">
        <v>8</v>
      </c>
      <c r="F166" t="s">
        <v>9</v>
      </c>
      <c r="G166" t="s">
        <v>10</v>
      </c>
      <c r="I166" t="s">
        <v>8</v>
      </c>
      <c r="J166" t="s">
        <v>9</v>
      </c>
      <c r="K166" t="s">
        <v>10</v>
      </c>
    </row>
    <row r="167" spans="3:11" x14ac:dyDescent="0.25">
      <c r="C167" t="s">
        <v>45</v>
      </c>
      <c r="D167" t="s">
        <v>142</v>
      </c>
      <c r="K167" t="s">
        <v>167</v>
      </c>
    </row>
    <row r="169" spans="3:11" x14ac:dyDescent="0.25">
      <c r="C169" t="s">
        <v>119</v>
      </c>
      <c r="F169" t="s">
        <v>530</v>
      </c>
      <c r="J169" t="s">
        <v>6</v>
      </c>
    </row>
    <row r="170" spans="3:11" x14ac:dyDescent="0.25">
      <c r="D170" t="s">
        <v>7</v>
      </c>
      <c r="E170" t="s">
        <v>8</v>
      </c>
      <c r="F170" t="s">
        <v>9</v>
      </c>
      <c r="G170" t="s">
        <v>10</v>
      </c>
      <c r="I170" t="s">
        <v>8</v>
      </c>
      <c r="J170" t="s">
        <v>9</v>
      </c>
      <c r="K170" t="s">
        <v>10</v>
      </c>
    </row>
    <row r="171" spans="3:11" x14ac:dyDescent="0.25">
      <c r="C171" t="s">
        <v>45</v>
      </c>
      <c r="D171" t="s">
        <v>142</v>
      </c>
      <c r="K171" t="s">
        <v>179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Motif3_6</vt:lpstr>
      <vt:lpstr>Motif3_13</vt:lpstr>
      <vt:lpstr>Motif4_19</vt:lpstr>
      <vt:lpstr>Motif4_56</vt:lpstr>
      <vt:lpstr>Motif4_76</vt:lpstr>
      <vt:lpstr>Motif4_103</vt:lpstr>
      <vt:lpstr>Motif4_117</vt:lpstr>
      <vt:lpstr>Motif4_176</vt:lpstr>
      <vt:lpstr>Motif4_199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Torgeir</dc:creator>
  <cp:lastModifiedBy>Real, Francis Frank</cp:lastModifiedBy>
  <dcterms:created xsi:type="dcterms:W3CDTF">2013-10-15T12:55:28Z</dcterms:created>
  <dcterms:modified xsi:type="dcterms:W3CDTF">2014-02-14T15:01:14Z</dcterms:modified>
</cp:coreProperties>
</file>