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15" windowWidth="18675" windowHeight="112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E35" i="1"/>
  <c r="E31"/>
  <c r="E21"/>
  <c r="E18"/>
  <c r="E9"/>
  <c r="E7"/>
  <c r="E6"/>
  <c r="I35"/>
  <c r="I27"/>
  <c r="I18"/>
  <c r="I13"/>
  <c r="I7"/>
  <c r="I6"/>
  <c r="M35"/>
  <c r="M33"/>
  <c r="M31"/>
  <c r="M26"/>
  <c r="M22"/>
  <c r="M21"/>
  <c r="M20"/>
  <c r="M9"/>
  <c r="M7"/>
  <c r="P9"/>
  <c r="Q27"/>
  <c r="Q21"/>
  <c r="Q7"/>
  <c r="U31"/>
  <c r="U21"/>
  <c r="U18"/>
  <c r="U13"/>
  <c r="U7"/>
  <c r="U6"/>
  <c r="Y6"/>
  <c r="Y33"/>
  <c r="X33"/>
  <c r="W33"/>
  <c r="Y27"/>
  <c r="X27"/>
  <c r="W27"/>
  <c r="Y22"/>
  <c r="X22"/>
  <c r="W22"/>
  <c r="Y21"/>
  <c r="X21"/>
  <c r="W21"/>
  <c r="Y18"/>
  <c r="X18"/>
  <c r="W18"/>
  <c r="Y9"/>
  <c r="X9"/>
  <c r="W9"/>
  <c r="Y7"/>
  <c r="X7"/>
  <c r="W7"/>
  <c r="X6"/>
  <c r="W6"/>
  <c r="U35"/>
  <c r="T35"/>
  <c r="S35"/>
  <c r="U33"/>
  <c r="T33"/>
  <c r="S33"/>
  <c r="T31"/>
  <c r="S31"/>
  <c r="U27"/>
  <c r="T27"/>
  <c r="S27"/>
  <c r="U22"/>
  <c r="T22"/>
  <c r="S22"/>
  <c r="T21"/>
  <c r="S21"/>
  <c r="U20"/>
  <c r="T20"/>
  <c r="S20"/>
  <c r="T18"/>
  <c r="S18"/>
  <c r="T13"/>
  <c r="S13"/>
  <c r="U9"/>
  <c r="T9"/>
  <c r="S9"/>
  <c r="T7"/>
  <c r="S7"/>
  <c r="T6"/>
  <c r="S6"/>
  <c r="S10"/>
  <c r="S39"/>
  <c r="O33"/>
  <c r="P27"/>
  <c r="O27"/>
  <c r="Q22"/>
  <c r="P22"/>
  <c r="O22"/>
  <c r="P21"/>
  <c r="O21"/>
  <c r="O18"/>
  <c r="O13"/>
  <c r="Q9"/>
  <c r="O9"/>
  <c r="P7"/>
  <c r="O7"/>
  <c r="L35"/>
  <c r="K35"/>
  <c r="L33"/>
  <c r="K33"/>
  <c r="L31"/>
  <c r="K31"/>
  <c r="M27"/>
  <c r="L27"/>
  <c r="K27"/>
  <c r="L26"/>
  <c r="K26"/>
  <c r="L22"/>
  <c r="K22"/>
  <c r="L21"/>
  <c r="K21"/>
  <c r="L20"/>
  <c r="K20"/>
  <c r="M18"/>
  <c r="L18"/>
  <c r="K18"/>
  <c r="M13"/>
  <c r="L13"/>
  <c r="K13"/>
  <c r="L9"/>
  <c r="K9"/>
  <c r="L7"/>
  <c r="K7"/>
  <c r="L6"/>
  <c r="K6"/>
  <c r="K39"/>
  <c r="K10"/>
  <c r="H35"/>
  <c r="G35"/>
  <c r="I33"/>
  <c r="H33"/>
  <c r="G33"/>
  <c r="H31"/>
  <c r="G31"/>
  <c r="G39"/>
  <c r="H27"/>
  <c r="G27"/>
  <c r="I22"/>
  <c r="H22"/>
  <c r="G22"/>
  <c r="I21"/>
  <c r="H21"/>
  <c r="G21"/>
  <c r="I20"/>
  <c r="H20"/>
  <c r="G20" l="1"/>
  <c r="H18"/>
  <c r="G18"/>
  <c r="H13"/>
  <c r="G13"/>
  <c r="G10"/>
  <c r="I9"/>
  <c r="H9"/>
  <c r="G9"/>
  <c r="H7"/>
  <c r="G7"/>
  <c r="H6"/>
  <c r="G6"/>
  <c r="E20"/>
  <c r="E27"/>
  <c r="D27"/>
  <c r="C27"/>
  <c r="D26"/>
  <c r="C26"/>
  <c r="D22"/>
  <c r="C22"/>
  <c r="D20"/>
  <c r="C20"/>
  <c r="D35"/>
  <c r="C35"/>
  <c r="D33"/>
  <c r="C33"/>
  <c r="C39"/>
  <c r="D31"/>
  <c r="C31"/>
  <c r="D21"/>
  <c r="C21"/>
  <c r="D18"/>
  <c r="C18"/>
  <c r="D13"/>
  <c r="C13"/>
  <c r="D9"/>
  <c r="C9"/>
  <c r="C10"/>
  <c r="D7"/>
  <c r="C7"/>
  <c r="D6"/>
  <c r="C6"/>
  <c r="R41" l="1"/>
  <c r="J41"/>
  <c r="F41"/>
  <c r="B41"/>
  <c r="R40"/>
  <c r="N40"/>
  <c r="J40"/>
  <c r="F40"/>
  <c r="B40"/>
  <c r="R39"/>
  <c r="J39"/>
  <c r="F39"/>
  <c r="B39"/>
  <c r="R38"/>
  <c r="N38"/>
  <c r="J38"/>
  <c r="F38"/>
  <c r="B38"/>
  <c r="R37"/>
  <c r="J37"/>
  <c r="F37"/>
  <c r="B37"/>
  <c r="R36"/>
  <c r="N36"/>
  <c r="J36"/>
  <c r="F36"/>
  <c r="B36"/>
  <c r="R35"/>
  <c r="N35"/>
  <c r="J35"/>
  <c r="F35"/>
  <c r="B35"/>
  <c r="R34"/>
  <c r="J34"/>
  <c r="F34"/>
  <c r="B34"/>
  <c r="V33"/>
  <c r="R33"/>
  <c r="N33"/>
  <c r="J33"/>
  <c r="F33"/>
  <c r="B33"/>
  <c r="R32"/>
  <c r="N32"/>
  <c r="J32"/>
  <c r="F32"/>
  <c r="B32"/>
  <c r="R31"/>
  <c r="N31"/>
  <c r="J31"/>
  <c r="F31"/>
  <c r="B31"/>
  <c r="R30"/>
  <c r="J30"/>
  <c r="F30"/>
  <c r="B30"/>
  <c r="V29"/>
  <c r="R29"/>
  <c r="N29"/>
  <c r="J29"/>
  <c r="F29"/>
  <c r="B29"/>
  <c r="R28"/>
  <c r="N28"/>
  <c r="J28"/>
  <c r="F28"/>
  <c r="B28"/>
  <c r="V27"/>
  <c r="R27"/>
  <c r="N27"/>
  <c r="J27"/>
  <c r="F27"/>
  <c r="B27"/>
  <c r="R26"/>
  <c r="N26"/>
  <c r="J26"/>
  <c r="F26"/>
  <c r="B26"/>
  <c r="R25"/>
  <c r="J25"/>
  <c r="F25"/>
  <c r="B25"/>
  <c r="V24"/>
  <c r="R24"/>
  <c r="N24"/>
  <c r="J24"/>
  <c r="F24"/>
  <c r="B24"/>
  <c r="R23"/>
  <c r="N23"/>
  <c r="J23"/>
  <c r="F23"/>
  <c r="B23"/>
  <c r="V22"/>
  <c r="R22"/>
  <c r="N22"/>
  <c r="J22"/>
  <c r="F22"/>
  <c r="B22"/>
  <c r="V21"/>
  <c r="R21"/>
  <c r="N21"/>
  <c r="J21"/>
  <c r="F21"/>
  <c r="B21"/>
  <c r="R20"/>
  <c r="N20"/>
  <c r="J20"/>
  <c r="F20"/>
  <c r="B20"/>
  <c r="R19"/>
  <c r="J19"/>
  <c r="F19"/>
  <c r="B19"/>
  <c r="V18"/>
  <c r="R18"/>
  <c r="N18"/>
  <c r="J18"/>
  <c r="F18"/>
  <c r="B18"/>
  <c r="R17"/>
  <c r="N17"/>
  <c r="J17"/>
  <c r="F17"/>
  <c r="B17"/>
  <c r="V16"/>
  <c r="R16"/>
  <c r="N16"/>
  <c r="J16"/>
  <c r="F16"/>
  <c r="B16"/>
  <c r="V15"/>
  <c r="R15"/>
  <c r="N15"/>
  <c r="J15"/>
  <c r="F15"/>
  <c r="B15"/>
  <c r="V14"/>
  <c r="R14"/>
  <c r="N14"/>
  <c r="J14"/>
  <c r="F14"/>
  <c r="B14"/>
  <c r="R13"/>
  <c r="N13"/>
  <c r="J13"/>
  <c r="F13"/>
  <c r="B13"/>
  <c r="R12"/>
  <c r="J12"/>
  <c r="F12"/>
  <c r="B12"/>
  <c r="V11"/>
  <c r="R11"/>
  <c r="N11"/>
  <c r="J11"/>
  <c r="F11"/>
  <c r="B11"/>
  <c r="R10"/>
  <c r="N10"/>
  <c r="J10"/>
  <c r="F10"/>
  <c r="B10"/>
  <c r="V9"/>
  <c r="R9"/>
  <c r="N9"/>
  <c r="J9"/>
  <c r="F9"/>
  <c r="B9"/>
  <c r="V8"/>
  <c r="R8"/>
  <c r="N8"/>
  <c r="J8"/>
  <c r="F8"/>
  <c r="B8"/>
  <c r="V7"/>
  <c r="R7"/>
  <c r="N7"/>
  <c r="J7"/>
  <c r="F7"/>
  <c r="B7"/>
  <c r="V6"/>
  <c r="R6"/>
  <c r="N6"/>
  <c r="J6"/>
  <c r="F6"/>
  <c r="B6"/>
</calcChain>
</file>

<file path=xl/comments1.xml><?xml version="1.0" encoding="utf-8"?>
<comments xmlns="http://schemas.openxmlformats.org/spreadsheetml/2006/main">
  <authors>
    <author>Jan Odgaard-Jensen</author>
  </authors>
  <commentList>
    <comment ref="F27" authorId="0">
      <text>
        <r>
          <rPr>
            <b/>
            <sz val="9"/>
            <color indexed="81"/>
            <rFont val="Tahoma"/>
            <family val="2"/>
          </rPr>
          <t>Jan Odgaard-Jensen:</t>
        </r>
        <r>
          <rPr>
            <sz val="9"/>
            <color indexed="81"/>
            <rFont val="Tahoma"/>
            <family val="2"/>
          </rPr>
          <t xml:space="preserve">
SKAL VÆRE 0.992!!!</t>
        </r>
      </text>
    </comment>
  </commentList>
</comments>
</file>

<file path=xl/sharedStrings.xml><?xml version="1.0" encoding="utf-8"?>
<sst xmlns="http://schemas.openxmlformats.org/spreadsheetml/2006/main" count="124" uniqueCount="52">
  <si>
    <t>All-cause mortality</t>
  </si>
  <si>
    <t>Myocardial infarction</t>
  </si>
  <si>
    <t>Stroke</t>
  </si>
  <si>
    <t>Angina</t>
  </si>
  <si>
    <t>Heart failure</t>
  </si>
  <si>
    <t>Diabetes incidence</t>
  </si>
  <si>
    <t>Diuretics vs beta-blockers</t>
  </si>
  <si>
    <t>Diuretics vs ace-inhibitors</t>
  </si>
  <si>
    <t>Diuretics vs diuretics and/or beta-blockers</t>
  </si>
  <si>
    <t>Diuretics vs CCB</t>
  </si>
  <si>
    <t>Diuretics vs alpha-blockers</t>
  </si>
  <si>
    <t>-</t>
  </si>
  <si>
    <t>Diuretics vs ARB</t>
  </si>
  <si>
    <t>Diuretics vs conventional drugs</t>
  </si>
  <si>
    <t>Diuretics vs placebo</t>
  </si>
  <si>
    <t>Beta-blockers vs ace-inhibitors</t>
  </si>
  <si>
    <t>Beta-blockers vs diuretics and/or beta-blockers</t>
  </si>
  <si>
    <t>Beta-blockers vs CCB</t>
  </si>
  <si>
    <t>Beta-blockers vs alpha-blockers</t>
  </si>
  <si>
    <t>Beta-blockers vs ARB</t>
  </si>
  <si>
    <t>Beta-blockers vs conventional drugs</t>
  </si>
  <si>
    <t>Beta-blockers vs placebo</t>
  </si>
  <si>
    <t>ACE-inhibitors vs diuretics and/or beta-blockers</t>
  </si>
  <si>
    <t>ACE-inhibitors vs CCB</t>
  </si>
  <si>
    <t>ACE-inhibitors vs alpha-blockers</t>
  </si>
  <si>
    <t>ACE-inhibitors vs ARB</t>
  </si>
  <si>
    <t>ACE-inhibitors vs conventional drugs</t>
  </si>
  <si>
    <t>ACE-inhibitors vs placebo</t>
  </si>
  <si>
    <t>Diuretics and/or beta-blockers vs CCB</t>
  </si>
  <si>
    <t>Diuretics and/or beta-blockers vs alpha-blockers</t>
  </si>
  <si>
    <t>Diuretics and/or beta-blockers vs ARB</t>
  </si>
  <si>
    <t>Diuretics and/or beta-blockers vs conventional drugs</t>
  </si>
  <si>
    <t>Diuretics and/or beta-blockers vs placebo</t>
  </si>
  <si>
    <t>CCB vs alpha-blockers</t>
  </si>
  <si>
    <t>CCB vs ARB</t>
  </si>
  <si>
    <t>CCB vs conventional drugs</t>
  </si>
  <si>
    <t>CCB vs placebo</t>
  </si>
  <si>
    <t>Alpha-blockers vs ARB</t>
  </si>
  <si>
    <t>Alpha-blockers vs conventional drugs</t>
  </si>
  <si>
    <t>Alpha-blockers vs placebo</t>
  </si>
  <si>
    <t>ARB vs conventional drugs</t>
  </si>
  <si>
    <t>ARB vs placebo</t>
  </si>
  <si>
    <t>Conventional drugs vs placebo</t>
  </si>
  <si>
    <t>MTM</t>
  </si>
  <si>
    <t>Direct</t>
  </si>
  <si>
    <t>0.89 (0.81 to 0.97)</t>
  </si>
  <si>
    <t>Indirect</t>
  </si>
  <si>
    <t>Inconsistency p-value (Bayesian)</t>
  </si>
  <si>
    <t>Only direct evidence</t>
  </si>
  <si>
    <t>No indirect evidence</t>
  </si>
  <si>
    <t>Estimates of effect from multiple-treatment meta-analysis (MTM) compared to the direct and indirect estimates of effect based on node-splitting</t>
  </si>
  <si>
    <t>Additional file 6 (Fretheim et al, 2012):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</si>
</sst>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6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2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/>
    <xf numFmtId="0" fontId="5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tf\AppData\Local\Microsoft\Windows\Temporary%20Internet%20Files\Content.Outlook\6435W8GC\Pairwise%20RRs%20based%20on%20MT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le Pairwise RR"/>
      <sheetName val="All cause mortality"/>
      <sheetName val="Myocardial infarction_"/>
      <sheetName val="Stroke"/>
      <sheetName val="Angina"/>
      <sheetName val="Heart failure"/>
      <sheetName val="Diabetes incidence"/>
    </sheetNames>
    <sheetDataSet>
      <sheetData sheetId="0"/>
      <sheetData sheetId="1">
        <row r="2">
          <cell r="O2" t="str">
            <v>0.897                     (0.801 to 1.009)</v>
          </cell>
          <cell r="P2" t="str">
            <v>1.003                     (0.934 to 1.079)</v>
          </cell>
          <cell r="Q2" t="str">
            <v>1.066                     (0.966 to 1.173)</v>
          </cell>
          <cell r="R2" t="str">
            <v>1.028                     (0.957 to 1.095)</v>
          </cell>
          <cell r="S2" t="str">
            <v>0.98                     (0.867 to 1.117)</v>
          </cell>
          <cell r="T2" t="str">
            <v>1.023                     (0.917 to 1.14)</v>
          </cell>
          <cell r="U2" t="str">
            <v>0.875                     (0.803 to 0.946)</v>
          </cell>
          <cell r="V2" t="str">
            <v>0.958                     (0.249 to 4.12)</v>
          </cell>
        </row>
        <row r="3">
          <cell r="P3" t="str">
            <v>1.118                     (0.982 to 1.268)</v>
          </cell>
          <cell r="Q3" t="str">
            <v>1.189                     (1.031 to 1.364)</v>
          </cell>
          <cell r="R3" t="str">
            <v>1.144                     (1.013 to 1.282)</v>
          </cell>
          <cell r="S3" t="str">
            <v>1.092                     (0.926 to 1.303)</v>
          </cell>
          <cell r="T3" t="str">
            <v>1.14                     (1.018 to 1.276)</v>
          </cell>
          <cell r="U3" t="str">
            <v>0.973                     (0.861 to 1.101)</v>
          </cell>
          <cell r="V3" t="str">
            <v>1.066                     (0.28 to 4.688)</v>
          </cell>
        </row>
        <row r="4">
          <cell r="Q4" t="str">
            <v>1.062                     (0.969 to 1.164)</v>
          </cell>
          <cell r="R4" t="str">
            <v>1.024                     (0.949 to 1.096)</v>
          </cell>
          <cell r="S4" t="str">
            <v>0.978                     (0.85 to 1.135)</v>
          </cell>
          <cell r="T4" t="str">
            <v>1.02                     (0.907 to 1.144)</v>
          </cell>
          <cell r="U4" t="str">
            <v>0.872                     (0.785 to 0.961)</v>
          </cell>
          <cell r="V4" t="str">
            <v>0.953                     (0.25 to 4.137)</v>
          </cell>
        </row>
        <row r="5">
          <cell r="R5" t="str">
            <v>0.962                     (0.885 to 1.048)</v>
          </cell>
          <cell r="S5" t="str">
            <v>0.92                     (0.787 to 1.081)</v>
          </cell>
          <cell r="T5" t="str">
            <v>0.96                     (0.847 to 1.09)</v>
          </cell>
          <cell r="U5" t="str">
            <v>0.82                     (0.732 to 0.918)</v>
          </cell>
          <cell r="V5" t="str">
            <v>0.896                     (0.234 to 3.917)</v>
          </cell>
        </row>
        <row r="6">
          <cell r="S6" t="str">
            <v>0.955                     (0.831 to 1.109)</v>
          </cell>
          <cell r="T6" t="str">
            <v>0.996                     (0.907 to 1.1)</v>
          </cell>
          <cell r="U6" t="str">
            <v>0.852                     (0.776 to 0.931)</v>
          </cell>
          <cell r="V6" t="str">
            <v>0.934                     (0.243 to 4.013)</v>
          </cell>
        </row>
        <row r="7">
          <cell r="T7" t="str">
            <v>1.041                     (0.883 to 1.225)</v>
          </cell>
          <cell r="U7" t="str">
            <v>0.89                     (0.765 to 1.028)</v>
          </cell>
          <cell r="V7" t="str">
            <v>0.972                     (0.253 to 4.228)</v>
          </cell>
        </row>
        <row r="8">
          <cell r="U8" t="str">
            <v>0.854                     (0.758 to 0.964)</v>
          </cell>
          <cell r="V8" t="str">
            <v>0.935                     (0.241 to 4.057)</v>
          </cell>
        </row>
        <row r="10">
          <cell r="U10" t="str">
            <v>0.913                     (0.213 to 3.453)</v>
          </cell>
        </row>
      </sheetData>
      <sheetData sheetId="2">
        <row r="2">
          <cell r="O2" t="str">
            <v>0.82                     (0.679 to 0.978)</v>
          </cell>
          <cell r="P2" t="str">
            <v>0.997                     (0.881 to 1.148)</v>
          </cell>
          <cell r="Q2" t="str">
            <v>0.967                     (0.818 to 1.138)</v>
          </cell>
          <cell r="R2" t="str">
            <v>0.962                     (0.838 to 1.074)</v>
          </cell>
          <cell r="S2" t="str">
            <v>0.99                     (0.797 to 1.231)</v>
          </cell>
          <cell r="T2" t="str">
            <v>0.834                     (0.686 to 1.027)</v>
          </cell>
          <cell r="U2" t="str">
            <v>0.763                     (0.651 to 0.886)</v>
          </cell>
          <cell r="V2" t="str">
            <v>0.373                     (0.151 to 0.768)</v>
          </cell>
        </row>
        <row r="3">
          <cell r="P3" t="str">
            <v>1.217                     (0.998 to 1.522)</v>
          </cell>
          <cell r="Q3" t="str">
            <v>1.18                     (0.948 to 1.478)</v>
          </cell>
          <cell r="R3" t="str">
            <v>1.168                     (0.966 to 1.416)</v>
          </cell>
          <cell r="S3" t="str">
            <v>1.204                     (0.92 to 1.612)</v>
          </cell>
          <cell r="T3" t="str">
            <v>1.017                     (0.84 to 1.266)</v>
          </cell>
          <cell r="U3" t="str">
            <v>0.927                     (0.766 to 1.133)</v>
          </cell>
          <cell r="V3" t="str">
            <v>0.453                     (0.183 to 0.94)</v>
          </cell>
        </row>
        <row r="4">
          <cell r="Q4" t="str">
            <v>0.971                     (0.827 to 1.119)</v>
          </cell>
          <cell r="R4" t="str">
            <v>0.963                     (0.829 to 1.072)</v>
          </cell>
          <cell r="S4" t="str">
            <v>0.993                     (0.765 to 1.268)</v>
          </cell>
          <cell r="T4" t="str">
            <v>0.836                     (0.677 to 1.037)</v>
          </cell>
          <cell r="U4" t="str">
            <v>0.764                     (0.627 to 0.915)</v>
          </cell>
          <cell r="V4" t="str">
            <v>0.372                     (0.151 to 0.773)</v>
          </cell>
        </row>
        <row r="5">
          <cell r="R5" t="str">
            <v>0.992                     (0.861 to 1.129)</v>
          </cell>
          <cell r="S5" t="str">
            <v>1.022                     (0.784 to 1.349)</v>
          </cell>
          <cell r="T5" t="str">
            <v>0.86                     (0.699 to 1.085)</v>
          </cell>
          <cell r="U5" t="str">
            <v>0.789                     (0.639 to 0.966)</v>
          </cell>
          <cell r="V5" t="str">
            <v>0.385                     (0.156 to 0.801)</v>
          </cell>
        </row>
        <row r="6">
          <cell r="S6" t="str">
            <v>1.032                     (0.815 to 1.34)</v>
          </cell>
          <cell r="T6" t="str">
            <v>0.87                     (0.738 to 1.061)</v>
          </cell>
          <cell r="U6" t="str">
            <v>0.796                     (0.67 to 0.951)</v>
          </cell>
          <cell r="V6" t="str">
            <v>0.39                     (0.157 to 0.8)</v>
          </cell>
        </row>
        <row r="7">
          <cell r="T7" t="str">
            <v>0.844                     (0.632 to 1.138)</v>
          </cell>
          <cell r="U7" t="str">
            <v>0.82                     (0.588 to 1.002)</v>
          </cell>
          <cell r="V7" t="str">
            <v>0.377                     (0.149 to 0.794)</v>
          </cell>
        </row>
        <row r="8">
          <cell r="U8" t="str">
            <v>0.912                     (0.724 to 1.136)</v>
          </cell>
          <cell r="V8" t="str">
            <v>0.445                     (0.184 to 0.82)</v>
          </cell>
        </row>
        <row r="10">
          <cell r="U10" t="str">
            <v>2.042                     (0.9955 to 5.131)</v>
          </cell>
        </row>
      </sheetData>
      <sheetData sheetId="3">
        <row r="2">
          <cell r="O2" t="str">
            <v>0.833                     (0.681 to 1.069)</v>
          </cell>
          <cell r="P2" t="str">
            <v>0.94                     (0.805 to 1.101)</v>
          </cell>
          <cell r="Q2" t="str">
            <v>1.038                     (0.871 to 1.253)</v>
          </cell>
          <cell r="R2" t="str">
            <v>1.116                     (0.973 to 1.289)</v>
          </cell>
          <cell r="S2" t="str">
            <v>0.854                     (0.657 to 1.119)</v>
          </cell>
          <cell r="T2" t="str">
            <v>1.02                     (0.822 to 1.28)</v>
          </cell>
          <cell r="U2" t="str">
            <v>0.612                     (0.523 to 0.709)</v>
          </cell>
          <cell r="V2" t="str">
            <v>0.612                     (0.392 to 0.981)</v>
          </cell>
        </row>
        <row r="3">
          <cell r="P3" t="str">
            <v>1.127                     (0.86 to 1.415)</v>
          </cell>
          <cell r="Q3" t="str">
            <v>1.244                     (0.95 to 1.577)</v>
          </cell>
          <cell r="R3" t="str">
            <v>1.339                     (1.049 to 1.639)</v>
          </cell>
          <cell r="S3" t="str">
            <v>1.022                     (0.709 to 1.421)</v>
          </cell>
          <cell r="T3" t="str">
            <v>1.225                     (0.963 to 1.491)</v>
          </cell>
          <cell r="U3" t="str">
            <v>0.731                     (0.568 to 0.899)</v>
          </cell>
          <cell r="V3" t="str">
            <v>0.737                     (0.463 to 1.148)</v>
          </cell>
        </row>
        <row r="4">
          <cell r="Q4" t="str">
            <v>1.103                     (0.944 to 1.306)</v>
          </cell>
          <cell r="R4" t="str">
            <v>1.185                     (1.026 to 1.378)</v>
          </cell>
          <cell r="S4" t="str">
            <v>0.912                     (0.668 to 1.239)</v>
          </cell>
          <cell r="T4" t="str">
            <v>1.084                     (0.861 to 1.372)</v>
          </cell>
          <cell r="U4" t="str">
            <v>0.652                     (0.533 to 0.784)</v>
          </cell>
          <cell r="V4" t="str">
            <v>0.654                     (0.413 to 1.046)</v>
          </cell>
        </row>
        <row r="5">
          <cell r="R5" t="str">
            <v>1.077                     (0.927 to 1.242)</v>
          </cell>
          <cell r="S5" t="str">
            <v>0.826                     (0.594 to 1.13)</v>
          </cell>
          <cell r="T5" t="str">
            <v>0.984                     (0.773 to 1.245)</v>
          </cell>
          <cell r="U5" t="str">
            <v>0.591                     (0.476 to 0.715)</v>
          </cell>
          <cell r="V5" t="str">
            <v>0.592                     (0.371 to 0.951)</v>
          </cell>
        </row>
        <row r="6">
          <cell r="S6" t="str">
            <v>0.767                     (0.566 to 1.035)</v>
          </cell>
          <cell r="T6" t="str">
            <v>0.914                     (0.754 to 1.109)</v>
          </cell>
          <cell r="U6" t="str">
            <v>0.549                     (0.46 to 0.641)</v>
          </cell>
          <cell r="V6" t="str">
            <v>0.55                     (0.353 to 0.866)</v>
          </cell>
        </row>
        <row r="7">
          <cell r="T7" t="str">
            <v>1.196                     (0.846 to 1.685)</v>
          </cell>
          <cell r="U7" t="str">
            <v>0.715                     (0.521 to 0.96)</v>
          </cell>
          <cell r="V7" t="str">
            <v>0.725                     (0.428 to 1.227)</v>
          </cell>
        </row>
        <row r="8">
          <cell r="U8" t="str">
            <v>0.6                     (0.47 to 0.749)</v>
          </cell>
          <cell r="V8" t="str">
            <v>0.602                     (0.404 to 0.904)</v>
          </cell>
        </row>
        <row r="10">
          <cell r="U10" t="str">
            <v>0.9961                     (0.6169 to 1.569)</v>
          </cell>
        </row>
      </sheetData>
      <sheetData sheetId="4">
        <row r="2">
          <cell r="O2" t="str">
            <v>0.963                     (0.284 to 5.78)</v>
          </cell>
          <cell r="P2" t="str">
            <v>0.974                     (0.42 to 2.51)</v>
          </cell>
          <cell r="Q2" t="str">
            <v>1.074                     (0.409 to 3.071)</v>
          </cell>
          <cell r="R2" t="str">
            <v>1.054                     (0.561 to 2.187)</v>
          </cell>
          <cell r="S2" t="str">
            <v>0.889                     (0.31 to 2.523)</v>
          </cell>
          <cell r="T2" t="str">
            <v>0.859                     (0.391 to 3.27)</v>
          </cell>
          <cell r="U2" t="str">
            <v>1.565                     (0.182 to 16.518)</v>
          </cell>
        </row>
        <row r="3">
          <cell r="P3" t="str">
            <v>1.027                     (0.167 to 3.764)</v>
          </cell>
          <cell r="Q3" t="str">
            <v>1.124                     (0.177 to 4.237)</v>
          </cell>
          <cell r="R3" t="str">
            <v>1.102                     (0.226 to 3.306)</v>
          </cell>
          <cell r="S3" t="str">
            <v>0.929                     (0.11 to 4.346)</v>
          </cell>
          <cell r="T3" t="str">
            <v>0.884                     (0.307 to 2.583)</v>
          </cell>
          <cell r="U3" t="str">
            <v>1.517                     (0.103 to 21.867)</v>
          </cell>
        </row>
        <row r="4">
          <cell r="Q4" t="str">
            <v>1.097                     (0.468 to 2.55)</v>
          </cell>
          <cell r="R4" t="str">
            <v>1.078                     (0.479 to 2.447)</v>
          </cell>
          <cell r="S4" t="str">
            <v>0.914                     (0.217 to 3.423)</v>
          </cell>
          <cell r="T4" t="str">
            <v>0.861                     (0.353 to 3.5)</v>
          </cell>
          <cell r="U4" t="str">
            <v>1.568                     (0.157 to 19.066)</v>
          </cell>
        </row>
        <row r="5">
          <cell r="R5" t="str">
            <v>0.981                     (0.422 to 2.327)</v>
          </cell>
          <cell r="S5" t="str">
            <v>0.831                     (0.183 to 3.352)</v>
          </cell>
          <cell r="T5" t="str">
            <v>0.787                     (0.313 to 3.291)</v>
          </cell>
          <cell r="U5" t="str">
            <v>1.433                     (0.138 to 18.073)</v>
          </cell>
        </row>
        <row r="6">
          <cell r="S6" t="str">
            <v>0.847                     (0.227 to 2.779)</v>
          </cell>
          <cell r="T6" t="str">
            <v>0.805                     (0.451 to 2.304)</v>
          </cell>
          <cell r="U6" t="str">
            <v>1.445                     (0.157 to 16.442)</v>
          </cell>
        </row>
        <row r="7">
          <cell r="T7" t="str">
            <v>0.952                     (0.291 to 5.705)</v>
          </cell>
          <cell r="U7" t="str">
            <v>1.771                     (0.167 to 22.732)</v>
          </cell>
        </row>
        <row r="8">
          <cell r="U8" t="str">
            <v>1.702                     (0.145 to 20.462)</v>
          </cell>
        </row>
      </sheetData>
      <sheetData sheetId="5">
        <row r="2">
          <cell r="O2" t="str">
            <v>0.729                     (0.541 to 0.963)</v>
          </cell>
          <cell r="P2" t="str">
            <v>0.88                     (0.764 to 1.056)</v>
          </cell>
          <cell r="Q2" t="str">
            <v>0.85                     (0.706 to 1.056)</v>
          </cell>
          <cell r="R2" t="str">
            <v>0.725                     (0.623 to 0.844)</v>
          </cell>
          <cell r="S2" t="str">
            <v>0.507                     (0.403 to 0.639)</v>
          </cell>
          <cell r="T2" t="str">
            <v>0.797                     (0.608 to 0.982)</v>
          </cell>
          <cell r="U2" t="str">
            <v>0.455                     (0.361 to 0.559)</v>
          </cell>
          <cell r="V2" t="str">
            <v>0.687                     (0.386 to 1.113)</v>
          </cell>
        </row>
        <row r="3">
          <cell r="P3" t="str">
            <v>1.207                     (0.91 to 1.689)</v>
          </cell>
          <cell r="Q3" t="str">
            <v>1.173                     (0.858 to 1.645)</v>
          </cell>
          <cell r="R3" t="str">
            <v>0.995                     (0.758 to 1.33)</v>
          </cell>
          <cell r="S3" t="str">
            <v>0.692                     (0.495 to 1.023)</v>
          </cell>
          <cell r="T3" t="str">
            <v>1.084                     (0.856 to 1.384)</v>
          </cell>
          <cell r="U3" t="str">
            <v>0.625                     (0.45 to 0.856)</v>
          </cell>
          <cell r="V3" t="str">
            <v>0.935                     (0.538 to 1.563)</v>
          </cell>
        </row>
        <row r="4">
          <cell r="Q4" t="str">
            <v>0.962                     (0.806 to 1.153)</v>
          </cell>
          <cell r="R4" t="str">
            <v>0.823                     (0.694 to 0.938)</v>
          </cell>
          <cell r="S4" t="str">
            <v>0.575                     (0.427 to 0.748)</v>
          </cell>
          <cell r="T4" t="str">
            <v>0.903                     (0.671 to 1.104)</v>
          </cell>
          <cell r="U4" t="str">
            <v>0.514                     (0.392 to 0.648)</v>
          </cell>
          <cell r="V4" t="str">
            <v>0.777                     (0.431 to 1.249)</v>
          </cell>
        </row>
        <row r="5">
          <cell r="R5" t="str">
            <v>0.853                     (0.715 to 0.988)</v>
          </cell>
          <cell r="S5" t="str">
            <v>0.6                     (0.432 to 0.797)</v>
          </cell>
          <cell r="T5" t="str">
            <v>0.932                     (0.691 to 1.162)</v>
          </cell>
          <cell r="U5" t="str">
            <v>0.532                     (0.402 to 0.675)</v>
          </cell>
          <cell r="V5" t="str">
            <v>0.805                     (0.444 to 1.309)</v>
          </cell>
        </row>
        <row r="6">
          <cell r="S6" t="str">
            <v>0.698                     (0.531 to 0.924)</v>
          </cell>
          <cell r="T6" t="str">
            <v>1.098                     (0.87 to 1.306)</v>
          </cell>
          <cell r="U6" t="str">
            <v>0.626                     (0.493 to 0.778)</v>
          </cell>
          <cell r="V6" t="str">
            <v>0.946                     (0.539 to 1.513)</v>
          </cell>
        </row>
        <row r="7">
          <cell r="T7" t="str">
            <v>1.569                     (1.088 to 2.117)</v>
          </cell>
          <cell r="U7" t="str">
            <v>0.896                     (0.644 to 1.211)</v>
          </cell>
          <cell r="V7" t="str">
            <v>1.355                     (0.722 to 2.317)</v>
          </cell>
        </row>
        <row r="8">
          <cell r="U8" t="str">
            <v>0.574                     (0.436 to 0.769)</v>
          </cell>
          <cell r="V8" t="str">
            <v>0.864                     (0.519 to 1.356)</v>
          </cell>
        </row>
        <row r="10">
          <cell r="U10" t="str">
            <v>0.6641                     (0.3922 to 1.183)</v>
          </cell>
        </row>
      </sheetData>
      <sheetData sheetId="6">
        <row r="2">
          <cell r="O2" t="str">
            <v>1.09                     (0.8 to 1.444)</v>
          </cell>
          <cell r="P2" t="str">
            <v>1.431                     (1.117 to 1.825)</v>
          </cell>
          <cell r="Q2" t="str">
            <v>1.225                     (0.939 to 1.619)</v>
          </cell>
          <cell r="R2" t="str">
            <v>1.272                     (1.049 to 1.57)</v>
          </cell>
          <cell r="S2" t="str">
            <v>1.591                     (1.232 to 2.122)</v>
          </cell>
        </row>
        <row r="3">
          <cell r="P3" t="str">
            <v>1.311                     (0.947 to 1.878)</v>
          </cell>
          <cell r="Q3" t="str">
            <v>1.122                     (0.806 to 1.638)</v>
          </cell>
          <cell r="R3" t="str">
            <v>1.165                     (0.888 to 1.608)</v>
          </cell>
          <cell r="S3" t="str">
            <v>1.455                     (1.149 to 1.979)</v>
          </cell>
        </row>
        <row r="4">
          <cell r="Q4" t="str">
            <v>0.855                     (0.697 to 1.062)</v>
          </cell>
          <cell r="R4" t="str">
            <v>0.888                     (0.729 to 1.1)</v>
          </cell>
          <cell r="S4" t="str">
            <v>1.112                     (0.845 to 1.511)</v>
          </cell>
        </row>
        <row r="5">
          <cell r="R5" t="str">
            <v>1.039                     (0.843 to 1.29)</v>
          </cell>
          <cell r="S5" t="str">
            <v>1.295                     (0.976 to 1.767)</v>
          </cell>
        </row>
        <row r="6">
          <cell r="S6" t="str">
            <v>1.248                     (1.016 to 1.559)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ColWidth="15.42578125" defaultRowHeight="11.25"/>
  <cols>
    <col min="1" max="1" width="28.42578125" style="1" bestFit="1" customWidth="1"/>
    <col min="2" max="2" width="11.7109375" style="2" customWidth="1"/>
    <col min="3" max="3" width="12.85546875" style="2" customWidth="1"/>
    <col min="4" max="4" width="11.85546875" style="2" customWidth="1"/>
    <col min="5" max="5" width="11" style="2" customWidth="1"/>
    <col min="6" max="6" width="11.7109375" style="2" customWidth="1"/>
    <col min="7" max="7" width="12.85546875" style="2" customWidth="1"/>
    <col min="8" max="8" width="11.7109375" style="2" customWidth="1"/>
    <col min="9" max="9" width="11" style="2" customWidth="1"/>
    <col min="10" max="10" width="11.7109375" style="2" customWidth="1"/>
    <col min="11" max="11" width="13.140625" style="2" customWidth="1"/>
    <col min="12" max="12" width="12.7109375" style="2" customWidth="1"/>
    <col min="13" max="13" width="11" style="2" customWidth="1"/>
    <col min="14" max="14" width="13.28515625" style="2" customWidth="1"/>
    <col min="15" max="15" width="13.85546875" style="2" customWidth="1"/>
    <col min="16" max="16" width="14.140625" style="2" customWidth="1"/>
    <col min="17" max="17" width="11" style="2" customWidth="1"/>
    <col min="18" max="18" width="12.42578125" style="2" customWidth="1"/>
    <col min="19" max="19" width="12.85546875" style="2" customWidth="1"/>
    <col min="20" max="20" width="13.85546875" style="2" customWidth="1"/>
    <col min="21" max="21" width="11" style="2" customWidth="1"/>
    <col min="22" max="22" width="11.7109375" style="2" customWidth="1"/>
    <col min="23" max="23" width="12.85546875" style="2" customWidth="1"/>
    <col min="24" max="24" width="12.140625" style="2" customWidth="1"/>
    <col min="25" max="25" width="11" style="2" customWidth="1"/>
    <col min="26" max="16384" width="15.42578125" style="2"/>
  </cols>
  <sheetData>
    <row r="1" spans="1:25" s="10" customFormat="1" ht="20.25">
      <c r="A1" s="9" t="s">
        <v>51</v>
      </c>
    </row>
    <row r="2" spans="1:25" s="12" customFormat="1" ht="27">
      <c r="A2" s="11" t="s">
        <v>50</v>
      </c>
    </row>
    <row r="3" spans="1:25" s="8" customFormat="1" ht="18">
      <c r="A3" s="7"/>
    </row>
    <row r="4" spans="1:25" ht="11.25" customHeight="1">
      <c r="B4" s="6" t="s">
        <v>0</v>
      </c>
      <c r="C4" s="6"/>
      <c r="D4" s="6"/>
      <c r="E4" s="6"/>
      <c r="F4" s="6" t="s">
        <v>1</v>
      </c>
      <c r="G4" s="6"/>
      <c r="H4" s="6"/>
      <c r="I4" s="6"/>
      <c r="J4" s="6" t="s">
        <v>2</v>
      </c>
      <c r="K4" s="6"/>
      <c r="L4" s="6"/>
      <c r="M4" s="6"/>
      <c r="N4" s="6" t="s">
        <v>3</v>
      </c>
      <c r="O4" s="6"/>
      <c r="P4" s="6"/>
      <c r="Q4" s="6"/>
      <c r="R4" s="6" t="s">
        <v>4</v>
      </c>
      <c r="S4" s="6"/>
      <c r="T4" s="6"/>
      <c r="U4" s="6"/>
      <c r="V4" s="6" t="s">
        <v>5</v>
      </c>
      <c r="W4" s="6"/>
      <c r="X4" s="6"/>
      <c r="Y4" s="6"/>
    </row>
    <row r="5" spans="1:25" ht="33.75">
      <c r="B5" s="3" t="s">
        <v>43</v>
      </c>
      <c r="C5" s="3" t="s">
        <v>44</v>
      </c>
      <c r="D5" s="3" t="s">
        <v>46</v>
      </c>
      <c r="E5" s="3" t="s">
        <v>47</v>
      </c>
      <c r="F5" s="3" t="s">
        <v>43</v>
      </c>
      <c r="G5" s="3" t="s">
        <v>44</v>
      </c>
      <c r="H5" s="3" t="s">
        <v>46</v>
      </c>
      <c r="I5" s="3" t="s">
        <v>47</v>
      </c>
      <c r="J5" s="3" t="s">
        <v>43</v>
      </c>
      <c r="K5" s="3" t="s">
        <v>44</v>
      </c>
      <c r="L5" s="3" t="s">
        <v>46</v>
      </c>
      <c r="M5" s="3" t="s">
        <v>47</v>
      </c>
      <c r="N5" s="3" t="s">
        <v>43</v>
      </c>
      <c r="O5" s="3" t="s">
        <v>44</v>
      </c>
      <c r="P5" s="3" t="s">
        <v>46</v>
      </c>
      <c r="Q5" s="3" t="s">
        <v>47</v>
      </c>
      <c r="R5" s="3" t="s">
        <v>43</v>
      </c>
      <c r="S5" s="3" t="s">
        <v>44</v>
      </c>
      <c r="T5" s="3" t="s">
        <v>46</v>
      </c>
      <c r="U5" s="3" t="s">
        <v>47</v>
      </c>
      <c r="V5" s="3" t="s">
        <v>43</v>
      </c>
      <c r="W5" s="3" t="s">
        <v>44</v>
      </c>
      <c r="X5" s="3" t="s">
        <v>46</v>
      </c>
      <c r="Y5" s="3" t="s">
        <v>47</v>
      </c>
    </row>
    <row r="6" spans="1:25" ht="22.5">
      <c r="A6" s="1" t="s">
        <v>6</v>
      </c>
      <c r="B6" s="4" t="str">
        <f>'[1]All cause mortality'!$O$2</f>
        <v>0.897                     (0.801 to 1.009)</v>
      </c>
      <c r="C6" s="4" t="str">
        <f>CONCATENATE(TEXT(1/1.135,"0.###"),"                     (",TEXT(1/1.312,"0.###"), " to ",TEXT(1/0.9667,"0.###"),")")</f>
        <v>0.881                     (0.762 to 1.034)</v>
      </c>
      <c r="D6" s="4" t="str">
        <f>CONCATENATE(TEXT(1/1.1,"0.###"),"                     (",TEXT(1/1.299,"0.###"), " to ",TEXT(1/0.9245,"0.###"),")")</f>
        <v>0.909                     (0.77 to 1.082)</v>
      </c>
      <c r="E6" s="4">
        <f>2*(1-0.5592)</f>
        <v>0.88159999999999994</v>
      </c>
      <c r="F6" s="4" t="str">
        <f>'[1]Myocardial infarction_'!$O$2</f>
        <v>0.82                     (0.679 to 0.978)</v>
      </c>
      <c r="G6" s="4" t="str">
        <f>CONCATENATE(TEXT(1/1.272,"0.###"),"                     (",TEXT(1/1.588,"0.###"), " to ",TEXT(1/1.013,"0.###"),")")</f>
        <v>0.786                     (0.63 to 0.987)</v>
      </c>
      <c r="H6" s="4" t="str">
        <f>CONCATENATE(TEXT(1/1.158,"0.###"),"                     (",TEXT(1/1.559,"0.###"), " to ",TEXT(1/0.8771,"0.###"),")")</f>
        <v>0.864                     (0.641 to 1.14)</v>
      </c>
      <c r="I6" s="4">
        <f>2*(1-0.7085)</f>
        <v>0.58299999999999996</v>
      </c>
      <c r="J6" s="4" t="str">
        <f>[1]Stroke!$O$2</f>
        <v>0.833                     (0.681 to 1.069)</v>
      </c>
      <c r="K6" s="4" t="str">
        <f>CONCATENATE(TEXT(1/1.081,"0.###"),"                     (",TEXT(1/1.472,"0.###"), " to ",TEXT(1/0.7765,"0.###"),")")</f>
        <v>0.925                     (0.679 to 1.288)</v>
      </c>
      <c r="L6" s="4" t="str">
        <f>CONCATENATE(TEXT(1/1.281,"0.###"),"                     (",TEXT(1/1.757,"0.###"), " to ",TEXT(1/0.9015,"0.###"),")")</f>
        <v>0.781                     (0.569 to 1.109)</v>
      </c>
      <c r="M6" s="4">
        <v>0.4446</v>
      </c>
      <c r="N6" s="4" t="str">
        <f>[1]Angina!$O$2</f>
        <v>0.963                     (0.284 to 5.78)</v>
      </c>
      <c r="O6" s="4" t="s">
        <v>11</v>
      </c>
      <c r="P6" s="4"/>
      <c r="Q6" s="4"/>
      <c r="R6" s="4" t="str">
        <f>'[1]Heart failure'!$O$2</f>
        <v>0.729                     (0.541 to 0.963)</v>
      </c>
      <c r="S6" s="4" t="str">
        <f>CONCATENATE(TEXT(1/1.416,"0.###"),"                     (",TEXT(1/2.484,"0.###"), " to ",TEXT(1/0.8305,"0.###"),")")</f>
        <v>0.706                     (0.403 to 1.204)</v>
      </c>
      <c r="T6" s="4" t="str">
        <f>CONCATENATE(TEXT(1/1.355,"0.###"),"                     (",TEXT(1/1.959,"0.###"), " to ",TEXT(1/0.9639,"0.###"),")")</f>
        <v>0.738                     (0.51 to 1.037)</v>
      </c>
      <c r="U6" s="4">
        <f>2*(1-0.539)</f>
        <v>0.92199999999999993</v>
      </c>
      <c r="V6" s="4" t="str">
        <f>'[1]Diabetes incidence'!$O$2</f>
        <v>1.09                     (0.8 to 1.444)</v>
      </c>
      <c r="W6" s="4" t="str">
        <f>CONCATENATE(TEXT(1/1.132,"0.###"),"                     (",TEXT(1/1.695,"0.###"), " to ",TEXT(1/0.7556,"0.###"),")")</f>
        <v>0.883                     (0.59 to 1.323)</v>
      </c>
      <c r="X6" s="4" t="str">
        <f>CONCATENATE(TEXT(1/0.7641,"0.###"),"                     (",TEXT(1/1.132,"0.###"), " to ",TEXT(1/0.4615,"0.###"),")")</f>
        <v>1.309                     (0.883 to 2.167)</v>
      </c>
      <c r="Y6" s="4">
        <f>2*(1-0.933)</f>
        <v>0.1339999999999999</v>
      </c>
    </row>
    <row r="7" spans="1:25" ht="22.5">
      <c r="A7" s="1" t="s">
        <v>7</v>
      </c>
      <c r="B7" s="4" t="str">
        <f>'[1]All cause mortality'!$P$2</f>
        <v>1.003                     (0.934 to 1.079)</v>
      </c>
      <c r="C7" s="4" t="str">
        <f>CONCATENATE(TEXT(1/0.9963,"0.###"),"                     (",TEXT(1/1.08,"0.###"), " to ",TEXT(1/0.9113,"0.###"),")")</f>
        <v>1.004                     (0.926 to 1.097)</v>
      </c>
      <c r="D7" s="4" t="str">
        <f>CONCATENATE(TEXT(1/0.9771,"0.###"),"                     (",TEXT(1/1.133,"0.###"), " to ",TEXT(1/0.8515,"0.###"),")")</f>
        <v>1.023                     (0.883 to 1.174)</v>
      </c>
      <c r="E7" s="4">
        <f>2*(1-0.6078)</f>
        <v>0.78439999999999999</v>
      </c>
      <c r="F7" s="4" t="str">
        <f>'[1]Myocardial infarction_'!$P$2</f>
        <v>0.997                     (0.881 to 1.148)</v>
      </c>
      <c r="G7" s="4" t="str">
        <f>CONCATENATE(TEXT(1/1,"0.###"),"                         (",TEXT(1/1.152,"0.###"), " to ",TEXT(1/0.8289,"0.###"),")")</f>
        <v>1.                         (0.868 to 1.206)</v>
      </c>
      <c r="H7" s="4" t="str">
        <f>CONCATENATE(TEXT(1/0.9649,"0.###"),"                         (",TEXT(1/1.257,"0.###"), " to ",TEXT(1/0.7654,"0.###"),")")</f>
        <v>1.036                         (0.796 to 1.307)</v>
      </c>
      <c r="I7" s="4">
        <f>2*(1-0.5979)</f>
        <v>0.80420000000000003</v>
      </c>
      <c r="J7" s="4" t="str">
        <f>[1]Stroke!$P$2</f>
        <v>0.94                     (0.805 to 1.101)</v>
      </c>
      <c r="K7" s="4" t="str">
        <f>CONCATENATE(TEXT(1/1.112,"0.###"),"                     (",TEXT(1/1.352,"0.###"), " to ",TEXT(1/0.926,"0.###"),")")</f>
        <v>0.899                     (0.74 to 1.08)</v>
      </c>
      <c r="L7" s="4" t="str">
        <f>CONCATENATE(TEXT(1/0.9801,"0.###"),"                     (",TEXT(1/1.269,"0.###"), " to ",TEXT(1/0.7506,"0.###"),")")</f>
        <v>1.02                     (0.788 to 1.332)</v>
      </c>
      <c r="M7" s="4">
        <f>2*(1-0.8166)</f>
        <v>0.36680000000000001</v>
      </c>
      <c r="N7" s="4" t="str">
        <f>[1]Angina!$P$2</f>
        <v>0.974                     (0.42 to 2.51)</v>
      </c>
      <c r="O7" s="4" t="str">
        <f>CONCATENATE(TEXT(1/1.095,"0.###"),"                     (",TEXT(1/10.84,"0.###"), " to ",TEXT(1/0.1131,"0.###"),")")</f>
        <v>0.913                     (0.092 to 8.842)</v>
      </c>
      <c r="P7" s="4" t="str">
        <f>CONCATENATE(TEXT(1/0.8649,"0.###"),"                     (",TEXT(1/32.74,"0.###"), " to ",TEXT(1/0.02509,"0.###"),")")</f>
        <v>1.156                     (0.031 to 39.857)</v>
      </c>
      <c r="Q7" s="4">
        <f>2*(1-0.6168)</f>
        <v>0.76639999999999997</v>
      </c>
      <c r="R7" s="4" t="str">
        <f>'[1]Heart failure'!$P$2</f>
        <v>0.88                     (0.764 to 1.056)</v>
      </c>
      <c r="S7" s="4" t="str">
        <f>CONCATENATE(TEXT(1/1.136,"0.###"),"                     (",TEXT(1/1.336,"0.###"), " to ",TEXT(1/0.8714,"0.###"),")")</f>
        <v>0.88                     (0.749 to 1.148)</v>
      </c>
      <c r="T7" s="4" t="str">
        <f>CONCATENATE(TEXT(1/1.108,"0.###"),"                     (",TEXT(1/1.56,"0.###"), " to ",TEXT(1/0.8475,"0.###"),")")</f>
        <v>0.903                     (0.641 to 1.18)</v>
      </c>
      <c r="U7" s="4">
        <f>2*(1-0.5319)</f>
        <v>0.93619999999999992</v>
      </c>
      <c r="V7" s="4" t="str">
        <f>'[1]Diabetes incidence'!$P$2</f>
        <v>1.431                     (1.117 to 1.825)</v>
      </c>
      <c r="W7" s="4" t="str">
        <f>CONCATENATE(TEXT(1/0.648,"0.###"),"                     (",TEXT(1/0.8738,"0.###"), " to ",TEXT(1/0.4753,"0.###"),")")</f>
        <v>1.543                     (1.144 to 2.104)</v>
      </c>
      <c r="X7" s="4" t="str">
        <f>CONCATENATE(TEXT(1/0.8013,"0.###"),"                     (",TEXT(1/1.127,"0.###"), " to ",TEXT(1/0.5601,"0.###"),")")</f>
        <v>1.248                     (0.887 to 1.785)</v>
      </c>
      <c r="Y7" s="4">
        <f>2*0.1206</f>
        <v>0.2412</v>
      </c>
    </row>
    <row r="8" spans="1:25" ht="22.5">
      <c r="A8" s="1" t="s">
        <v>8</v>
      </c>
      <c r="B8" s="4" t="str">
        <f>'[1]All cause mortality'!$Q$2</f>
        <v>1.066                     (0.966 to 1.173)</v>
      </c>
      <c r="C8" s="4"/>
      <c r="D8" s="4"/>
      <c r="E8" s="4"/>
      <c r="F8" s="4" t="str">
        <f>'[1]Myocardial infarction_'!$Q$2</f>
        <v>0.967                     (0.818 to 1.138)</v>
      </c>
      <c r="G8" s="4"/>
      <c r="H8" s="4"/>
      <c r="I8" s="4"/>
      <c r="J8" s="4" t="str">
        <f>[1]Stroke!$Q$2</f>
        <v>1.038                     (0.871 to 1.253)</v>
      </c>
      <c r="K8" s="4"/>
      <c r="L8" s="4"/>
      <c r="M8" s="4"/>
      <c r="N8" s="4" t="str">
        <f>[1]Angina!$Q$2</f>
        <v>1.074                     (0.409 to 3.071)</v>
      </c>
      <c r="O8" s="4"/>
      <c r="P8" s="4"/>
      <c r="Q8" s="4"/>
      <c r="R8" s="4" t="str">
        <f>'[1]Heart failure'!$Q$2</f>
        <v>0.85                     (0.706 to 1.056)</v>
      </c>
      <c r="S8" s="4"/>
      <c r="T8" s="4"/>
      <c r="U8" s="4"/>
      <c r="V8" s="4" t="str">
        <f>'[1]Diabetes incidence'!$Q$2</f>
        <v>1.225                     (0.939 to 1.619)</v>
      </c>
      <c r="W8" s="4"/>
      <c r="X8" s="4"/>
      <c r="Y8" s="4"/>
    </row>
    <row r="9" spans="1:25" ht="22.5">
      <c r="A9" s="1" t="s">
        <v>9</v>
      </c>
      <c r="B9" s="4" t="str">
        <f>'[1]All cause mortality'!$R$2</f>
        <v>1.028                     (0.957 to 1.095)</v>
      </c>
      <c r="C9" s="4" t="str">
        <f>CONCATENATE(TEXT(1/0.9871,"0.###"),"                     (",TEXT(1/1.092,"0.###"), " to ",TEXT(1/0.9142,"0.###"),")")</f>
        <v>1.013                     (0.916 to 1.094)</v>
      </c>
      <c r="D9" s="4" t="str">
        <f>CONCATENATE(TEXT(1/0.9527,"0.###"),"                     (",TEXT(1/1.071,"0.###"), " to ",TEXT(1/0.8491,"0.###"),")")</f>
        <v>1.05                     (0.934 to 1.178)</v>
      </c>
      <c r="E9" s="4">
        <f>2*(1-0.697)</f>
        <v>0.60600000000000009</v>
      </c>
      <c r="F9" s="4" t="str">
        <f>'[1]Myocardial infarction_'!$R$2</f>
        <v>0.962                     (0.838 to 1.074)</v>
      </c>
      <c r="G9" s="4" t="str">
        <f>CONCATENATE(TEXT(1/1.023,"0.###"),"                         (",TEXT(1/1.203,"0.###"), " to ",TEXT(1/0.8929,"0.###"),")")</f>
        <v>0.978                         (0.831 to 1.12)</v>
      </c>
      <c r="H9" s="4" t="str">
        <f>CONCATENATE(TEXT(1/1.123,"0.###"),"                         (",TEXT(1/1.34,"0.###"), " to ",TEXT(1/0.925,"0.###"),")")</f>
        <v>0.89                         (0.746 to 1.081)</v>
      </c>
      <c r="I9" s="4">
        <f>2*0.2056</f>
        <v>0.41120000000000001</v>
      </c>
      <c r="J9" s="4" t="str">
        <f>[1]Stroke!$R$2</f>
        <v>1.116                     (0.973 to 1.289)</v>
      </c>
      <c r="K9" s="4" t="str">
        <f>CONCATENATE(TEXT(1/0.9341,"0.###"),"                     (",TEXT(1/1.12,"0.###"), " to ",TEXT(1/0.7665,"0.###"),")")</f>
        <v>1.071                     (0.893 to 1.305)</v>
      </c>
      <c r="L9" s="4" t="str">
        <f>CONCATENATE(TEXT(1/0.8754,"0.###"),"                     (",TEXT(1/1.079,"0.###"), " to ",TEXT(1/0.7088,"0.###"),")")</f>
        <v>1.142                     (0.927 to 1.411)</v>
      </c>
      <c r="M9" s="4">
        <f>2*(1-0.6744)</f>
        <v>0.6512</v>
      </c>
      <c r="N9" s="4" t="str">
        <f>[1]Angina!$R$2</f>
        <v>1.054                     (0.561 to 2.187)</v>
      </c>
      <c r="O9" s="4" t="str">
        <f>CONCATENATE(TEXT(1/0.9141,"0.###"),"                     (",TEXT(1/3.697,"0.###"), " to ",TEXT(1/0.2179,"0.###"),")")</f>
        <v>1.094                     (0.27 to 4.589)</v>
      </c>
      <c r="P9" s="4" t="str">
        <f>CONCATENATE(TEXT(1/1.15,"0.###"),"                          (",TEXT(1/55.71,"0.###"), " to ",TEXT(1/0.02194,"0.###"),")")</f>
        <v>0.87                          (0.018 to 45.579)</v>
      </c>
      <c r="Q9" s="4">
        <f>2*0.3866</f>
        <v>0.7732</v>
      </c>
      <c r="R9" s="4" t="str">
        <f>'[1]Heart failure'!$R$2</f>
        <v>0.725                     (0.623 to 0.844)</v>
      </c>
      <c r="S9" s="4" t="str">
        <f>CONCATENATE(TEXT(1/1.364,"0.###"),"                     (",TEXT(1/1.697,"0.###"), " to ",TEXT(1/1.118,"0.###"),")")</f>
        <v>0.733                     (0.589 to 0.894)</v>
      </c>
      <c r="T9" s="4" t="str">
        <f>CONCATENATE(TEXT(1/1.444,"0.###"),"                     (",TEXT(1/1.848,"0.###"), " to ",TEXT(1/1.122,"0.###"),")")</f>
        <v>0.693                     (0.541 to 0.891)</v>
      </c>
      <c r="U9" s="4">
        <f>2*0.3451</f>
        <v>0.69020000000000004</v>
      </c>
      <c r="V9" s="4" t="str">
        <f>'[1]Diabetes incidence'!$R$2</f>
        <v>1.272                     (1.049 to 1.57)</v>
      </c>
      <c r="W9" s="4" t="str">
        <f>CONCATENATE(TEXT(1/0.7754,"0.###"),"                     (",TEXT(1/0.9831,"0.###"), " to ",TEXT(1/0.5496,"0.###"),")")</f>
        <v>1.29                     (1.017 to 1.82)</v>
      </c>
      <c r="X9" s="4" t="str">
        <f>CONCATENATE(TEXT(1/0.779,"0.###"),"                     (",TEXT(1/1.249,"0.###"), " to ",TEXT(1/0.53,"0.###"),")")</f>
        <v>1.284                     (0.801 to 1.887)</v>
      </c>
      <c r="Y9" s="4">
        <f>2*0.4906</f>
        <v>0.98119999999999996</v>
      </c>
    </row>
    <row r="10" spans="1:25" ht="22.5">
      <c r="A10" s="1" t="s">
        <v>10</v>
      </c>
      <c r="B10" s="4" t="str">
        <f>'[1]All cause mortality'!$S$2</f>
        <v>0.98                     (0.867 to 1.117)</v>
      </c>
      <c r="C10" s="4" t="str">
        <f>'[1]All cause mortality'!$S$2</f>
        <v>0.98                     (0.867 to 1.117)</v>
      </c>
      <c r="D10" s="4" t="s">
        <v>48</v>
      </c>
      <c r="E10" s="4"/>
      <c r="F10" s="4" t="str">
        <f>'[1]Myocardial infarction_'!$S$2</f>
        <v>0.99                     (0.797 to 1.231)</v>
      </c>
      <c r="G10" s="4" t="str">
        <f>'[1]Myocardial infarction_'!$S$2</f>
        <v>0.99                     (0.797 to 1.231)</v>
      </c>
      <c r="H10" s="4" t="s">
        <v>48</v>
      </c>
      <c r="I10" s="4"/>
      <c r="J10" s="4" t="str">
        <f>[1]Stroke!$S$2</f>
        <v>0.854                     (0.657 to 1.119)</v>
      </c>
      <c r="K10" s="4" t="str">
        <f>[1]Stroke!$S$2</f>
        <v>0.854                     (0.657 to 1.119)</v>
      </c>
      <c r="L10" s="4" t="s">
        <v>48</v>
      </c>
      <c r="M10" s="4"/>
      <c r="N10" s="4" t="str">
        <f>[1]Angina!$S$2</f>
        <v>0.889                     (0.31 to 2.523)</v>
      </c>
      <c r="O10" s="4" t="s">
        <v>45</v>
      </c>
      <c r="P10" s="4" t="s">
        <v>48</v>
      </c>
      <c r="Q10" s="4"/>
      <c r="R10" s="4" t="str">
        <f>'[1]Heart failure'!$S$2</f>
        <v>0.507                     (0.403 to 0.639)</v>
      </c>
      <c r="S10" s="4" t="str">
        <f>'[1]Heart failure'!$S$2</f>
        <v>0.507                     (0.403 to 0.639)</v>
      </c>
      <c r="T10" s="4" t="s">
        <v>48</v>
      </c>
      <c r="U10" s="4"/>
      <c r="V10" s="4" t="s">
        <v>11</v>
      </c>
      <c r="W10" s="4" t="s">
        <v>11</v>
      </c>
      <c r="X10" s="4"/>
      <c r="Y10" s="4"/>
    </row>
    <row r="11" spans="1:25" ht="22.5">
      <c r="A11" s="1" t="s">
        <v>12</v>
      </c>
      <c r="B11" s="4" t="str">
        <f>'[1]All cause mortality'!$T$2</f>
        <v>1.023                     (0.917 to 1.14)</v>
      </c>
      <c r="C11" s="4"/>
      <c r="D11" s="4"/>
      <c r="E11" s="4"/>
      <c r="F11" s="4" t="str">
        <f>'[1]Myocardial infarction_'!$T$2</f>
        <v>0.834                     (0.686 to 1.027)</v>
      </c>
      <c r="G11" s="4"/>
      <c r="H11" s="4"/>
      <c r="I11" s="4"/>
      <c r="J11" s="4" t="str">
        <f>[1]Stroke!$T$2</f>
        <v>1.02                     (0.822 to 1.28)</v>
      </c>
      <c r="K11" s="4"/>
      <c r="L11" s="4"/>
      <c r="M11" s="4"/>
      <c r="N11" s="4" t="str">
        <f>[1]Angina!$T$2</f>
        <v>0.859                     (0.391 to 3.27)</v>
      </c>
      <c r="O11" s="4"/>
      <c r="P11" s="4"/>
      <c r="Q11" s="4"/>
      <c r="R11" s="4" t="str">
        <f>'[1]Heart failure'!$T$2</f>
        <v>0.797                     (0.608 to 0.982)</v>
      </c>
      <c r="S11" s="4"/>
      <c r="T11" s="4"/>
      <c r="U11" s="4"/>
      <c r="V11" s="4" t="str">
        <f>'[1]Diabetes incidence'!$S$2</f>
        <v>1.591                     (1.232 to 2.122)</v>
      </c>
      <c r="W11" s="4"/>
      <c r="X11" s="4"/>
      <c r="Y11" s="4"/>
    </row>
    <row r="12" spans="1:25" ht="22.5">
      <c r="A12" s="1" t="s">
        <v>13</v>
      </c>
      <c r="B12" s="4" t="str">
        <f>'[1]All cause mortality'!$V$2</f>
        <v>0.958                     (0.249 to 4.12)</v>
      </c>
      <c r="C12" s="4"/>
      <c r="D12" s="4"/>
      <c r="E12" s="4"/>
      <c r="F12" s="4" t="str">
        <f>'[1]Myocardial infarction_'!$V$2</f>
        <v>0.373                     (0.151 to 0.768)</v>
      </c>
      <c r="G12" s="4"/>
      <c r="H12" s="4"/>
      <c r="I12" s="4"/>
      <c r="J12" s="4" t="str">
        <f>[1]Stroke!$V$2</f>
        <v>0.612                     (0.392 to 0.981)</v>
      </c>
      <c r="K12" s="4"/>
      <c r="L12" s="4"/>
      <c r="M12" s="4"/>
      <c r="N12" s="4" t="s">
        <v>11</v>
      </c>
      <c r="O12" s="4"/>
      <c r="P12" s="4"/>
      <c r="Q12" s="4"/>
      <c r="R12" s="4" t="str">
        <f>'[1]Heart failure'!$V$2</f>
        <v>0.687                     (0.386 to 1.113)</v>
      </c>
      <c r="S12" s="4"/>
      <c r="T12" s="4"/>
      <c r="U12" s="4"/>
      <c r="V12" s="4" t="s">
        <v>11</v>
      </c>
      <c r="W12" s="4"/>
      <c r="X12" s="4"/>
      <c r="Y12" s="4"/>
    </row>
    <row r="13" spans="1:25" ht="21.75" customHeight="1">
      <c r="A13" s="1" t="s">
        <v>14</v>
      </c>
      <c r="B13" s="4" t="str">
        <f>'[1]All cause mortality'!$U$2</f>
        <v>0.875                     (0.803 to 0.946)</v>
      </c>
      <c r="C13" s="4" t="str">
        <f>CONCATENATE(TEXT(1/1.121,"0.###"),"                     (",TEXT(1/1.225,"0.###"), " to ",TEXT(1/1.027,"0.###"),")")</f>
        <v>0.892                     (0.816 to 0.974)</v>
      </c>
      <c r="D13" s="4" t="str">
        <f>CONCATENATE(TEXT(1/1.244,"0.###"),"                     (",TEXT(1/1.482,"0.###"), " to ",TEXT(1/1.046,"0.###"),")")</f>
        <v>0.804                     (0.675 to 0.956)</v>
      </c>
      <c r="E13" s="4">
        <v>0.28660000000000002</v>
      </c>
      <c r="F13" s="4" t="str">
        <f>'[1]Myocardial infarction_'!$U$2</f>
        <v>0.763                     (0.651 to 0.886)</v>
      </c>
      <c r="G13" s="4" t="str">
        <f>CONCATENATE(TEXT(1/1.345,"0.###"),"                         (",TEXT(1/1.614,"0.###"), " to ",TEXT(1/1.121,"0.###"),")")</f>
        <v>0.743                         (0.62 to 0.892)</v>
      </c>
      <c r="H13" s="4" t="str">
        <f>CONCATENATE(TEXT(1/1.249,"0.###"),"                         (",TEXT(1/1.7,"0.###"), " to ",TEXT(1/0.9407,"0.###"),")")</f>
        <v>0.801                         (0.588 to 1.063)</v>
      </c>
      <c r="I13" s="4">
        <f>2*(1-0.6563)</f>
        <v>0.68740000000000001</v>
      </c>
      <c r="J13" s="4" t="str">
        <f>[1]Stroke!$U$2</f>
        <v>0.612                     (0.523 to 0.709)</v>
      </c>
      <c r="K13" s="4" t="str">
        <f>CONCATENATE(TEXT(1/1.579,"0.###"),"                     (",TEXT(1/1.901,"0.###"), " to ",TEXT(1/1.337,"0.###"),")")</f>
        <v>0.633                     (0.526 to 0.748)</v>
      </c>
      <c r="L13" s="4" t="str">
        <f>CONCATENATE(TEXT(1/1.842,"0.###"),"                     (",TEXT(1/2.364,"0.###"), " to ",TEXT(1/1.404,"0.###"),")")</f>
        <v>0.543                     (0.423 to 0.712)</v>
      </c>
      <c r="M13" s="4">
        <f>2*0.1684</f>
        <v>0.33679999999999999</v>
      </c>
      <c r="N13" s="4" t="str">
        <f>[1]Angina!$U$2</f>
        <v>1.565                     (0.182 to 16.518)</v>
      </c>
      <c r="O13" s="4" t="str">
        <f>[1]Angina!$U$2</f>
        <v>1.565                     (0.182 to 16.518)</v>
      </c>
      <c r="P13" s="4" t="s">
        <v>48</v>
      </c>
      <c r="Q13" s="4"/>
      <c r="R13" s="4" t="str">
        <f>'[1]Heart failure'!$U$2</f>
        <v>0.455                     (0.361 to 0.559)</v>
      </c>
      <c r="S13" s="4" t="str">
        <f>CONCATENATE(TEXT(1/2.314,"0.###"),"                     (",TEXT(1/3.175,"0.###"), " to ",TEXT(1/1.745,"0.###"),")")</f>
        <v>0.432                     (0.315 to 0.573)</v>
      </c>
      <c r="T13" s="4" t="str">
        <f>CONCATENATE(TEXT(1/2.045,"0.###"),"                     (",TEXT(1/2.919,"0.###"), " to ",TEXT(1/1.419,"0.###"),")")</f>
        <v>0.489                     (0.343 to 0.705)</v>
      </c>
      <c r="U13" s="4">
        <f>2*(1-0.7096)</f>
        <v>0.58079999999999998</v>
      </c>
      <c r="V13" s="4" t="s">
        <v>11</v>
      </c>
      <c r="W13" s="4" t="s">
        <v>11</v>
      </c>
      <c r="X13" s="4"/>
      <c r="Y13" s="4"/>
    </row>
    <row r="14" spans="1:25" ht="22.5">
      <c r="A14" s="1" t="s">
        <v>15</v>
      </c>
      <c r="B14" s="4" t="str">
        <f>'[1]All cause mortality'!$P$3</f>
        <v>1.118                     (0.982 to 1.268)</v>
      </c>
      <c r="C14" s="4"/>
      <c r="D14" s="4"/>
      <c r="E14" s="4"/>
      <c r="F14" s="4" t="str">
        <f>'[1]Myocardial infarction_'!$P$3</f>
        <v>1.217                     (0.998 to 1.522)</v>
      </c>
      <c r="G14" s="4"/>
      <c r="H14" s="4"/>
      <c r="I14" s="4"/>
      <c r="J14" s="4" t="str">
        <f>[1]Stroke!$P$3</f>
        <v>1.127                     (0.86 to 1.415)</v>
      </c>
      <c r="K14" s="4"/>
      <c r="L14" s="4"/>
      <c r="M14" s="4"/>
      <c r="N14" s="4" t="str">
        <f>[1]Angina!$P$3</f>
        <v>1.027                     (0.167 to 3.764)</v>
      </c>
      <c r="O14" s="4"/>
      <c r="P14" s="4"/>
      <c r="Q14" s="4"/>
      <c r="R14" s="4" t="str">
        <f>'[1]Heart failure'!$P$3</f>
        <v>1.207                     (0.91 to 1.689)</v>
      </c>
      <c r="S14" s="4"/>
      <c r="T14" s="4"/>
      <c r="U14" s="4"/>
      <c r="V14" s="4" t="str">
        <f>'[1]Diabetes incidence'!$P$3</f>
        <v>1.311                     (0.947 to 1.878)</v>
      </c>
      <c r="W14" s="4"/>
      <c r="X14" s="4"/>
      <c r="Y14" s="4"/>
    </row>
    <row r="15" spans="1:25" ht="22.5">
      <c r="A15" s="1" t="s">
        <v>16</v>
      </c>
      <c r="B15" s="4" t="str">
        <f>'[1]All cause mortality'!$Q$3</f>
        <v>1.189                     (1.031 to 1.364)</v>
      </c>
      <c r="C15" s="4"/>
      <c r="D15" s="4"/>
      <c r="E15" s="4"/>
      <c r="F15" s="4" t="str">
        <f>'[1]Myocardial infarction_'!$Q$3</f>
        <v>1.18                     (0.948 to 1.478)</v>
      </c>
      <c r="G15" s="4"/>
      <c r="H15" s="4"/>
      <c r="I15" s="4"/>
      <c r="J15" s="4" t="str">
        <f>[1]Stroke!$Q$3</f>
        <v>1.244                     (0.95 to 1.577)</v>
      </c>
      <c r="K15" s="4"/>
      <c r="L15" s="4"/>
      <c r="M15" s="4"/>
      <c r="N15" s="4" t="str">
        <f>[1]Angina!$Q$3</f>
        <v>1.124                     (0.177 to 4.237)</v>
      </c>
      <c r="O15" s="4"/>
      <c r="P15" s="4"/>
      <c r="Q15" s="4"/>
      <c r="R15" s="4" t="str">
        <f>'[1]Heart failure'!$Q$3</f>
        <v>1.173                     (0.858 to 1.645)</v>
      </c>
      <c r="S15" s="4"/>
      <c r="T15" s="4"/>
      <c r="U15" s="4"/>
      <c r="V15" s="4" t="str">
        <f>'[1]Diabetes incidence'!$Q$3</f>
        <v>1.122                     (0.806 to 1.638)</v>
      </c>
      <c r="W15" s="4"/>
      <c r="X15" s="4"/>
      <c r="Y15" s="4"/>
    </row>
    <row r="16" spans="1:25" ht="22.5">
      <c r="A16" s="1" t="s">
        <v>17</v>
      </c>
      <c r="B16" s="4" t="str">
        <f>'[1]All cause mortality'!$R$3</f>
        <v>1.144                     (1.013 to 1.282)</v>
      </c>
      <c r="C16" s="4"/>
      <c r="D16" s="4"/>
      <c r="E16" s="4"/>
      <c r="F16" s="4" t="str">
        <f>'[1]Myocardial infarction_'!$R$3</f>
        <v>1.168                     (0.966 to 1.416)</v>
      </c>
      <c r="G16" s="4"/>
      <c r="H16" s="4"/>
      <c r="I16" s="4"/>
      <c r="J16" s="4" t="str">
        <f>[1]Stroke!$R$3</f>
        <v>1.339                     (1.049 to 1.639)</v>
      </c>
      <c r="K16" s="4"/>
      <c r="L16" s="4"/>
      <c r="M16" s="4"/>
      <c r="N16" s="4" t="str">
        <f>[1]Angina!$R$3</f>
        <v>1.102                     (0.226 to 3.306)</v>
      </c>
      <c r="O16" s="4"/>
      <c r="P16" s="4"/>
      <c r="Q16" s="4"/>
      <c r="R16" s="4" t="str">
        <f>'[1]Heart failure'!$R$3</f>
        <v>0.995                     (0.758 to 1.33)</v>
      </c>
      <c r="S16" s="4"/>
      <c r="T16" s="4"/>
      <c r="U16" s="4"/>
      <c r="V16" s="4" t="str">
        <f>'[1]Diabetes incidence'!$R$3</f>
        <v>1.165                     (0.888 to 1.608)</v>
      </c>
      <c r="W16" s="4"/>
      <c r="X16" s="4"/>
      <c r="Y16" s="4"/>
    </row>
    <row r="17" spans="1:25" ht="22.5">
      <c r="A17" s="1" t="s">
        <v>18</v>
      </c>
      <c r="B17" s="4" t="str">
        <f>'[1]All cause mortality'!$S$3</f>
        <v>1.092                     (0.926 to 1.303)</v>
      </c>
      <c r="C17" s="4"/>
      <c r="D17" s="4"/>
      <c r="E17" s="4"/>
      <c r="F17" s="4" t="str">
        <f>'[1]Myocardial infarction_'!$S$3</f>
        <v>1.204                     (0.92 to 1.612)</v>
      </c>
      <c r="G17" s="4"/>
      <c r="H17" s="4"/>
      <c r="I17" s="4"/>
      <c r="J17" s="4" t="str">
        <f>[1]Stroke!$S$3</f>
        <v>1.022                     (0.709 to 1.421)</v>
      </c>
      <c r="K17" s="4"/>
      <c r="L17" s="4"/>
      <c r="M17" s="4"/>
      <c r="N17" s="4" t="str">
        <f>[1]Angina!$S$3</f>
        <v>0.929                     (0.11 to 4.346)</v>
      </c>
      <c r="O17" s="4"/>
      <c r="P17" s="4"/>
      <c r="Q17" s="4"/>
      <c r="R17" s="4" t="str">
        <f>'[1]Heart failure'!$S$3</f>
        <v>0.692                     (0.495 to 1.023)</v>
      </c>
      <c r="S17" s="4"/>
      <c r="T17" s="4"/>
      <c r="U17" s="4"/>
      <c r="V17" s="4" t="s">
        <v>11</v>
      </c>
      <c r="W17" s="4"/>
      <c r="X17" s="4"/>
      <c r="Y17" s="4"/>
    </row>
    <row r="18" spans="1:25" ht="22.5">
      <c r="A18" s="1" t="s">
        <v>19</v>
      </c>
      <c r="B18" s="4" t="str">
        <f>'[1]All cause mortality'!$T$3</f>
        <v>1.14                     (1.018 to 1.276)</v>
      </c>
      <c r="C18" s="4" t="str">
        <f>CONCATENATE(TEXT(1/0.8824,"0.###"),"                     (",TEXT(1/1.031,"0.###"), " to ",TEXT(1/0.7576,"0.###"),")")</f>
        <v>1.133                     (0.97 to 1.32)</v>
      </c>
      <c r="D18" s="4" t="str">
        <f>CONCATENATE(TEXT(1/0.8584,"0.###"),"                     (",TEXT(1/1.055,"0.###"), " to ",TEXT(1/0.7112,"0.###"),")")</f>
        <v>1.165                     (0.948 to 1.406)</v>
      </c>
      <c r="E18" s="4">
        <f>2*(1-0.5752)</f>
        <v>0.84959999999999991</v>
      </c>
      <c r="F18" s="4" t="str">
        <f>'[1]Myocardial infarction_'!$T$3</f>
        <v>1.017                     (0.84 to 1.266)</v>
      </c>
      <c r="G18" s="4" t="str">
        <f>CONCATENATE(TEXT(1/1.046,"0.###"),"                     (",TEXT(1/1.382,"0.###"), " to ",TEXT(1/0.7994,"0.###"),")")</f>
        <v>0.956                     (0.724 to 1.251)</v>
      </c>
      <c r="H18" s="4" t="str">
        <f>CONCATENATE(TEXT(1/0.8752,"0.###"),"                     (",TEXT(1/1.195,"0.###"), " to ",TEXT(1/0.6179,"0.###"),")")</f>
        <v>1.143                     (0.837 to 1.618)</v>
      </c>
      <c r="I18" s="4">
        <f>2*(1-0.8154)</f>
        <v>0.36919999999999997</v>
      </c>
      <c r="J18" s="4" t="str">
        <f>[1]Stroke!$T$3</f>
        <v>1.225                     (0.963 to 1.491)</v>
      </c>
      <c r="K18" s="4" t="str">
        <f>CONCATENATE(TEXT(1/0.7479,"0.###"),"                     (",TEXT(1/0.9704,"0.###"), " to ",TEXT(1/0.5753,"0.###"),")")</f>
        <v>1.337                     (1.031 to 1.738)</v>
      </c>
      <c r="L18" s="4" t="str">
        <f>CONCATENATE(TEXT(1/0.9987,"0.###"),"                     (",TEXT(1/1.443,"0.###"), " to ",TEXT(1/0.7076,"0.###"),")")</f>
        <v>1.001                     (0.693 to 1.413)</v>
      </c>
      <c r="M18" s="4">
        <f>2*0.0852</f>
        <v>0.1704</v>
      </c>
      <c r="N18" s="4" t="str">
        <f>[1]Angina!$T$3</f>
        <v>0.884                     (0.307 to 2.583)</v>
      </c>
      <c r="O18" s="4" t="str">
        <f>[1]Angina!$T$3</f>
        <v>0.884                     (0.307 to 2.583)</v>
      </c>
      <c r="P18" s="4" t="s">
        <v>48</v>
      </c>
      <c r="Q18" s="4"/>
      <c r="R18" s="4" t="str">
        <f>'[1]Heart failure'!$T$3</f>
        <v>1.084                     (0.856 to 1.384)</v>
      </c>
      <c r="S18" s="4" t="str">
        <f>CONCATENATE(TEXT(1/0.9497,"0.###"),"                     (",TEXT(1/1.277,"0.###"), " to ",TEXT(1/0.6989,"0.###"),")")</f>
        <v>1.053                     (0.783 to 1.431)</v>
      </c>
      <c r="T18" s="4" t="str">
        <f>CONCATENATE(TEXT(1/0.8374,"0.###"),"                     (",TEXT(1/1.417,"0.###"), " to ",TEXT(1/0.5228,"0.###"),")")</f>
        <v>1.194                     (0.706 to 1.913)</v>
      </c>
      <c r="U18" s="4">
        <f>2*(1-0.654)</f>
        <v>0.69199999999999995</v>
      </c>
      <c r="V18" s="4" t="str">
        <f>'[1]Diabetes incidence'!$S$3</f>
        <v>1.455                     (1.149 to 1.979)</v>
      </c>
      <c r="W18" s="4" t="str">
        <f>CONCATENATE(TEXT(1/0.7505,"0.###"),"                     (",TEXT(1/1.028,"0.###"), " to ",TEXT(1/0.5499,"0.###"),")")</f>
        <v>1.332                     (0.973 to 1.819)</v>
      </c>
      <c r="X18" s="4" t="str">
        <f>CONCATENATE(TEXT(1/0.5053,"0.###"),"                     (",TEXT(1/0.7965,"0.###"), " to ",TEXT(1/0.2941,"0.###"),")")</f>
        <v>1.979                     (1.255 to 3.4)</v>
      </c>
      <c r="Y18" s="4">
        <f>2*(1-0.9359)</f>
        <v>0.12820000000000009</v>
      </c>
    </row>
    <row r="19" spans="1:25" ht="22.5">
      <c r="A19" s="1" t="s">
        <v>20</v>
      </c>
      <c r="B19" s="4" t="str">
        <f>'[1]All cause mortality'!$V$3</f>
        <v>1.066                     (0.28 to 4.688)</v>
      </c>
      <c r="C19" s="4"/>
      <c r="D19" s="4"/>
      <c r="E19" s="4"/>
      <c r="F19" s="4" t="str">
        <f>'[1]Myocardial infarction_'!$V$3</f>
        <v>0.453                     (0.183 to 0.94)</v>
      </c>
      <c r="G19" s="4"/>
      <c r="H19" s="4"/>
      <c r="I19" s="4"/>
      <c r="J19" s="4" t="str">
        <f>[1]Stroke!$V$3</f>
        <v>0.737                     (0.463 to 1.148)</v>
      </c>
      <c r="K19" s="4"/>
      <c r="L19" s="4"/>
      <c r="M19" s="4"/>
      <c r="N19" s="4" t="s">
        <v>11</v>
      </c>
      <c r="O19" s="4"/>
      <c r="P19" s="4"/>
      <c r="Q19" s="4"/>
      <c r="R19" s="4" t="str">
        <f>'[1]Heart failure'!$V$3</f>
        <v>0.935                     (0.538 to 1.563)</v>
      </c>
      <c r="S19" s="4"/>
      <c r="T19" s="4"/>
      <c r="U19" s="4"/>
      <c r="V19" s="4" t="s">
        <v>11</v>
      </c>
      <c r="W19" s="4"/>
      <c r="X19" s="4"/>
      <c r="Y19" s="4"/>
    </row>
    <row r="20" spans="1:25" ht="22.5" customHeight="1">
      <c r="A20" s="1" t="s">
        <v>21</v>
      </c>
      <c r="B20" s="4" t="str">
        <f>'[1]All cause mortality'!$U$3</f>
        <v>0.973                     (0.861 to 1.101)</v>
      </c>
      <c r="C20" s="4" t="str">
        <f>CONCATENATE(TEXT(1/1.026,"0.###"),"                     (",TEXT(1/1.195,"0.###"), " to ",TEXT(1/0.8468,"0.###"),")")</f>
        <v>0.975                     (0.837 to 1.181)</v>
      </c>
      <c r="D20" s="4" t="str">
        <f>CONCATENATE(TEXT(1/1.108,"0.###"),"                     (",TEXT(1/1.343,"0.###"), " to ",TEXT(1/0.9239,"0.###"),")")</f>
        <v>0.903                     (0.745 to 1.082)</v>
      </c>
      <c r="E20" s="4">
        <f>0.2651*2</f>
        <v>0.5302</v>
      </c>
      <c r="F20" s="4" t="str">
        <f>'[1]Myocardial infarction_'!$U$3</f>
        <v>0.927                     (0.766 to 1.133)</v>
      </c>
      <c r="G20" s="4" t="str">
        <f>CONCATENATE(TEXT(1/1.164,"0.###"),"                     (",TEXT(1/1.463,"0.###"), " to ",TEXT(1/0.9069,"0.###"),")")</f>
        <v>0.859                     (0.684 to 1.103)</v>
      </c>
      <c r="H20" s="4" t="str">
        <f>CONCATENATE(TEXT(1/1.165,"0.###"),"                     (",TEXT(1/1.569,"0.###"), " to ",TEXT(1/0.8836,"0.###"),")")</f>
        <v>0.858                     (0.637 to 1.132)</v>
      </c>
      <c r="I20" s="4">
        <f>0.4898*2</f>
        <v>0.97960000000000003</v>
      </c>
      <c r="J20" s="4" t="str">
        <f>[1]Stroke!$U$3</f>
        <v>0.731                     (0.568 to 0.899)</v>
      </c>
      <c r="K20" s="4" t="str">
        <f>CONCATENATE(TEXT(1/1.392,"0.###"),"                     (",TEXT(1/1.898,"0.###"), " to ",TEXT(1/1.065,"0.###"),")")</f>
        <v>0.718                     (0.527 to 0.939)</v>
      </c>
      <c r="L20" s="4" t="str">
        <f>CONCATENATE(TEXT(1/1.391,"0.###"),"                     (",TEXT(1/2.079,"0.###"), " to ",TEXT(1/1.014,"0.###"),")")</f>
        <v>0.719                     (0.481 to 0.986)</v>
      </c>
      <c r="M20" s="4">
        <f>2*(1-0.53)</f>
        <v>0.94</v>
      </c>
      <c r="N20" s="4" t="str">
        <f>[1]Angina!$U$3</f>
        <v>1.517                     (0.103 to 21.867)</v>
      </c>
      <c r="O20" s="4" t="s">
        <v>11</v>
      </c>
      <c r="P20" s="4"/>
      <c r="Q20" s="4"/>
      <c r="R20" s="4" t="str">
        <f>'[1]Heart failure'!$U$3</f>
        <v>0.625                     (0.45 to 0.856)</v>
      </c>
      <c r="S20" s="4" t="str">
        <f>CONCATENATE(TEXT(1/1.497,"0.###"),"                     (",TEXT(1/2.607,"0.###"), " to ",TEXT(1/0.8676,"0.###"),")")</f>
        <v>0.668                     (0.384 to 1.153)</v>
      </c>
      <c r="T20" s="4" t="str">
        <f>CONCATENATE(TEXT(1/1.671,"0.###"),"                     (",TEXT(1/2.404,"0.###"), " to ",TEXT(1/1.103,"0.###"),")")</f>
        <v>0.598                     (0.416 to 0.907)</v>
      </c>
      <c r="U20" s="4">
        <f>2*0.3759</f>
        <v>0.75180000000000002</v>
      </c>
      <c r="V20" s="4" t="s">
        <v>11</v>
      </c>
      <c r="W20" s="4" t="s">
        <v>11</v>
      </c>
      <c r="X20" s="4"/>
      <c r="Y20" s="4"/>
    </row>
    <row r="21" spans="1:25" ht="22.5">
      <c r="A21" s="1" t="s">
        <v>22</v>
      </c>
      <c r="B21" s="4" t="str">
        <f>'[1]All cause mortality'!$Q$4</f>
        <v>1.062                     (0.969 to 1.164)</v>
      </c>
      <c r="C21" s="4" t="str">
        <f>CONCATENATE(TEXT(1/0.9657,"0.###"),"                     (",TEXT(1/1.083,"0.###"), " to ",TEXT(1/0.862,"0.###"),")")</f>
        <v>1.036                     (0.923 to 1.16)</v>
      </c>
      <c r="D21" s="4" t="str">
        <f>CONCATENATE(TEXT(1/0.8905,"0.###"),"                     (",TEXT(1/1.019,"0.###"), " to ",TEXT(1/0.767,"0.###"),")")</f>
        <v>1.123                     (0.981 to 1.304)</v>
      </c>
      <c r="E21" s="4">
        <f>2*(1-0.8454)</f>
        <v>0.30919999999999992</v>
      </c>
      <c r="F21" s="4" t="str">
        <f>'[1]Myocardial infarction_'!$Q$4</f>
        <v>0.971                     (0.827 to 1.119)</v>
      </c>
      <c r="G21" s="4" t="str">
        <f>CONCATENATE(TEXT(1/1.021,"0.###"),"                     (",TEXT(1/1.232,"0.###"), " to ",TEXT(1/0.8463,"0.###"),")")</f>
        <v>0.979                     (0.812 to 1.182)</v>
      </c>
      <c r="H21" s="4" t="str">
        <f>CONCATENATE(TEXT(1/1.067,"0.###"),"                     (",TEXT(1/1.392,"0.###"), " to ",TEXT(1/0.8665,"0.###"),")")</f>
        <v>0.937                     (0.718 to 1.154)</v>
      </c>
      <c r="I21" s="4">
        <f>0.3646*2</f>
        <v>0.72919999999999996</v>
      </c>
      <c r="J21" s="4" t="str">
        <f>[1]Stroke!$Q$4</f>
        <v>1.103                     (0.944 to 1.306)</v>
      </c>
      <c r="K21" s="4" t="str">
        <f>CONCATENATE(TEXT(1/0.939,"0.###"),"                     (",TEXT(1/1.139,"0.###"), " to ",TEXT(1/0.7629,"0.###"),")")</f>
        <v>1.065                     (0.878 to 1.311)</v>
      </c>
      <c r="L21" s="4" t="str">
        <f>CONCATENATE(TEXT(1/0.8767,"0.###"),"                     (",TEXT(1/1.127,"0.###"), " to ",TEXT(1/0.6831,"0.###"),")")</f>
        <v>1.141                     (0.887 to 1.464)</v>
      </c>
      <c r="M21" s="4">
        <f>2*(1-0.6749)</f>
        <v>0.65019999999999989</v>
      </c>
      <c r="N21" s="4" t="str">
        <f>[1]Angina!$Q$4</f>
        <v>1.097                     (0.468 to 2.55)</v>
      </c>
      <c r="O21" s="4" t="str">
        <f>CONCATENATE(TEXT(1/0.9732,"0.###"),"                     (",TEXT(1/9.89,"0.###"), " to ",TEXT(1/0.09534,"0.###"),")")</f>
        <v>1.028                     (0.101 to 10.489)</v>
      </c>
      <c r="P21" s="4" t="str">
        <f>CONCATENATE(TEXT(1/0.8205,"0.###"),"                     (",TEXT(1/18.74,"0.###"), " to ",TEXT(1/0.0359,"0.###"),")")</f>
        <v>1.219                     (0.053 to 27.855)</v>
      </c>
      <c r="Q21" s="4">
        <f>2*(1-0.5975)</f>
        <v>0.80499999999999994</v>
      </c>
      <c r="R21" s="4" t="str">
        <f>'[1]Heart failure'!$Q$4</f>
        <v>0.962                     (0.806 to 1.153)</v>
      </c>
      <c r="S21" s="4" t="str">
        <f>CONCATENATE(TEXT(1/1.075,"0.###"),"                     (",TEXT(1/1.323,"0.###"), " to ",TEXT(1/0.8443,"0.###"),")")</f>
        <v>0.93                     (0.756 to 1.184)</v>
      </c>
      <c r="T21" s="4" t="str">
        <f>CONCATENATE(TEXT(1/0.9608,"0.###"),"                     (",TEXT(1/1.303,"0.###"), " to ",TEXT(1/0.7413,"0.###"),")")</f>
        <v>1.041                     (0.767 to 1.349)</v>
      </c>
      <c r="U21" s="4">
        <f>2*(1-0.7333)</f>
        <v>0.5334000000000001</v>
      </c>
      <c r="V21" s="4" t="str">
        <f>'[1]Diabetes incidence'!$Q$4</f>
        <v>0.855                     (0.697 to 1.062)</v>
      </c>
      <c r="W21" s="4" t="str">
        <f>CONCATENATE(TEXT(1/1.119,"0.###"),"                     (",TEXT(1/1.418,"0.###"), " to ",TEXT(1/0.8493,"0.###"),")")</f>
        <v>0.894                     (0.705 to 1.177)</v>
      </c>
      <c r="X21" s="4" t="str">
        <f>CONCATENATE(TEXT(1/1.356,"0.###"),"                     (",TEXT(1/2.044,"0.###"), " to ",TEXT(1/0.857,"0.###"),")")</f>
        <v>0.737                     (0.489 to 1.167)</v>
      </c>
      <c r="Y21" s="4">
        <f>2*0.1684</f>
        <v>0.33679999999999999</v>
      </c>
    </row>
    <row r="22" spans="1:25" ht="23.25" customHeight="1">
      <c r="A22" s="1" t="s">
        <v>23</v>
      </c>
      <c r="B22" s="4" t="str">
        <f>'[1]All cause mortality'!$R$4</f>
        <v>1.024                     (0.949 to 1.096)</v>
      </c>
      <c r="C22" s="4" t="str">
        <f>CONCATENATE(TEXT(1/0.9567,"0.###"),"                     (",TEXT(1/1.042,"0.###"), " to ",TEXT(1/0.8834,"0.###"),")")</f>
        <v>1.045                     (0.96 to 1.132)</v>
      </c>
      <c r="D22" s="4" t="str">
        <f>CONCATENATE(TEXT(1/1.054,"0.###"),"                     (",TEXT(1/1.216,"0.###"), " to ",TEXT(1/0.9181,"0.###"),")")</f>
        <v>0.949                     (0.822 to 1.089)</v>
      </c>
      <c r="E22" s="4">
        <v>0.2084</v>
      </c>
      <c r="F22" s="4" t="str">
        <f>'[1]Myocardial infarction_'!$R$4</f>
        <v>0.963                     (0.829 to 1.072)</v>
      </c>
      <c r="G22" s="4" t="str">
        <f>CONCATENATE(TEXT(1/1.036,"0.###"),"                     (",TEXT(1/1.263,"0.###"), " to ",TEXT(1/0.8879,"0.###"),")")</f>
        <v>0.965                     (0.792 to 1.126)</v>
      </c>
      <c r="H22" s="4" t="str">
        <f>CONCATENATE(TEXT(1/1.086,"0.###"),"                     (",TEXT(1/1.374,"0.###"), " to ",TEXT(1/0.8723,"0.###"),")")</f>
        <v>0.921                     (0.728 to 1.146)</v>
      </c>
      <c r="I22" s="4">
        <f>2*0.3615</f>
        <v>0.72299999999999998</v>
      </c>
      <c r="J22" s="4" t="str">
        <f>[1]Stroke!$R$4</f>
        <v>1.185                     (1.026 to 1.378)</v>
      </c>
      <c r="K22" s="4" t="str">
        <f>CONCATENATE(TEXT(1/0.9029,"0.###"),"                     (",TEXT(1/1.106,"0.###"), " to ",TEXT(1/0.7544,"0.###"),")")</f>
        <v>1.108                     (0.904 to 1.326)</v>
      </c>
      <c r="L22" s="4" t="str">
        <f>CONCATENATE(TEXT(1/0.8394,"0.###"),"                     (",TEXT(1/1.058,"0.###"), " to ",TEXT(0.6674,"0.###"),")")</f>
        <v>1.191                     (0.945 to 0.667)</v>
      </c>
      <c r="M22" s="4">
        <f>2*(1-0.7091)</f>
        <v>0.58180000000000009</v>
      </c>
      <c r="N22" s="4" t="str">
        <f>[1]Angina!$R$4</f>
        <v>1.078                     (0.479 to 2.447)</v>
      </c>
      <c r="O22" s="4" t="str">
        <f>CONCATENATE(TEXT(1/0.9867,"0.###"),"                     (",TEXT(1/174.6,"0.###"), " to ",TEXT(1/0.005911,"0.###"),")")</f>
        <v>1.013                     (0.006 to 169.176)</v>
      </c>
      <c r="P22" s="4" t="str">
        <f>CONCATENATE(TEXT(1/1.06,"0.###"),"                     (",TEXT(1/1628,"0.###"), " to ",TEXT(1/0.0008756,"0.###"),")")</f>
        <v>0.943                     (0.001 to 1142.074)</v>
      </c>
      <c r="Q22" s="4">
        <f>2*0.4727</f>
        <v>0.94540000000000002</v>
      </c>
      <c r="R22" s="4" t="str">
        <f>'[1]Heart failure'!$R$4</f>
        <v>0.823                     (0.694 to 0.938)</v>
      </c>
      <c r="S22" s="4" t="str">
        <f>CONCATENATE(TEXT(1/1.266,"0.###"),"                     (",TEXT(1/1.497,"0.###"), " to ",TEXT(1/1.058,"0.###"),")")</f>
        <v>0.79                     (0.668 to 0.945)</v>
      </c>
      <c r="T22" s="4" t="str">
        <f>CONCATENATE(TEXT(1/1.475,"0.###"),"                     (",TEXT(1/1.925,"0.###"), " to ",TEXT(1/1.111,"0.###"),")")</f>
        <v>0.678                     (0.519 to 0.9)</v>
      </c>
      <c r="U22" s="4">
        <f>2*0.1451</f>
        <v>0.29020000000000001</v>
      </c>
      <c r="V22" s="4" t="str">
        <f>'[1]Diabetes incidence'!$R$4</f>
        <v>0.888                     (0.729 to 1.1)</v>
      </c>
      <c r="W22" s="4" t="str">
        <f>CONCATENATE(TEXT(1/0.9502,"0.###"),"                     (",TEXT(1/1.35,"0.###"), " to ",TEXT(1/0.6854,"0.###"),")")</f>
        <v>1.052                     (0.741 to 1.459)</v>
      </c>
      <c r="X22" s="4" t="str">
        <f>CONCATENATE(TEXT(1/0.9447,"0.###"),"                     (",TEXT(1/1.674,"0.###"), " to ",TEXT(1/0.5218,"0.###"),")")</f>
        <v>1.059                     (0.597 to 1.916)</v>
      </c>
      <c r="Y22" s="4">
        <f>2*(1-0.5055)</f>
        <v>0.9890000000000001</v>
      </c>
    </row>
    <row r="23" spans="1:25" ht="22.5">
      <c r="A23" s="1" t="s">
        <v>24</v>
      </c>
      <c r="B23" s="4" t="str">
        <f>'[1]All cause mortality'!$S$4</f>
        <v>0.978                     (0.85 to 1.135)</v>
      </c>
      <c r="C23" s="4"/>
      <c r="D23" s="4"/>
      <c r="E23" s="4"/>
      <c r="F23" s="4" t="str">
        <f>'[1]Myocardial infarction_'!$S$4</f>
        <v>0.993                     (0.765 to 1.268)</v>
      </c>
      <c r="G23" s="4"/>
      <c r="H23" s="4"/>
      <c r="I23" s="4"/>
      <c r="J23" s="4" t="str">
        <f>[1]Stroke!$S$4</f>
        <v>0.912                     (0.668 to 1.239)</v>
      </c>
      <c r="K23" s="4"/>
      <c r="L23" s="4"/>
      <c r="M23" s="4"/>
      <c r="N23" s="4" t="str">
        <f>[1]Angina!$S$4</f>
        <v>0.914                     (0.217 to 3.423)</v>
      </c>
      <c r="O23" s="4"/>
      <c r="P23" s="4"/>
      <c r="Q23" s="4"/>
      <c r="R23" s="4" t="str">
        <f>'[1]Heart failure'!$S$4</f>
        <v>0.575                     (0.427 to 0.748)</v>
      </c>
      <c r="S23" s="4"/>
      <c r="T23" s="4"/>
      <c r="U23" s="4"/>
      <c r="V23" s="4" t="s">
        <v>11</v>
      </c>
      <c r="W23" s="4"/>
      <c r="X23" s="4"/>
      <c r="Y23" s="4"/>
    </row>
    <row r="24" spans="1:25" ht="22.5">
      <c r="A24" s="1" t="s">
        <v>25</v>
      </c>
      <c r="B24" s="4" t="str">
        <f>'[1]All cause mortality'!$T$4</f>
        <v>1.02                     (0.907 to 1.144)</v>
      </c>
      <c r="C24" s="4"/>
      <c r="D24" s="4"/>
      <c r="E24" s="4"/>
      <c r="F24" s="4" t="str">
        <f>'[1]Myocardial infarction_'!$T$4</f>
        <v>0.836                     (0.677 to 1.037)</v>
      </c>
      <c r="G24" s="4"/>
      <c r="H24" s="4"/>
      <c r="I24" s="4"/>
      <c r="J24" s="4" t="str">
        <f>[1]Stroke!$T$4</f>
        <v>1.084                     (0.861 to 1.372)</v>
      </c>
      <c r="K24" s="4"/>
      <c r="L24" s="4"/>
      <c r="M24" s="4"/>
      <c r="N24" s="4" t="str">
        <f>[1]Angina!$T$4</f>
        <v>0.861                     (0.353 to 3.5)</v>
      </c>
      <c r="O24" s="4"/>
      <c r="P24" s="4"/>
      <c r="Q24" s="4"/>
      <c r="R24" s="4" t="str">
        <f>'[1]Heart failure'!$T$4</f>
        <v>0.903                     (0.671 to 1.104)</v>
      </c>
      <c r="S24" s="4"/>
      <c r="T24" s="4"/>
      <c r="U24" s="4"/>
      <c r="V24" s="4" t="str">
        <f>'[1]Diabetes incidence'!$S$4</f>
        <v>1.112                     (0.845 to 1.511)</v>
      </c>
      <c r="W24" s="4"/>
      <c r="X24" s="4"/>
      <c r="Y24" s="4"/>
    </row>
    <row r="25" spans="1:25" ht="22.5">
      <c r="A25" s="1" t="s">
        <v>26</v>
      </c>
      <c r="B25" s="4" t="str">
        <f>'[1]All cause mortality'!$V$4</f>
        <v>0.953                     (0.25 to 4.137)</v>
      </c>
      <c r="C25" s="4"/>
      <c r="D25" s="4"/>
      <c r="E25" s="4"/>
      <c r="F25" s="4" t="str">
        <f>'[1]Myocardial infarction_'!$V$4</f>
        <v>0.372                     (0.151 to 0.773)</v>
      </c>
      <c r="G25" s="4"/>
      <c r="H25" s="4"/>
      <c r="I25" s="4"/>
      <c r="J25" s="4" t="str">
        <f>[1]Stroke!$V$4</f>
        <v>0.654                     (0.413 to 1.046)</v>
      </c>
      <c r="K25" s="4"/>
      <c r="L25" s="4"/>
      <c r="M25" s="4"/>
      <c r="N25" s="4" t="s">
        <v>11</v>
      </c>
      <c r="O25" s="4"/>
      <c r="P25" s="4"/>
      <c r="Q25" s="4"/>
      <c r="R25" s="4" t="str">
        <f>'[1]Heart failure'!$V$4</f>
        <v>0.777                     (0.431 to 1.249)</v>
      </c>
      <c r="S25" s="4"/>
      <c r="T25" s="4"/>
      <c r="U25" s="4"/>
      <c r="V25" s="4" t="s">
        <v>11</v>
      </c>
      <c r="W25" s="4"/>
      <c r="X25" s="4"/>
      <c r="Y25" s="4"/>
    </row>
    <row r="26" spans="1:25" ht="24.75" customHeight="1">
      <c r="A26" s="1" t="s">
        <v>27</v>
      </c>
      <c r="B26" s="4" t="str">
        <f>'[1]All cause mortality'!$U$4</f>
        <v>0.872                     (0.785 to 0.961)</v>
      </c>
      <c r="C26" s="4" t="str">
        <f>CONCATENATE(TEXT(1/0.7724,"0.###"),"                     (",TEXT(1/1.214,"0.###"), " to ",TEXT(1/0.4682,"0.###"),")")</f>
        <v>1.295                     (0.824 to 2.136)</v>
      </c>
      <c r="D26" s="4" t="str">
        <f>CONCATENATE(TEXT(1/1.164,"0.###"),"                     (",TEXT(1/1.293,"0.###"), " to ",TEXT(1/1.054,"0.###"),")")</f>
        <v>0.859                     (0.773 to 0.949)</v>
      </c>
      <c r="E26" s="4">
        <v>7.9799999999999996E-2</v>
      </c>
      <c r="F26" s="4" t="str">
        <f>'[1]Myocardial infarction_'!$U$4</f>
        <v>0.764                     (0.627 to 0.915)</v>
      </c>
      <c r="G26" s="4" t="s">
        <v>11</v>
      </c>
      <c r="H26" s="4"/>
      <c r="I26" s="4"/>
      <c r="J26" s="4" t="str">
        <f>[1]Stroke!$U$4</f>
        <v>0.652                     (0.533 to 0.784)</v>
      </c>
      <c r="K26" s="4" t="str">
        <f>CONCATENATE(TEXT(1/2.017,"0.###"),"                     (",TEXT(1/3.997,"0.###"), " to ",TEXT(1/1.034,"0.###"),")")</f>
        <v>0.496                     (0.25 to 0.967)</v>
      </c>
      <c r="L26" s="4" t="str">
        <f>CONCATENATE(TEXT(1/1.531,"0.###"),"                     (",TEXT(1/1.894,"0.###"), " to ",TEXT(1/1.268,"0.###"),")")</f>
        <v>0.653                     (0.528 to 0.789)</v>
      </c>
      <c r="M26" s="4">
        <f>2*(1-0.7747)</f>
        <v>0.45059999999999989</v>
      </c>
      <c r="N26" s="4" t="str">
        <f>[1]Angina!$U$4</f>
        <v>1.568                     (0.157 to 19.066)</v>
      </c>
      <c r="O26" s="4" t="s">
        <v>11</v>
      </c>
      <c r="P26" s="4"/>
      <c r="Q26" s="4"/>
      <c r="R26" s="4" t="str">
        <f>'[1]Heart failure'!$U$4</f>
        <v>0.514                     (0.392 to 0.648)</v>
      </c>
      <c r="S26" s="4" t="s">
        <v>11</v>
      </c>
      <c r="T26" s="4"/>
      <c r="U26" s="4"/>
      <c r="V26" s="4" t="s">
        <v>11</v>
      </c>
      <c r="W26" s="4" t="s">
        <v>11</v>
      </c>
      <c r="X26" s="4"/>
      <c r="Y26" s="4"/>
    </row>
    <row r="27" spans="1:25" ht="22.5">
      <c r="A27" s="1" t="s">
        <v>28</v>
      </c>
      <c r="B27" s="4" t="str">
        <f>'[1]All cause mortality'!$R$5</f>
        <v>0.962                     (0.885 to 1.048)</v>
      </c>
      <c r="C27" s="4" t="str">
        <f>CONCATENATE(TEXT(1/1.012,"0.###"),"                     (",TEXT(1/1.115,"0.###"), " to ",TEXT(1/0.9235,"0.###"),")")</f>
        <v>0.988                     (0.897 to 1.083)</v>
      </c>
      <c r="D27" s="4" t="str">
        <f>CONCATENATE(TEXT(1/1.12,"0.###"),"                     (",TEXT(1/1.381,"0.###"), " to ",TEXT(1/0.9008,"0.###"),")")</f>
        <v>0.893                     (0.724 to 1.11)</v>
      </c>
      <c r="E27" s="4">
        <f>0.1782*2</f>
        <v>0.35639999999999999</v>
      </c>
      <c r="F27" s="5" t="str">
        <f>'[1]Myocardial infarction_'!$R$5</f>
        <v>0.992                     (0.861 to 1.129)</v>
      </c>
      <c r="G27" s="4" t="str">
        <f>CONCATENATE(TEXT(1/1.046,"0.###"),"                     (",TEXT(1/1.226,"0.###"), " to ",TEXT(1/0.8829,"0.###"),")")</f>
        <v>0.956                     (0.816 to 1.133)</v>
      </c>
      <c r="H27" s="4" t="str">
        <f>CONCATENATE(TEXT(1/0.9536,"0.###"),"                     (",TEXT(1/1.314,"0.###"), " to ",TEXT(1/0.7177,"0.###"),")")</f>
        <v>1.049                     (0.761 to 1.393)</v>
      </c>
      <c r="I27" s="4">
        <f>2*(1-0.7103)</f>
        <v>0.57939999999999992</v>
      </c>
      <c r="J27" s="4" t="str">
        <f>[1]Stroke!$R$5</f>
        <v>1.077                     (0.927 to 1.242)</v>
      </c>
      <c r="K27" s="4" t="str">
        <f>CONCATENATE(TEXT(1/0.9348,"0.###"),"                     (",TEXT(1/1.088,"0.###"), " to ",TEXT(1/0.8084,"0.###"),")")</f>
        <v>1.07                     (0.919 to 1.237)</v>
      </c>
      <c r="L27" s="4" t="str">
        <f>CONCATENATE(TEXT(1/1.02,"0.###"),"                     (",TEXT(1/1.336,"0.###"), " to ",TEXT(1/0.7724,"0.###"),")")</f>
        <v>0.98                     (0.749 to 1.295)</v>
      </c>
      <c r="M27" s="4">
        <f>2*0.2775</f>
        <v>0.55500000000000005</v>
      </c>
      <c r="N27" s="4" t="str">
        <f>[1]Angina!$R$5</f>
        <v>0.981                     (0.422 to 2.327)</v>
      </c>
      <c r="O27" s="4" t="str">
        <f>CONCATENATE(TEXT(1/1.075,"0.###"),"                     (",TEXT(1/9.886,"0.###"), " to ",TEXT(1/0.1118,"0.###"),")")</f>
        <v>0.93                     (0.101 to 8.945)</v>
      </c>
      <c r="P27" s="4" t="str">
        <f>CONCATENATE(TEXT(1/0.9071,"0.###"),"                     (",TEXT(1/18.92,"0.###"), " to ",TEXT(1/0.04293,"0.###"),")")</f>
        <v>1.102                     (0.053 to 23.294)</v>
      </c>
      <c r="Q27" s="4">
        <f>2*(1-0.5992)</f>
        <v>0.80160000000000009</v>
      </c>
      <c r="R27" s="4" t="str">
        <f>'[1]Heart failure'!$R$5</f>
        <v>0.853                     (0.715 to 0.988)</v>
      </c>
      <c r="S27" s="4" t="str">
        <f>CONCATENATE(TEXT(1/1.191,"0.###"),"                     (",TEXT(1/1.425,"0.###"), " to ",TEXT(1/0.9992,"0.###"),")")</f>
        <v>0.84                     (0.702 to 1.001)</v>
      </c>
      <c r="T27" s="4" t="str">
        <f>CONCATENATE(TEXT(1/1.346,"0.###"),"                     (",TEXT(1/1.961,"0.###"), " to ",TEXT(1/0.9632,"0.###"),")")</f>
        <v>0.743                     (0.51 to 1.038)</v>
      </c>
      <c r="U27" s="4">
        <f>2*0.2497</f>
        <v>0.49940000000000001</v>
      </c>
      <c r="V27" s="4" t="str">
        <f>'[1]Diabetes incidence'!$R$5</f>
        <v>1.039                     (0.843 to 1.29)</v>
      </c>
      <c r="W27" s="4" t="str">
        <f>CONCATENATE(TEXT(1/0.9245,"0.###"),"                     (",TEXT(1/1.299,"0.###"), " to ",TEXT(1/0.6713,"0.###"),")")</f>
        <v>1.082                     (0.77 to 1.49)</v>
      </c>
      <c r="X27" s="4" t="str">
        <f>CONCATENATE(TEXT(1/1.108,"0.###"),"                     (",TEXT(1/1.97,"0.###"), " to ",TEXT(1/0.5837,"0.###"),")")</f>
        <v>0.903                     (0.508 to 1.713)</v>
      </c>
      <c r="Y27" s="4">
        <f>2*0.2144</f>
        <v>0.42880000000000001</v>
      </c>
    </row>
    <row r="28" spans="1:25" ht="22.5">
      <c r="A28" s="1" t="s">
        <v>29</v>
      </c>
      <c r="B28" s="4" t="str">
        <f>'[1]All cause mortality'!$S$5</f>
        <v>0.92                     (0.787 to 1.081)</v>
      </c>
      <c r="C28" s="4"/>
      <c r="D28" s="4"/>
      <c r="E28" s="4"/>
      <c r="F28" s="4" t="str">
        <f>'[1]Myocardial infarction_'!$S$5</f>
        <v>1.022                     (0.784 to 1.349)</v>
      </c>
      <c r="G28" s="4"/>
      <c r="H28" s="4"/>
      <c r="I28" s="4"/>
      <c r="J28" s="4" t="str">
        <f>[1]Stroke!$S$5</f>
        <v>0.826                     (0.594 to 1.13)</v>
      </c>
      <c r="K28" s="4"/>
      <c r="L28" s="4"/>
      <c r="M28" s="4"/>
      <c r="N28" s="4" t="str">
        <f>[1]Angina!$S$5</f>
        <v>0.831                     (0.183 to 3.352)</v>
      </c>
      <c r="O28" s="4"/>
      <c r="P28" s="4"/>
      <c r="Q28" s="4"/>
      <c r="R28" s="4" t="str">
        <f>'[1]Heart failure'!$S$5</f>
        <v>0.6                     (0.432 to 0.797)</v>
      </c>
      <c r="S28" s="4"/>
      <c r="T28" s="4"/>
      <c r="U28" s="4"/>
      <c r="V28" s="4" t="s">
        <v>11</v>
      </c>
      <c r="W28" s="4"/>
      <c r="X28" s="4"/>
      <c r="Y28" s="4"/>
    </row>
    <row r="29" spans="1:25" ht="22.5">
      <c r="A29" s="1" t="s">
        <v>30</v>
      </c>
      <c r="B29" s="4" t="str">
        <f>'[1]All cause mortality'!$T$5</f>
        <v>0.96                     (0.847 to 1.09)</v>
      </c>
      <c r="C29" s="4"/>
      <c r="D29" s="4"/>
      <c r="E29" s="4"/>
      <c r="F29" s="4" t="str">
        <f>'[1]Myocardial infarction_'!$T$5</f>
        <v>0.86                     (0.699 to 1.085)</v>
      </c>
      <c r="G29" s="4"/>
      <c r="H29" s="4"/>
      <c r="I29" s="4"/>
      <c r="J29" s="4" t="str">
        <f>[1]Stroke!$T$5</f>
        <v>0.984                     (0.773 to 1.245)</v>
      </c>
      <c r="K29" s="4"/>
      <c r="L29" s="4"/>
      <c r="M29" s="4"/>
      <c r="N29" s="4" t="str">
        <f>[1]Angina!$T$5</f>
        <v>0.787                     (0.313 to 3.291)</v>
      </c>
      <c r="O29" s="4"/>
      <c r="P29" s="4"/>
      <c r="Q29" s="4"/>
      <c r="R29" s="4" t="str">
        <f>'[1]Heart failure'!$T$5</f>
        <v>0.932                     (0.691 to 1.162)</v>
      </c>
      <c r="S29" s="4"/>
      <c r="T29" s="4"/>
      <c r="U29" s="4"/>
      <c r="V29" s="4" t="str">
        <f>'[1]Diabetes incidence'!$S$5</f>
        <v>1.295                     (0.976 to 1.767)</v>
      </c>
      <c r="W29" s="4"/>
      <c r="X29" s="4"/>
      <c r="Y29" s="4"/>
    </row>
    <row r="30" spans="1:25" ht="22.5">
      <c r="A30" s="1" t="s">
        <v>31</v>
      </c>
      <c r="B30" s="4" t="str">
        <f>'[1]All cause mortality'!$V$5</f>
        <v>0.896                     (0.234 to 3.917)</v>
      </c>
      <c r="C30" s="4"/>
      <c r="D30" s="4"/>
      <c r="E30" s="4"/>
      <c r="F30" s="4" t="str">
        <f>'[1]Myocardial infarction_'!$V$5</f>
        <v>0.385                     (0.156 to 0.801)</v>
      </c>
      <c r="G30" s="4"/>
      <c r="H30" s="4"/>
      <c r="I30" s="4"/>
      <c r="J30" s="4" t="str">
        <f>[1]Stroke!$V$5</f>
        <v>0.592                     (0.371 to 0.951)</v>
      </c>
      <c r="K30" s="4"/>
      <c r="L30" s="4"/>
      <c r="M30" s="4"/>
      <c r="N30" s="4" t="s">
        <v>11</v>
      </c>
      <c r="O30" s="4"/>
      <c r="P30" s="4"/>
      <c r="Q30" s="4"/>
      <c r="R30" s="4" t="str">
        <f>'[1]Heart failure'!$V$5</f>
        <v>0.805                     (0.444 to 1.309)</v>
      </c>
      <c r="S30" s="4"/>
      <c r="T30" s="4"/>
      <c r="U30" s="4"/>
      <c r="V30" s="4" t="s">
        <v>11</v>
      </c>
      <c r="W30" s="4"/>
      <c r="X30" s="4"/>
      <c r="Y30" s="4"/>
    </row>
    <row r="31" spans="1:25" ht="22.5" customHeight="1">
      <c r="A31" s="1" t="s">
        <v>32</v>
      </c>
      <c r="B31" s="4" t="str">
        <f>'[1]All cause mortality'!$U$5</f>
        <v>0.82                     (0.732 to 0.918)</v>
      </c>
      <c r="C31" s="4" t="str">
        <f>CONCATENATE(TEXT(1/1.742,"0.###"),"                     (",TEXT(1/2.957,"0.###"), " to ",TEXT(1/1.194,"0.###"),")")</f>
        <v>0.574                     (0.338 to 0.838)</v>
      </c>
      <c r="D31" s="4" t="str">
        <f>CONCATENATE(TEXT(1/1.182,"0.###"),"                     (",TEXT(1/1.342,"0.###"), " to ",TEXT(1/1.041,"0.###"),")")</f>
        <v>0.846                     (0.745 to 0.961)</v>
      </c>
      <c r="E31" s="4">
        <f>2*(1-0.9694)</f>
        <v>6.1199999999999921E-2</v>
      </c>
      <c r="F31" s="4" t="str">
        <f>'[1]Myocardial infarction_'!$U$5</f>
        <v>0.789                     (0.639 to 0.966)</v>
      </c>
      <c r="G31" s="4" t="str">
        <f>CONCATENATE(TEXT(1/1.104,"0.###"),"                     (",TEXT(1/1.948,"0.###"), " to ",TEXT(1/0.6276,"0.###"),")")</f>
        <v>0.906                     (0.513 to 1.593)</v>
      </c>
      <c r="H31" s="4" t="str">
        <f>CONCATENATE(TEXT(1/1.298,"0.###"),"                     (",TEXT(1/1.615,"0.###"), " to ",TEXT(1/1.034,"0.###"),")")</f>
        <v>0.77                     (0.619 to 0.967)</v>
      </c>
      <c r="I31" s="4">
        <v>0.6</v>
      </c>
      <c r="J31" s="4" t="str">
        <f>[1]Stroke!$U$5</f>
        <v>0.591                     (0.476 to 0.715)</v>
      </c>
      <c r="K31" s="4" t="str">
        <f>CONCATENATE(TEXT(1/1.824,"0.###"),"                     (",TEXT(1/3.037,"0.###"), " to ",TEXT(1/1.126,"0.###"),")")</f>
        <v>0.548                     (0.329 to 0.888)</v>
      </c>
      <c r="L31" s="4" t="str">
        <f>CONCATENATE(TEXT(1/1.672,"0.###"),"                     (",TEXT(1/2.129,"0.###"), " to ",TEXT(1/1.359,"0.###"),")")</f>
        <v>0.598                     (0.47 to 0.736)</v>
      </c>
      <c r="M31" s="4">
        <f>2*(1-0.6215)</f>
        <v>0.7569999999999999</v>
      </c>
      <c r="N31" s="4" t="str">
        <f>[1]Angina!$U$5</f>
        <v>1.433                     (0.138 to 18.073)</v>
      </c>
      <c r="O31" s="4" t="s">
        <v>11</v>
      </c>
      <c r="P31" s="4"/>
      <c r="Q31" s="4"/>
      <c r="R31" s="4" t="str">
        <f>'[1]Heart failure'!$U$5</f>
        <v>0.532                     (0.402 to 0.675)</v>
      </c>
      <c r="S31" s="4" t="str">
        <f>CONCATENATE(TEXT(1/2.074,"0.###"),"                     (",TEXT(1/3.682,"0.###"), " to ",TEXT(1/1.154,"0.###"),")")</f>
        <v>0.482                     (0.272 to 0.867)</v>
      </c>
      <c r="T31" s="4" t="str">
        <f>CONCATENATE(TEXT(1/1.843,"0.###"),"                     (",TEXT(1/2.534,"0.###"), " to ",TEXT(1/1.383,"0.###"),")")</f>
        <v>0.543                     (0.395 to 0.723)</v>
      </c>
      <c r="U31" s="4">
        <f>2*(1-0.6421)</f>
        <v>0.71579999999999999</v>
      </c>
      <c r="V31" s="4" t="s">
        <v>11</v>
      </c>
      <c r="W31" s="4" t="s">
        <v>11</v>
      </c>
      <c r="X31" s="4"/>
      <c r="Y31" s="4"/>
    </row>
    <row r="32" spans="1:25" ht="22.5">
      <c r="A32" s="1" t="s">
        <v>33</v>
      </c>
      <c r="B32" s="4" t="str">
        <f>'[1]All cause mortality'!$S$6</f>
        <v>0.955                     (0.831 to 1.109)</v>
      </c>
      <c r="C32" s="4"/>
      <c r="D32" s="4"/>
      <c r="E32" s="4"/>
      <c r="F32" s="4" t="str">
        <f>'[1]Myocardial infarction_'!$S$6</f>
        <v>1.032                     (0.815 to 1.34)</v>
      </c>
      <c r="G32" s="4"/>
      <c r="H32" s="4"/>
      <c r="I32" s="4"/>
      <c r="J32" s="4" t="str">
        <f>[1]Stroke!$S$6</f>
        <v>0.767                     (0.566 to 1.035)</v>
      </c>
      <c r="K32" s="4"/>
      <c r="L32" s="4"/>
      <c r="M32" s="4"/>
      <c r="N32" s="4" t="str">
        <f>[1]Angina!$S$6</f>
        <v>0.847                     (0.227 to 2.779)</v>
      </c>
      <c r="O32" s="4"/>
      <c r="P32" s="4"/>
      <c r="Q32" s="4"/>
      <c r="R32" s="4" t="str">
        <f>'[1]Heart failure'!$S$6</f>
        <v>0.698                     (0.531 to 0.924)</v>
      </c>
      <c r="S32" s="4"/>
      <c r="T32" s="4"/>
      <c r="U32" s="4"/>
      <c r="V32" s="4" t="s">
        <v>11</v>
      </c>
      <c r="W32" s="4"/>
      <c r="X32" s="4"/>
      <c r="Y32" s="4"/>
    </row>
    <row r="33" spans="1:25" ht="22.5">
      <c r="A33" s="1" t="s">
        <v>34</v>
      </c>
      <c r="B33" s="4" t="str">
        <f>'[1]All cause mortality'!$T$6</f>
        <v>0.996                     (0.907 to 1.1)</v>
      </c>
      <c r="C33" s="4" t="str">
        <f>CONCATENATE(TEXT(1/1.001,"0.###"),"                     (",TEXT(1/1.109,"0.###"), " to ",TEXT(1/0.8907,"0.###"),")")</f>
        <v>0.999                     (0.902 to 1.123)</v>
      </c>
      <c r="D33" s="4" t="str">
        <f>CONCATENATE(TEXT(1/1.034,"0.###"),"                     (",TEXT(1/1.28,"0.###"), " to ",TEXT(1/0.8268,"0.###"),")")</f>
        <v>0.967                     (0.781 to 1.209)</v>
      </c>
      <c r="E33" s="4">
        <v>0.76419999999999999</v>
      </c>
      <c r="F33" s="4" t="str">
        <f>'[1]Myocardial infarction_'!$T$6</f>
        <v>0.87                     (0.738 to 1.061)</v>
      </c>
      <c r="G33" s="4" t="str">
        <f>CONCATENATE(TEXT(1/1.093,"0.###"),"                     (",TEXT(1/1.344,"0.###"), " to ",TEXT(1/0.8401,"0.###"),")")</f>
        <v>0.915                     (0.744 to 1.19)</v>
      </c>
      <c r="H33" s="4" t="str">
        <f>CONCATENATE(TEXT(1/1.303,"0.###"),"                     (",TEXT(1/1.888,"0.###"), " to ",TEXT(1/0.902,"0.###"),")")</f>
        <v>0.767                     (0.53 to 1.109)</v>
      </c>
      <c r="I33" s="4">
        <f>2*0.1867</f>
        <v>0.37340000000000001</v>
      </c>
      <c r="J33" s="4" t="str">
        <f>[1]Stroke!$T$6</f>
        <v>0.914                     (0.754 to 1.109)</v>
      </c>
      <c r="K33" s="4" t="str">
        <f>CONCATENATE(TEXT(1/1.168,"0.###"),"                     (",TEXT(1/1.458,"0.###"), " to ",TEXT(1/0.9498,"0.###"),")")</f>
        <v>0.856                     (0.686 to 1.053)</v>
      </c>
      <c r="L33" s="4" t="str">
        <f>CONCATENATE(TEXT(1/0.8664,"0.###"),"                     (",TEXT(1/1.278,"0.###"), " to ",TEXT(1/0.5877,"0.###"),")")</f>
        <v>1.154                     (0.782 to 1.702)</v>
      </c>
      <c r="M33" s="4">
        <f>2*(1-0.9068)</f>
        <v>0.1863999999999999</v>
      </c>
      <c r="N33" s="4" t="str">
        <f>[1]Angina!$T$6</f>
        <v>0.805                     (0.451 to 2.304)</v>
      </c>
      <c r="O33" s="4" t="str">
        <f>[1]Angina!$T$6</f>
        <v>0.805                     (0.451 to 2.304)</v>
      </c>
      <c r="P33" s="4" t="s">
        <v>49</v>
      </c>
      <c r="Q33" s="4"/>
      <c r="R33" s="4" t="str">
        <f>'[1]Heart failure'!$T$6</f>
        <v>1.098                     (0.87 to 1.306)</v>
      </c>
      <c r="S33" s="4" t="str">
        <f>CONCATENATE(TEXT(1/0.9057,"0.###"),"                     (",TEXT(1/1.179,"0.###"), " to ",TEXT(1/0.7302,"0.###"),")")</f>
        <v>1.104                     (0.848 to 1.369)</v>
      </c>
      <c r="T33" s="4" t="str">
        <f>CONCATENATE(TEXT(1/1.011,"0.###"),"                     (",TEXT(1/1.764,"0.###"), " to ",TEXT(1/0.5983,"0.###"),")")</f>
        <v>0.989                     (0.567 to 1.671)</v>
      </c>
      <c r="U33" s="4">
        <f>2*0.3461</f>
        <v>0.69220000000000004</v>
      </c>
      <c r="V33" s="4" t="str">
        <f>'[1]Diabetes incidence'!$S$6</f>
        <v>1.248                     (1.016 to 1.559)</v>
      </c>
      <c r="W33" s="4" t="str">
        <f>CONCATENATE(TEXT(1/0.7738,"0.###"),"                     (",TEXT(1/0.9356,"0.###"), " to ",TEXT(1/0.5849,"0.###"),")")</f>
        <v>1.292                     (1.069 to 1.71)</v>
      </c>
      <c r="X33" s="4" t="str">
        <f>CONCATENATE(TEXT(1/1.152,"0.###"),"                     (",TEXT(1/2.042,"0.###"), " to ",TEXT(1/0.6697,"0.###"),")")</f>
        <v>0.868                     (0.49 to 1.493)</v>
      </c>
      <c r="Y33" s="4">
        <f>2*0.07233</f>
        <v>0.14466000000000001</v>
      </c>
    </row>
    <row r="34" spans="1:25" ht="22.5">
      <c r="A34" s="1" t="s">
        <v>35</v>
      </c>
      <c r="B34" s="4" t="str">
        <f>'[1]All cause mortality'!$V$6</f>
        <v>0.934                     (0.243 to 4.013)</v>
      </c>
      <c r="C34" s="4"/>
      <c r="D34" s="4"/>
      <c r="E34" s="4"/>
      <c r="F34" s="4" t="str">
        <f>'[1]Myocardial infarction_'!$V$6</f>
        <v>0.39                     (0.157 to 0.8)</v>
      </c>
      <c r="G34" s="4"/>
      <c r="H34" s="4"/>
      <c r="I34" s="4"/>
      <c r="J34" s="4" t="str">
        <f>[1]Stroke!$V$6</f>
        <v>0.55                     (0.353 to 0.866)</v>
      </c>
      <c r="K34" s="4"/>
      <c r="L34" s="4"/>
      <c r="M34" s="4"/>
      <c r="N34" s="4" t="s">
        <v>11</v>
      </c>
      <c r="O34" s="4"/>
      <c r="P34" s="4"/>
      <c r="Q34" s="4"/>
      <c r="R34" s="4" t="str">
        <f>'[1]Heart failure'!$V$6</f>
        <v>0.946                     (0.539 to 1.513)</v>
      </c>
      <c r="S34" s="4"/>
      <c r="T34" s="4"/>
      <c r="U34" s="4"/>
      <c r="V34" s="4" t="s">
        <v>11</v>
      </c>
      <c r="W34" s="4"/>
      <c r="X34" s="4"/>
      <c r="Y34" s="4"/>
    </row>
    <row r="35" spans="1:25" ht="22.5" customHeight="1">
      <c r="A35" s="1" t="s">
        <v>36</v>
      </c>
      <c r="B35" s="4" t="str">
        <f>'[1]All cause mortality'!$U$6</f>
        <v>0.852                     (0.776 to 0.931)</v>
      </c>
      <c r="C35" s="4" t="str">
        <f>CONCATENATE(TEXT(1/1.203,"0.###"),"                     (",TEXT(1/1.474,"0.###"), " to ",TEXT(1/0.9959,"0.###"),")")</f>
        <v>0.831                     (0.678 to 1.004)</v>
      </c>
      <c r="D35" s="4" t="str">
        <f>CONCATENATE(TEXT(1/1.169,"0.###"),"                     (",TEXT(1/1.297,"0.###"), " to ",TEXT(1/1.051,"0.###"),")")</f>
        <v>0.855                     (0.771 to 0.951)</v>
      </c>
      <c r="E35" s="4">
        <f>2*(1-0.6057)</f>
        <v>0.78859999999999997</v>
      </c>
      <c r="F35" s="4" t="str">
        <f>'[1]Myocardial infarction_'!$U$6</f>
        <v>0.796                     (0.67 to 0.951)</v>
      </c>
      <c r="G35" s="4" t="str">
        <f>CONCATENATE(TEXT(1/1.314,"0.###"),"                     (",TEXT(1/1.959,"0.###"), " to ",TEXT(1/0.8731,"0.###"),")")</f>
        <v>0.761                     (0.51 to 1.145)</v>
      </c>
      <c r="H35" s="4" t="str">
        <f>CONCATENATE(TEXT(1/1.252,"0.###"),"                     (",TEXT(1/1.501,"0.###"), " to ",TEXT(1/1.011,"0.###"),")")</f>
        <v>0.799                     (0.666 to 0.989)</v>
      </c>
      <c r="I35" s="4">
        <f>2*(1-0.5882)</f>
        <v>0.82360000000000011</v>
      </c>
      <c r="J35" s="4" t="str">
        <f>[1]Stroke!$U$6</f>
        <v>0.549                     (0.46 to 0.641)</v>
      </c>
      <c r="K35" s="4" t="str">
        <f>CONCATENATE(TEXT(1/1.909,"0.###"),"                     (",TEXT(1/2.581,"0.###"), " to ",TEXT(1/1.417,"0.###"),")")</f>
        <v>0.524                     (0.387 to 0.706)</v>
      </c>
      <c r="L35" s="4" t="str">
        <f>CONCATENATE(TEXT(1/1.791,"0.###"),"                     (",TEXT(1/2.239,"0.###"), " to ",TEXT(1/1.459,"0.###"),")")</f>
        <v>0.558                     (0.447 to 0.685)</v>
      </c>
      <c r="M35" s="4">
        <f>2*(1-0.6215)</f>
        <v>0.7569999999999999</v>
      </c>
      <c r="N35" s="4" t="str">
        <f>[1]Angina!$U$6</f>
        <v>1.445                     (0.157 to 16.442)</v>
      </c>
      <c r="O35" s="4" t="s">
        <v>11</v>
      </c>
      <c r="P35" s="4"/>
      <c r="Q35" s="4"/>
      <c r="R35" s="4" t="str">
        <f>'[1]Heart failure'!$U$6</f>
        <v>0.626                     (0.493 to 0.778)</v>
      </c>
      <c r="S35" s="4" t="str">
        <f>CONCATENATE(TEXT(1/1.329,"0.###"),"                     (",TEXT(1/2.205,"0.###"), " to ",TEXT(1/0.8729,"0.###"),")")</f>
        <v>0.752                     (0.454 to 1.146)</v>
      </c>
      <c r="T35" s="4" t="str">
        <f>CONCATENATE(TEXT(1/1.664,"0.###"),"                     (",TEXT(1/2.217,"0.###"), " to ",TEXT(1/1.286,"0.###"),")")</f>
        <v>0.601                     (0.451 to 0.778)</v>
      </c>
      <c r="U35" s="4">
        <f>2*0.2342</f>
        <v>0.46839999999999998</v>
      </c>
      <c r="V35" s="4" t="s">
        <v>11</v>
      </c>
      <c r="W35" s="4"/>
      <c r="X35" s="4"/>
      <c r="Y35" s="4"/>
    </row>
    <row r="36" spans="1:25" ht="22.5">
      <c r="A36" s="1" t="s">
        <v>37</v>
      </c>
      <c r="B36" s="4" t="str">
        <f>'[1]All cause mortality'!$T$7</f>
        <v>1.041                     (0.883 to 1.225)</v>
      </c>
      <c r="C36" s="4"/>
      <c r="D36" s="4"/>
      <c r="E36" s="4"/>
      <c r="F36" s="4" t="str">
        <f>'[1]Myocardial infarction_'!$T$7</f>
        <v>0.844                     (0.632 to 1.138)</v>
      </c>
      <c r="G36" s="4"/>
      <c r="H36" s="4"/>
      <c r="I36" s="4"/>
      <c r="J36" s="4" t="str">
        <f>[1]Stroke!$T$7</f>
        <v>1.196                     (0.846 to 1.685)</v>
      </c>
      <c r="K36" s="4"/>
      <c r="L36" s="4"/>
      <c r="M36" s="4"/>
      <c r="N36" s="4" t="str">
        <f>[1]Angina!$T$7</f>
        <v>0.952                     (0.291 to 5.705)</v>
      </c>
      <c r="O36" s="4"/>
      <c r="P36" s="4"/>
      <c r="Q36" s="4"/>
      <c r="R36" s="4" t="str">
        <f>'[1]Heart failure'!$T$7</f>
        <v>1.569                     (1.088 to 2.117)</v>
      </c>
      <c r="S36" s="4"/>
      <c r="T36" s="4"/>
      <c r="U36" s="4"/>
      <c r="V36" s="4" t="s">
        <v>11</v>
      </c>
      <c r="W36" s="4"/>
      <c r="X36" s="4"/>
      <c r="Y36" s="4"/>
    </row>
    <row r="37" spans="1:25" ht="22.5">
      <c r="A37" s="1" t="s">
        <v>38</v>
      </c>
      <c r="B37" s="4" t="str">
        <f>'[1]All cause mortality'!$V$7</f>
        <v>0.972                     (0.253 to 4.228)</v>
      </c>
      <c r="C37" s="4"/>
      <c r="D37" s="4"/>
      <c r="E37" s="4"/>
      <c r="F37" s="4" t="str">
        <f>'[1]Myocardial infarction_'!$V$7</f>
        <v>0.377                     (0.149 to 0.794)</v>
      </c>
      <c r="G37" s="4"/>
      <c r="H37" s="4"/>
      <c r="I37" s="4"/>
      <c r="J37" s="4" t="str">
        <f>[1]Stroke!$V$7</f>
        <v>0.725                     (0.428 to 1.227)</v>
      </c>
      <c r="K37" s="4"/>
      <c r="L37" s="4"/>
      <c r="M37" s="4"/>
      <c r="N37" s="4" t="s">
        <v>11</v>
      </c>
      <c r="O37" s="4"/>
      <c r="P37" s="4"/>
      <c r="Q37" s="4"/>
      <c r="R37" s="4" t="str">
        <f>'[1]Heart failure'!$V$7</f>
        <v>1.355                     (0.722 to 2.317)</v>
      </c>
      <c r="S37" s="4"/>
      <c r="T37" s="4"/>
      <c r="U37" s="4"/>
      <c r="V37" s="4" t="s">
        <v>11</v>
      </c>
      <c r="W37" s="4"/>
      <c r="X37" s="4"/>
      <c r="Y37" s="4"/>
    </row>
    <row r="38" spans="1:25" ht="22.5">
      <c r="A38" s="1" t="s">
        <v>39</v>
      </c>
      <c r="B38" s="4" t="str">
        <f>'[1]All cause mortality'!$U$7</f>
        <v>0.89                     (0.765 to 1.028)</v>
      </c>
      <c r="C38" s="4"/>
      <c r="D38" s="4"/>
      <c r="E38" s="4"/>
      <c r="F38" s="4" t="str">
        <f>'[1]Myocardial infarction_'!$U$7</f>
        <v>0.82                     (0.588 to 1.002)</v>
      </c>
      <c r="G38" s="4"/>
      <c r="H38" s="4"/>
      <c r="I38" s="4"/>
      <c r="J38" s="4" t="str">
        <f>[1]Stroke!$U$7</f>
        <v>0.715                     (0.521 to 0.96)</v>
      </c>
      <c r="K38" s="4"/>
      <c r="L38" s="4"/>
      <c r="M38" s="4"/>
      <c r="N38" s="4" t="str">
        <f>[1]Angina!$U$7</f>
        <v>1.771                     (0.167 to 22.732)</v>
      </c>
      <c r="O38" s="4"/>
      <c r="P38" s="4"/>
      <c r="Q38" s="4"/>
      <c r="R38" s="4" t="str">
        <f>'[1]Heart failure'!$U$7</f>
        <v>0.896                     (0.644 to 1.211)</v>
      </c>
      <c r="S38" s="4"/>
      <c r="T38" s="4"/>
      <c r="U38" s="4"/>
      <c r="V38" s="4" t="s">
        <v>11</v>
      </c>
      <c r="W38" s="4"/>
      <c r="X38" s="4"/>
      <c r="Y38" s="4"/>
    </row>
    <row r="39" spans="1:25" ht="22.5">
      <c r="A39" s="1" t="s">
        <v>40</v>
      </c>
      <c r="B39" s="4" t="str">
        <f>'[1]All cause mortality'!$V$8</f>
        <v>0.935                     (0.241 to 4.057)</v>
      </c>
      <c r="C39" s="4" t="str">
        <f>'[1]All cause mortality'!$V$8</f>
        <v>0.935                     (0.241 to 4.057)</v>
      </c>
      <c r="D39" s="4" t="s">
        <v>48</v>
      </c>
      <c r="E39" s="4"/>
      <c r="F39" s="4" t="str">
        <f>'[1]Myocardial infarction_'!$V$8</f>
        <v>0.445                     (0.184 to 0.82)</v>
      </c>
      <c r="G39" s="4" t="str">
        <f>'[1]Myocardial infarction_'!$V$8</f>
        <v>0.445                     (0.184 to 0.82)</v>
      </c>
      <c r="H39" s="4" t="s">
        <v>48</v>
      </c>
      <c r="I39" s="4"/>
      <c r="J39" s="4" t="str">
        <f>[1]Stroke!$V$8</f>
        <v>0.602                     (0.404 to 0.904)</v>
      </c>
      <c r="K39" s="4" t="str">
        <f>[1]Stroke!$V$8</f>
        <v>0.602                     (0.404 to 0.904)</v>
      </c>
      <c r="L39" s="4" t="s">
        <v>48</v>
      </c>
      <c r="M39" s="4"/>
      <c r="N39" s="4" t="s">
        <v>11</v>
      </c>
      <c r="O39" s="4" t="s">
        <v>11</v>
      </c>
      <c r="P39" s="4"/>
      <c r="Q39" s="4"/>
      <c r="R39" s="4" t="str">
        <f>'[1]Heart failure'!$V$8</f>
        <v>0.864                     (0.519 to 1.356)</v>
      </c>
      <c r="S39" s="4" t="str">
        <f>'[1]Heart failure'!$V$8</f>
        <v>0.864                     (0.519 to 1.356)</v>
      </c>
      <c r="T39" s="4" t="s">
        <v>48</v>
      </c>
      <c r="U39" s="4"/>
      <c r="V39" s="4" t="s">
        <v>11</v>
      </c>
      <c r="W39" s="4" t="s">
        <v>11</v>
      </c>
      <c r="X39" s="4"/>
      <c r="Y39" s="4"/>
    </row>
    <row r="40" spans="1:25" ht="22.5">
      <c r="A40" s="1" t="s">
        <v>41</v>
      </c>
      <c r="B40" s="4" t="str">
        <f>'[1]All cause mortality'!$U$8</f>
        <v>0.854                     (0.758 to 0.964)</v>
      </c>
      <c r="C40" s="4"/>
      <c r="D40" s="4"/>
      <c r="E40" s="4"/>
      <c r="F40" s="4" t="str">
        <f>'[1]Myocardial infarction_'!$U$8</f>
        <v>0.912                     (0.724 to 1.136)</v>
      </c>
      <c r="G40" s="4"/>
      <c r="H40" s="4"/>
      <c r="I40" s="4"/>
      <c r="J40" s="4" t="str">
        <f>[1]Stroke!$U$8</f>
        <v>0.6                     (0.47 to 0.749)</v>
      </c>
      <c r="K40" s="4"/>
      <c r="L40" s="4"/>
      <c r="M40" s="4"/>
      <c r="N40" s="4" t="str">
        <f>[1]Angina!$U$8</f>
        <v>1.702                     (0.145 to 20.462)</v>
      </c>
      <c r="O40" s="4"/>
      <c r="P40" s="4"/>
      <c r="Q40" s="4"/>
      <c r="R40" s="4" t="str">
        <f>'[1]Heart failure'!$U$8</f>
        <v>0.574                     (0.436 to 0.769)</v>
      </c>
      <c r="S40" s="4"/>
      <c r="T40" s="4"/>
      <c r="U40" s="4"/>
      <c r="V40" s="4" t="s">
        <v>11</v>
      </c>
      <c r="W40" s="4"/>
      <c r="X40" s="4"/>
      <c r="Y40" s="4"/>
    </row>
    <row r="41" spans="1:25" ht="22.5">
      <c r="A41" s="1" t="s">
        <v>42</v>
      </c>
      <c r="B41" s="4" t="str">
        <f>'[1]All cause mortality'!$U$10</f>
        <v>0.913                     (0.213 to 3.453)</v>
      </c>
      <c r="C41" s="4"/>
      <c r="D41" s="4"/>
      <c r="E41" s="4"/>
      <c r="F41" s="4" t="str">
        <f>'[1]Myocardial infarction_'!$U$10</f>
        <v>2.042                     (0.9955 to 5.131)</v>
      </c>
      <c r="G41" s="4"/>
      <c r="H41" s="4"/>
      <c r="I41" s="4"/>
      <c r="J41" s="4" t="str">
        <f>[1]Stroke!$U$10</f>
        <v>0.9961                     (0.6169 to 1.569)</v>
      </c>
      <c r="K41" s="4"/>
      <c r="L41" s="4"/>
      <c r="M41" s="4"/>
      <c r="N41" s="4" t="s">
        <v>11</v>
      </c>
      <c r="O41" s="4"/>
      <c r="P41" s="4"/>
      <c r="Q41" s="4"/>
      <c r="R41" s="4" t="str">
        <f>'[1]Heart failure'!$U$10</f>
        <v>0.6641                     (0.3922 to 1.183)</v>
      </c>
      <c r="S41" s="4"/>
      <c r="T41" s="4"/>
      <c r="U41" s="4"/>
      <c r="V41" s="4" t="s">
        <v>11</v>
      </c>
      <c r="W41" s="4"/>
      <c r="X41" s="4"/>
      <c r="Y41" s="4"/>
    </row>
  </sheetData>
  <mergeCells count="6">
    <mergeCell ref="V4:Y4"/>
    <mergeCell ref="B4:E4"/>
    <mergeCell ref="F4:I4"/>
    <mergeCell ref="J4:M4"/>
    <mergeCell ref="N4:Q4"/>
    <mergeCell ref="R4:U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Kunnskapssenteret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Odgaard-Jensen</dc:creator>
  <cp:lastModifiedBy>atf</cp:lastModifiedBy>
  <dcterms:created xsi:type="dcterms:W3CDTF">2011-06-23T10:32:58Z</dcterms:created>
  <dcterms:modified xsi:type="dcterms:W3CDTF">2012-03-18T20:36:05Z</dcterms:modified>
</cp:coreProperties>
</file>