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bookViews>
    <workbookView xWindow="1590" yWindow="105" windowWidth="17025" windowHeight="6615" tabRatio="821"/>
  </bookViews>
  <sheets>
    <sheet name="Uncertainty" sheetId="9167" r:id="rId1"/>
    <sheet name="Glossary of Terms" sheetId="9171" r:id="rId2"/>
    <sheet name="Concentration Uncertainties" sheetId="9168" r:id="rId3"/>
    <sheet name="Carbon_Balance" sheetId="9158" r:id="rId4"/>
    <sheet name="Mass Balance Assumptions" sheetId="9165" r:id="rId5"/>
    <sheet name="Flow Rates &amp; Concentrations" sheetId="9157" r:id="rId6"/>
    <sheet name="FLow Rate Uncertainties" sheetId="9166" r:id="rId7"/>
    <sheet name="Yield_Info" sheetId="9160" r:id="rId8"/>
  </sheets>
  <externalReferences>
    <externalReference r:id="rId9"/>
    <externalReference r:id="rId10"/>
  </externalReferences>
  <definedNames>
    <definedName name="Arabinose">'[1]SRS Recov.'!$K$13</definedName>
    <definedName name="Galactose">'[1]SRS Recov.'!$K$12</definedName>
    <definedName name="Glucose">'[1]SRS Recov.'!$K$10</definedName>
    <definedName name="Mannose">'[1]SRS Recov.'!$K$14</definedName>
    <definedName name="_xlnm.Print_Area" localSheetId="3">Carbon_Balance!$A$1:$W$36</definedName>
    <definedName name="_xlnm.Print_Titles" localSheetId="7">Yield_Info!$1:$3</definedName>
    <definedName name="Xylose">'[1]SRS Recov.'!$K$11</definedName>
  </definedNames>
  <calcPr calcId="145621"/>
  <extLst>
    <ext xmlns:mx="http://schemas.microsoft.com/office/mac/excel/2008/main" uri="http://schemas.microsoft.com/office/mac/excel/2008/main">
      <mx:ArchID Flags="2"/>
    </ext>
  </extLst>
</workbook>
</file>

<file path=xl/calcChain.xml><?xml version="1.0" encoding="utf-8"?>
<calcChain xmlns="http://schemas.openxmlformats.org/spreadsheetml/2006/main">
  <c r="G159" i="9167" l="1"/>
  <c r="D8" i="9167" l="1"/>
  <c r="AQ158" i="9167" l="1"/>
  <c r="AR158" i="9167"/>
  <c r="AS158" i="9167"/>
  <c r="AT158" i="9167"/>
  <c r="AU158" i="9167"/>
  <c r="AV158" i="9167"/>
  <c r="AW158" i="9167"/>
  <c r="AQ153" i="9167"/>
  <c r="AR153" i="9167"/>
  <c r="AS153" i="9167"/>
  <c r="AT153" i="9167"/>
  <c r="AU153" i="9167"/>
  <c r="AV153" i="9167"/>
  <c r="AW153" i="9167"/>
  <c r="AP158" i="9167"/>
  <c r="AP153" i="9167"/>
  <c r="AQ146" i="9167"/>
  <c r="AR146" i="9167"/>
  <c r="AS146" i="9167"/>
  <c r="AT146" i="9167"/>
  <c r="AU146" i="9167"/>
  <c r="AV146" i="9167"/>
  <c r="AW146" i="9167"/>
  <c r="AP146" i="9167"/>
  <c r="AQ142" i="9167"/>
  <c r="AR142" i="9167"/>
  <c r="AS142" i="9167"/>
  <c r="AT142" i="9167"/>
  <c r="AU142" i="9167"/>
  <c r="AV142" i="9167"/>
  <c r="AW142" i="9167"/>
  <c r="AP142" i="9167"/>
  <c r="AQ138" i="9167"/>
  <c r="AR138" i="9167"/>
  <c r="AS138" i="9167"/>
  <c r="AT138" i="9167"/>
  <c r="AU138" i="9167"/>
  <c r="AV138" i="9167"/>
  <c r="AW138" i="9167"/>
  <c r="AP138" i="9167"/>
  <c r="AH158" i="9167"/>
  <c r="AI158" i="9167"/>
  <c r="AJ158" i="9167"/>
  <c r="AK158" i="9167"/>
  <c r="AL158" i="9167"/>
  <c r="AM158" i="9167"/>
  <c r="AN158" i="9167"/>
  <c r="AG158" i="9167"/>
  <c r="AH153" i="9167"/>
  <c r="AI153" i="9167"/>
  <c r="AJ153" i="9167"/>
  <c r="AK153" i="9167"/>
  <c r="AL153" i="9167"/>
  <c r="AM153" i="9167"/>
  <c r="AN153" i="9167"/>
  <c r="AG153" i="9167"/>
  <c r="V158" i="9167"/>
  <c r="AD153" i="9167"/>
  <c r="AC153" i="9167"/>
  <c r="AB153" i="9167"/>
  <c r="AA153" i="9167"/>
  <c r="Z153" i="9167"/>
  <c r="Y153" i="9167"/>
  <c r="X153" i="9167"/>
  <c r="V153" i="9167"/>
  <c r="D159" i="9167"/>
  <c r="D154" i="9167"/>
  <c r="D150" i="9167"/>
  <c r="D147" i="9167"/>
  <c r="D143" i="9167"/>
  <c r="D139" i="9167"/>
  <c r="D134" i="9167"/>
  <c r="AH146" i="9167"/>
  <c r="AI146" i="9167"/>
  <c r="AJ146" i="9167"/>
  <c r="AK146" i="9167"/>
  <c r="AL146" i="9167"/>
  <c r="AM146" i="9167"/>
  <c r="AN146" i="9167"/>
  <c r="AG146" i="9167"/>
  <c r="AH142" i="9167"/>
  <c r="AI142" i="9167"/>
  <c r="AJ142" i="9167"/>
  <c r="AK142" i="9167"/>
  <c r="AL142" i="9167"/>
  <c r="AM142" i="9167"/>
  <c r="AN142" i="9167"/>
  <c r="AG142" i="9167"/>
  <c r="W142" i="9167"/>
  <c r="AB142" i="9167"/>
  <c r="V142" i="9167"/>
  <c r="V138" i="9167"/>
  <c r="AM138" i="9167"/>
  <c r="AN138" i="9167"/>
  <c r="AL138" i="9167"/>
  <c r="AK138" i="9167"/>
  <c r="AJ138" i="9167"/>
  <c r="AI138" i="9167"/>
  <c r="AH138" i="9167"/>
  <c r="AG138" i="9167"/>
  <c r="AD133" i="9167"/>
  <c r="AC133" i="9167"/>
  <c r="AB133" i="9167"/>
  <c r="AA133" i="9167"/>
  <c r="Z133" i="9167"/>
  <c r="Y133" i="9167"/>
  <c r="X133" i="9167"/>
  <c r="I102" i="9167" l="1"/>
  <c r="I97" i="9167"/>
  <c r="E110" i="9167" l="1"/>
  <c r="E109" i="9167"/>
  <c r="E106" i="9167"/>
  <c r="E103" i="9167"/>
  <c r="E97" i="9167"/>
  <c r="J28" i="9158" l="1"/>
  <c r="I12" i="9167"/>
  <c r="H13" i="9167"/>
  <c r="H15" i="9167"/>
  <c r="H17" i="9167"/>
  <c r="E30" i="9167"/>
  <c r="H30" i="9167"/>
  <c r="H31" i="9167"/>
  <c r="E36" i="9167"/>
  <c r="H36" i="9167"/>
  <c r="E39" i="9167"/>
  <c r="H39" i="9167"/>
  <c r="I8" i="9167"/>
  <c r="I28" i="9158" l="1"/>
  <c r="G12" i="9158"/>
  <c r="P8" i="9167" s="1"/>
  <c r="C16" i="9158"/>
  <c r="G14" i="9158"/>
  <c r="C17" i="9158"/>
  <c r="G16" i="9158"/>
  <c r="P9" i="9167" s="1"/>
  <c r="I34" i="9158"/>
  <c r="I35" i="9158"/>
  <c r="T13" i="9167" s="1"/>
  <c r="J42" i="9158"/>
  <c r="J32" i="9158"/>
  <c r="F119" i="9167" s="1"/>
  <c r="J41" i="9158"/>
  <c r="N41" i="9158"/>
  <c r="R41" i="9158"/>
  <c r="J40" i="9158"/>
  <c r="H108" i="9167" s="1"/>
  <c r="I38" i="9158"/>
  <c r="N38" i="9158"/>
  <c r="R38" i="9158"/>
  <c r="J30" i="9158"/>
  <c r="O18" i="9158" s="1"/>
  <c r="AF15" i="9158"/>
  <c r="AG15" i="9158" s="1"/>
  <c r="X11" i="9167" s="1"/>
  <c r="AF16" i="9158"/>
  <c r="AG16" i="9158" s="1"/>
  <c r="X12" i="9167" s="1"/>
  <c r="J29" i="9158"/>
  <c r="AF31" i="9158"/>
  <c r="AG31" i="9158" s="1"/>
  <c r="X13" i="9167" s="1"/>
  <c r="AF22" i="9158"/>
  <c r="AG22" i="9158" s="1"/>
  <c r="X16" i="9167" s="1"/>
  <c r="AB41" i="9158"/>
  <c r="AA32" i="9158" s="1"/>
  <c r="AB42" i="9158"/>
  <c r="AB44" i="9158"/>
  <c r="AC32" i="9158" s="1"/>
  <c r="AB45" i="9158"/>
  <c r="AA47" i="9158"/>
  <c r="AC44" i="9158"/>
  <c r="AC41" i="9158"/>
  <c r="AF12" i="9158"/>
  <c r="AG12" i="9158" s="1"/>
  <c r="X9" i="9167" s="1"/>
  <c r="AF30" i="9158"/>
  <c r="AG30" i="9158" s="1"/>
  <c r="AF29" i="9158"/>
  <c r="AF27" i="9158"/>
  <c r="AG27" i="9158" s="1"/>
  <c r="AF10" i="9158"/>
  <c r="AF18" i="9158"/>
  <c r="AG18" i="9158"/>
  <c r="X14" i="9167" s="1"/>
  <c r="AF25" i="9158"/>
  <c r="AF28" i="9158"/>
  <c r="B39" i="9157" s="1"/>
  <c r="B32" i="9158" s="1"/>
  <c r="E33" i="9167" s="1"/>
  <c r="AF21" i="9158"/>
  <c r="AG21" i="9158" s="1"/>
  <c r="X15" i="9167" s="1"/>
  <c r="AF13" i="9158"/>
  <c r="AG13" i="9158" s="1"/>
  <c r="X10" i="9167" s="1"/>
  <c r="AF14" i="9158"/>
  <c r="AF11" i="9158"/>
  <c r="H12" i="9167" s="1"/>
  <c r="AF23" i="9158"/>
  <c r="AG23" i="9158" s="1"/>
  <c r="X17" i="9167" s="1"/>
  <c r="AG20" i="9158"/>
  <c r="AF19" i="9158"/>
  <c r="AG19" i="9158" s="1"/>
  <c r="AF26" i="9158"/>
  <c r="AG26" i="9158" s="1"/>
  <c r="X6" i="9167" s="1"/>
  <c r="AG25" i="9158"/>
  <c r="B3" i="9158"/>
  <c r="B4" i="9158"/>
  <c r="B5" i="9158"/>
  <c r="G13" i="9158"/>
  <c r="J38" i="9158"/>
  <c r="I32" i="9158"/>
  <c r="J31" i="9158"/>
  <c r="I31" i="9158"/>
  <c r="J33" i="9158"/>
  <c r="I33" i="9158"/>
  <c r="O17" i="9158" s="1"/>
  <c r="I30" i="9158"/>
  <c r="E7" i="9158"/>
  <c r="AG11" i="9158"/>
  <c r="X7" i="9167" s="1"/>
  <c r="O14" i="9158"/>
  <c r="U7" i="9167"/>
  <c r="U6" i="9167"/>
  <c r="U9" i="9167"/>
  <c r="U11" i="9167"/>
  <c r="U8" i="9167"/>
  <c r="F72" i="9167"/>
  <c r="I10" i="9168"/>
  <c r="I109" i="9167" s="1"/>
  <c r="H10" i="9168"/>
  <c r="I110" i="9167" s="1"/>
  <c r="G10" i="9168"/>
  <c r="I106" i="9167" s="1"/>
  <c r="I101" i="9167"/>
  <c r="I99" i="9167"/>
  <c r="C22" i="9157"/>
  <c r="B60" i="9157"/>
  <c r="B49" i="9157"/>
  <c r="B34" i="9158" s="1"/>
  <c r="E35" i="9167" s="1"/>
  <c r="B43" i="9157"/>
  <c r="B40" i="9158" s="1"/>
  <c r="E41" i="9167" s="1"/>
  <c r="B46" i="9157"/>
  <c r="B37" i="9158" s="1"/>
  <c r="B61" i="9157"/>
  <c r="B56" i="9157"/>
  <c r="E64" i="9157"/>
  <c r="F62" i="9157" s="1"/>
  <c r="B62" i="9157"/>
  <c r="G16" i="9167" s="1"/>
  <c r="B63" i="9157"/>
  <c r="G17" i="9167" s="1"/>
  <c r="B59" i="9157"/>
  <c r="G13" i="9167" s="1"/>
  <c r="B44" i="9157"/>
  <c r="B45" i="9157"/>
  <c r="B15" i="9167" s="1"/>
  <c r="B47" i="9157"/>
  <c r="B48" i="9157"/>
  <c r="B18" i="9167" s="1"/>
  <c r="B50" i="9157"/>
  <c r="E51" i="9157"/>
  <c r="F47" i="9157" s="1"/>
  <c r="F63" i="9157"/>
  <c r="C50" i="9157"/>
  <c r="C96" i="9157"/>
  <c r="C91" i="9157"/>
  <c r="F64" i="9157"/>
  <c r="F60" i="9157"/>
  <c r="F58" i="9157"/>
  <c r="F56" i="9157"/>
  <c r="F54" i="9157"/>
  <c r="F55" i="9157"/>
  <c r="F57" i="9157"/>
  <c r="F59" i="9157"/>
  <c r="F61" i="9157"/>
  <c r="B17" i="9157"/>
  <c r="C13" i="9158" s="1"/>
  <c r="C237" i="9166"/>
  <c r="D237" i="9166"/>
  <c r="E237" i="9166"/>
  <c r="F237" i="9166"/>
  <c r="M9" i="9167" s="1"/>
  <c r="G237" i="9166"/>
  <c r="M8" i="9167" s="1"/>
  <c r="H237" i="9166"/>
  <c r="M7" i="9167" s="1"/>
  <c r="K237" i="9166"/>
  <c r="L237" i="9166"/>
  <c r="J237" i="9166"/>
  <c r="I237" i="9166"/>
  <c r="M6" i="9167" s="1"/>
  <c r="C236" i="9166"/>
  <c r="B8" i="9157" s="1"/>
  <c r="E6" i="9158" s="1"/>
  <c r="D236" i="9166"/>
  <c r="E236" i="9166"/>
  <c r="F236" i="9166"/>
  <c r="G236" i="9166"/>
  <c r="H236" i="9166"/>
  <c r="B19" i="9157" s="1"/>
  <c r="C15" i="9158" s="1"/>
  <c r="I236" i="9166"/>
  <c r="L6" i="9167" s="1"/>
  <c r="J236" i="9166"/>
  <c r="K236" i="9166"/>
  <c r="L236" i="9166"/>
  <c r="B12" i="9157" s="1"/>
  <c r="J6" i="9158" s="1"/>
  <c r="D17" i="9167"/>
  <c r="I16" i="9167" s="1"/>
  <c r="H16" i="9167" s="1"/>
  <c r="D13" i="9167"/>
  <c r="D11" i="9167"/>
  <c r="D10" i="9167"/>
  <c r="I10" i="9167" s="1"/>
  <c r="H10" i="9167" s="1"/>
  <c r="D9" i="9167"/>
  <c r="I9" i="9167" s="1"/>
  <c r="L12" i="9167"/>
  <c r="M10" i="9167"/>
  <c r="M11" i="9167"/>
  <c r="L8" i="9167"/>
  <c r="L10" i="9167"/>
  <c r="C12" i="9167"/>
  <c r="E43" i="9167"/>
  <c r="I43" i="9167" s="1"/>
  <c r="E76" i="9167"/>
  <c r="H96" i="9167"/>
  <c r="AD158" i="9167"/>
  <c r="W158" i="9167"/>
  <c r="Y158" i="9167"/>
  <c r="Z158" i="9167"/>
  <c r="AA158" i="9167"/>
  <c r="AB158" i="9167"/>
  <c r="AC158" i="9167"/>
  <c r="X158" i="9167"/>
  <c r="W153" i="9167"/>
  <c r="Y146" i="9167"/>
  <c r="Z146" i="9167"/>
  <c r="X146" i="9167"/>
  <c r="AB146" i="9167"/>
  <c r="AC146" i="9167"/>
  <c r="AD146" i="9167"/>
  <c r="V146" i="9167"/>
  <c r="W146" i="9167"/>
  <c r="AA146" i="9167"/>
  <c r="Y142" i="9167"/>
  <c r="Z142" i="9167"/>
  <c r="X142" i="9167"/>
  <c r="AC142" i="9167"/>
  <c r="AD142" i="9167"/>
  <c r="AA142" i="9167"/>
  <c r="Z138" i="9167"/>
  <c r="AC138" i="9167"/>
  <c r="Y138" i="9167"/>
  <c r="X138" i="9167"/>
  <c r="W138" i="9167"/>
  <c r="AB138" i="9167"/>
  <c r="AD138" i="9167"/>
  <c r="AA138" i="9167"/>
  <c r="V133" i="9167"/>
  <c r="W133" i="9167"/>
  <c r="I98" i="9167"/>
  <c r="I103" i="9167"/>
  <c r="I104" i="9167"/>
  <c r="I105" i="9167"/>
  <c r="I107" i="9167"/>
  <c r="I108" i="9167"/>
  <c r="U10" i="9167"/>
  <c r="F59" i="9167"/>
  <c r="E51" i="9167"/>
  <c r="J105" i="9167"/>
  <c r="H102" i="9167"/>
  <c r="H103" i="9167"/>
  <c r="H105" i="9167"/>
  <c r="T7" i="9167"/>
  <c r="T15" i="9167"/>
  <c r="T18" i="9167"/>
  <c r="T19" i="9167"/>
  <c r="T20" i="9167"/>
  <c r="G97" i="9167"/>
  <c r="G103" i="9167"/>
  <c r="G106" i="9167"/>
  <c r="G109" i="9167"/>
  <c r="G110" i="9167"/>
  <c r="I30" i="9167"/>
  <c r="I36" i="9167"/>
  <c r="I39" i="9167"/>
  <c r="E42" i="9167"/>
  <c r="I42" i="9167" s="1"/>
  <c r="H42" i="9167"/>
  <c r="G43" i="9167"/>
  <c r="C20" i="9167"/>
  <c r="C19" i="9167"/>
  <c r="C18" i="9167"/>
  <c r="C16" i="9167"/>
  <c r="F105" i="9167" s="1"/>
  <c r="C15" i="9167"/>
  <c r="C14" i="9167"/>
  <c r="T6" i="9167"/>
  <c r="T12" i="9167"/>
  <c r="H98" i="9167"/>
  <c r="H106" i="9167"/>
  <c r="T8" i="9167"/>
  <c r="B16" i="9167"/>
  <c r="B14" i="9167"/>
  <c r="B17" i="9167"/>
  <c r="B20" i="9167"/>
  <c r="T16" i="9167"/>
  <c r="E82" i="9167"/>
  <c r="H109" i="9167"/>
  <c r="E85" i="9167"/>
  <c r="H110" i="9167"/>
  <c r="E86" i="9167"/>
  <c r="E72" i="9167"/>
  <c r="H101" i="9167"/>
  <c r="E77" i="9167"/>
  <c r="T10" i="9167"/>
  <c r="E73" i="9167"/>
  <c r="E84" i="9167"/>
  <c r="S105" i="9167"/>
  <c r="S102" i="9167"/>
  <c r="E108" i="9167"/>
  <c r="E100" i="9167"/>
  <c r="D8" i="9160"/>
  <c r="D9" i="9160"/>
  <c r="D27" i="9160"/>
  <c r="E62" i="9160"/>
  <c r="E64" i="9160" s="1"/>
  <c r="E63" i="9160"/>
  <c r="D76" i="9160"/>
  <c r="D33" i="9160"/>
  <c r="D94" i="9160"/>
  <c r="D86" i="9160"/>
  <c r="D80" i="9160"/>
  <c r="D39" i="9160"/>
  <c r="E40" i="9160"/>
  <c r="E58" i="9160"/>
  <c r="E59" i="9160"/>
  <c r="E60" i="9160"/>
  <c r="D60" i="9160"/>
  <c r="D75" i="9160"/>
  <c r="D78" i="9160"/>
  <c r="D77" i="9160"/>
  <c r="D73" i="9160"/>
  <c r="E21" i="9160"/>
  <c r="D72" i="9160"/>
  <c r="E38" i="9167" l="1"/>
  <c r="E105" i="9167"/>
  <c r="M105" i="9167" s="1"/>
  <c r="F116" i="9167"/>
  <c r="H97" i="9167"/>
  <c r="F124" i="9167"/>
  <c r="B13" i="9167"/>
  <c r="B19" i="9167"/>
  <c r="B58" i="9157"/>
  <c r="G12" i="9167" s="1"/>
  <c r="E40" i="9158"/>
  <c r="E62" i="9167" s="1"/>
  <c r="G14" i="9167"/>
  <c r="F122" i="9167"/>
  <c r="E37" i="9158"/>
  <c r="E59" i="9167" s="1"/>
  <c r="G15" i="9167"/>
  <c r="L7" i="9167"/>
  <c r="F43" i="9157"/>
  <c r="D92" i="9160" s="1"/>
  <c r="E31" i="9158"/>
  <c r="E53" i="9167" s="1"/>
  <c r="G10" i="9167"/>
  <c r="AG10" i="9158"/>
  <c r="X5" i="9167" s="1"/>
  <c r="C8" i="9167"/>
  <c r="H8" i="9167"/>
  <c r="F50" i="9167" s="1"/>
  <c r="D79" i="9160"/>
  <c r="E102" i="9167"/>
  <c r="T9" i="9167"/>
  <c r="B9" i="9167"/>
  <c r="T11" i="9167"/>
  <c r="H9" i="9167"/>
  <c r="F54" i="9167" s="1"/>
  <c r="B42" i="9157"/>
  <c r="B12" i="9167" s="1"/>
  <c r="B55" i="9157"/>
  <c r="G9" i="9167" s="1"/>
  <c r="F82" i="9167"/>
  <c r="F85" i="9167"/>
  <c r="F86" i="9167"/>
  <c r="F77" i="9167"/>
  <c r="F75" i="9167"/>
  <c r="I96" i="9167"/>
  <c r="F76" i="9167"/>
  <c r="I100" i="9167"/>
  <c r="F102" i="9167"/>
  <c r="F35" i="9167"/>
  <c r="F31" i="9167"/>
  <c r="F98" i="9167"/>
  <c r="M17" i="9167"/>
  <c r="C10" i="9167"/>
  <c r="F38" i="9167"/>
  <c r="C17" i="9167"/>
  <c r="I38" i="9167"/>
  <c r="I35" i="9167"/>
  <c r="J39" i="9167"/>
  <c r="K39" i="9167" s="1"/>
  <c r="L39" i="9167" s="1"/>
  <c r="M102" i="9167"/>
  <c r="J86" i="9167"/>
  <c r="J35" i="9167"/>
  <c r="J59" i="9167"/>
  <c r="C11" i="9167"/>
  <c r="F101" i="9167" s="1"/>
  <c r="I11" i="9167"/>
  <c r="H11" i="9167" s="1"/>
  <c r="F55" i="9167" s="1"/>
  <c r="J85" i="9167"/>
  <c r="I33" i="9167"/>
  <c r="C13" i="9167"/>
  <c r="F108" i="9167" s="1"/>
  <c r="I14" i="9167"/>
  <c r="H14" i="9167" s="1"/>
  <c r="F62" i="9167" s="1"/>
  <c r="J33" i="9167"/>
  <c r="M108" i="9167"/>
  <c r="J38" i="9167"/>
  <c r="J82" i="9167"/>
  <c r="C9" i="9167"/>
  <c r="F100" i="9167" s="1"/>
  <c r="J30" i="9167"/>
  <c r="K30" i="9167" s="1"/>
  <c r="L30" i="9167" s="1"/>
  <c r="J43" i="9167"/>
  <c r="K43" i="9167" s="1"/>
  <c r="L43" i="9167" s="1"/>
  <c r="J36" i="9167"/>
  <c r="K36" i="9167" s="1"/>
  <c r="L36" i="9167" s="1"/>
  <c r="J42" i="9167"/>
  <c r="K42" i="9167" s="1"/>
  <c r="L42" i="9167" s="1"/>
  <c r="J77" i="9167"/>
  <c r="E30" i="9158"/>
  <c r="E52" i="9167" s="1"/>
  <c r="J73" i="9167"/>
  <c r="B22" i="9157"/>
  <c r="L11" i="9167"/>
  <c r="B18" i="9157"/>
  <c r="L9" i="9167"/>
  <c r="O16" i="9158"/>
  <c r="E75" i="9167"/>
  <c r="H99" i="9167"/>
  <c r="I41" i="9167"/>
  <c r="J62" i="9167"/>
  <c r="J41" i="9167"/>
  <c r="K37" i="9167"/>
  <c r="L37" i="9167" s="1"/>
  <c r="K40" i="9167"/>
  <c r="L40" i="9167" s="1"/>
  <c r="E32" i="9158"/>
  <c r="E54" i="9167" s="1"/>
  <c r="J54" i="9167" s="1"/>
  <c r="J84" i="9167"/>
  <c r="J76" i="9167"/>
  <c r="F50" i="9157"/>
  <c r="U18" i="9167"/>
  <c r="AG14" i="9158"/>
  <c r="X8" i="9167" s="1"/>
  <c r="B40" i="9157"/>
  <c r="AG28" i="9158"/>
  <c r="B41" i="9157"/>
  <c r="AG29" i="9158"/>
  <c r="B57" i="9157"/>
  <c r="G11" i="9167" s="1"/>
  <c r="AB32" i="9158"/>
  <c r="AC42" i="9158"/>
  <c r="O15" i="9158"/>
  <c r="H100" i="9167"/>
  <c r="M100" i="9167" s="1"/>
  <c r="F42" i="9157"/>
  <c r="D90" i="9160" s="1"/>
  <c r="F38" i="9157"/>
  <c r="D87" i="9160" s="1"/>
  <c r="F39" i="9157"/>
  <c r="D88" i="9160" s="1"/>
  <c r="F46" i="9157"/>
  <c r="D93" i="9160" s="1"/>
  <c r="F44" i="9157"/>
  <c r="F48" i="9157"/>
  <c r="F45" i="9157"/>
  <c r="F49" i="9157"/>
  <c r="F41" i="9157"/>
  <c r="D89" i="9160" s="1"/>
  <c r="F40" i="9157"/>
  <c r="D91" i="9160" s="1"/>
  <c r="J72" i="9167"/>
  <c r="B54" i="9157"/>
  <c r="G8" i="9167" s="1"/>
  <c r="B38" i="9157"/>
  <c r="B8" i="9167" s="1"/>
  <c r="E29" i="9167" s="1"/>
  <c r="AC45" i="9158"/>
  <c r="AD32" i="9158"/>
  <c r="B16" i="9157"/>
  <c r="B30" i="9158" l="1"/>
  <c r="AF32" i="9158"/>
  <c r="AG32" i="9158" s="1"/>
  <c r="F29" i="9167"/>
  <c r="F96" i="9167"/>
  <c r="F32" i="9167"/>
  <c r="F99" i="9167"/>
  <c r="J29" i="9167"/>
  <c r="F41" i="9167"/>
  <c r="F33" i="9167"/>
  <c r="F34" i="9167"/>
  <c r="J75" i="9167"/>
  <c r="F18" i="9157"/>
  <c r="B24" i="9157"/>
  <c r="F17" i="9157"/>
  <c r="B27" i="9157"/>
  <c r="E97" i="9160"/>
  <c r="C12" i="9158"/>
  <c r="E103" i="9160"/>
  <c r="C18" i="9158"/>
  <c r="E33" i="9158"/>
  <c r="E55" i="9167" s="1"/>
  <c r="J55" i="9167" s="1"/>
  <c r="B51" i="9157"/>
  <c r="F51" i="9157" s="1"/>
  <c r="B28" i="9158"/>
  <c r="B10" i="9157"/>
  <c r="C14" i="9158"/>
  <c r="B11" i="9157"/>
  <c r="E98" i="9160"/>
  <c r="E102" i="9160"/>
  <c r="B64" i="9157"/>
  <c r="E28" i="9158"/>
  <c r="B33" i="9158"/>
  <c r="E34" i="9167" s="1"/>
  <c r="B11" i="9167"/>
  <c r="B31" i="9158"/>
  <c r="E32" i="9167" s="1"/>
  <c r="B10" i="9167"/>
  <c r="D83" i="9160"/>
  <c r="D84" i="9160" s="1"/>
  <c r="L17" i="9167"/>
  <c r="P100" i="9167" s="1"/>
  <c r="F19" i="9157" l="1"/>
  <c r="D85" i="9160"/>
  <c r="E98" i="9167"/>
  <c r="E31" i="9167"/>
  <c r="H72" i="9167"/>
  <c r="I72" i="9167"/>
  <c r="H50" i="9167"/>
  <c r="K76" i="9167"/>
  <c r="K75" i="9167"/>
  <c r="Q100" i="9167"/>
  <c r="I75" i="9167"/>
  <c r="I82" i="9167"/>
  <c r="I85" i="9167"/>
  <c r="H62" i="9167"/>
  <c r="K86" i="9167"/>
  <c r="K73" i="9167"/>
  <c r="H86" i="9167"/>
  <c r="H77" i="9167"/>
  <c r="H55" i="9167"/>
  <c r="H84" i="9167"/>
  <c r="L102" i="9167"/>
  <c r="O102" i="9167"/>
  <c r="Q105" i="9167"/>
  <c r="Q102" i="9167"/>
  <c r="I73" i="9167"/>
  <c r="H82" i="9167"/>
  <c r="K72" i="9167"/>
  <c r="K84" i="9167"/>
  <c r="K102" i="9167"/>
  <c r="N102" i="9167"/>
  <c r="P102" i="9167"/>
  <c r="K105" i="9167"/>
  <c r="O105" i="9167"/>
  <c r="Q108" i="9167"/>
  <c r="I59" i="9167"/>
  <c r="O100" i="9167"/>
  <c r="I55" i="9167"/>
  <c r="H76" i="9167"/>
  <c r="H75" i="9167"/>
  <c r="H73" i="9167"/>
  <c r="I86" i="9167"/>
  <c r="I77" i="9167"/>
  <c r="H59" i="9167"/>
  <c r="K77" i="9167"/>
  <c r="L108" i="9167"/>
  <c r="O108" i="9167"/>
  <c r="L105" i="9167"/>
  <c r="P105" i="9167"/>
  <c r="K108" i="9167"/>
  <c r="I62" i="9167"/>
  <c r="L100" i="9167"/>
  <c r="K85" i="9167"/>
  <c r="K82" i="9167"/>
  <c r="I54" i="9167"/>
  <c r="I84" i="9167"/>
  <c r="P108" i="9167"/>
  <c r="K100" i="9167"/>
  <c r="H85" i="9167"/>
  <c r="I76" i="9167"/>
  <c r="H54" i="9167"/>
  <c r="N105" i="9167"/>
  <c r="N100" i="9167"/>
  <c r="N108" i="9167"/>
  <c r="E44" i="9158"/>
  <c r="E50" i="9167"/>
  <c r="J50" i="9167" s="1"/>
  <c r="C31" i="9158"/>
  <c r="G32" i="9167" s="1"/>
  <c r="H32" i="9167" s="1"/>
  <c r="E99" i="9167"/>
  <c r="M99" i="9167" s="1"/>
  <c r="B28" i="9157"/>
  <c r="E101" i="9167"/>
  <c r="M101" i="9167" s="1"/>
  <c r="C33" i="9158"/>
  <c r="G34" i="9167" s="1"/>
  <c r="H34" i="9167" s="1"/>
  <c r="E8" i="9158"/>
  <c r="D74" i="9160"/>
  <c r="B44" i="9158"/>
  <c r="C28" i="9158"/>
  <c r="E96" i="9167"/>
  <c r="M96" i="9167" s="1"/>
  <c r="J31" i="9167"/>
  <c r="I31" i="9167"/>
  <c r="S41" i="9158"/>
  <c r="S38" i="9158"/>
  <c r="AC53" i="9158"/>
  <c r="AC50" i="9158"/>
  <c r="C40" i="9158"/>
  <c r="C34" i="9158"/>
  <c r="G35" i="9167" s="1"/>
  <c r="H35" i="9167" s="1"/>
  <c r="C37" i="9158"/>
  <c r="G38" i="9167" s="1"/>
  <c r="H38" i="9167" s="1"/>
  <c r="C32" i="9158"/>
  <c r="C30" i="9158"/>
  <c r="B23" i="9157"/>
  <c r="G96" i="9167" l="1"/>
  <c r="G29" i="9167"/>
  <c r="H29" i="9167" s="1"/>
  <c r="S44" i="9158"/>
  <c r="K120" i="9167"/>
  <c r="G33" i="9167"/>
  <c r="H33" i="9167" s="1"/>
  <c r="L101" i="9167"/>
  <c r="L72" i="9167"/>
  <c r="M72" i="9167" s="1"/>
  <c r="I50" i="9167"/>
  <c r="K50" i="9167" s="1"/>
  <c r="L85" i="9167"/>
  <c r="M85" i="9167" s="1"/>
  <c r="P96" i="9167"/>
  <c r="K54" i="9167"/>
  <c r="L54" i="9167" s="1"/>
  <c r="L96" i="9167"/>
  <c r="K96" i="9167"/>
  <c r="N99" i="9167"/>
  <c r="K99" i="9167"/>
  <c r="O99" i="9167"/>
  <c r="Q96" i="9167"/>
  <c r="O96" i="9167"/>
  <c r="N96" i="9167"/>
  <c r="L73" i="9167"/>
  <c r="M73" i="9167" s="1"/>
  <c r="G102" i="9167"/>
  <c r="K35" i="9167"/>
  <c r="L35" i="9167" s="1"/>
  <c r="I34" i="9167"/>
  <c r="J34" i="9167"/>
  <c r="J32" i="9167"/>
  <c r="I32" i="9167"/>
  <c r="G98" i="9167"/>
  <c r="W30" i="9158"/>
  <c r="I29" i="9167"/>
  <c r="R100" i="9167"/>
  <c r="S100" i="9167" s="1"/>
  <c r="G100" i="9167"/>
  <c r="K33" i="9167"/>
  <c r="L33" i="9167" s="1"/>
  <c r="C19" i="9158"/>
  <c r="E99" i="9160"/>
  <c r="B25" i="9157"/>
  <c r="K38" i="9167"/>
  <c r="L38" i="9167" s="1"/>
  <c r="G105" i="9167"/>
  <c r="T105" i="9167" s="1"/>
  <c r="K31" i="9167"/>
  <c r="L31" i="9167" s="1"/>
  <c r="C44" i="9158"/>
  <c r="T44" i="9158" s="1"/>
  <c r="K125" i="9167"/>
  <c r="G101" i="9167"/>
  <c r="P99" i="9167"/>
  <c r="Q101" i="9167"/>
  <c r="L99" i="9167"/>
  <c r="L76" i="9167"/>
  <c r="M76" i="9167" s="1"/>
  <c r="O101" i="9167"/>
  <c r="Q99" i="9167"/>
  <c r="L77" i="9167"/>
  <c r="M77" i="9167" s="1"/>
  <c r="K62" i="9167"/>
  <c r="L62" i="9167" s="1"/>
  <c r="R108" i="9167"/>
  <c r="S108" i="9167" s="1"/>
  <c r="L86" i="9167"/>
  <c r="M86" i="9167" s="1"/>
  <c r="G41" i="9167"/>
  <c r="H41" i="9167" s="1"/>
  <c r="K41" i="9167" s="1"/>
  <c r="L41" i="9167" s="1"/>
  <c r="G108" i="9167"/>
  <c r="G99" i="9167"/>
  <c r="K123" i="9167"/>
  <c r="L82" i="9167"/>
  <c r="M82" i="9167" s="1"/>
  <c r="L84" i="9167"/>
  <c r="M84" i="9167" s="1"/>
  <c r="N101" i="9167"/>
  <c r="K101" i="9167"/>
  <c r="K59" i="9167"/>
  <c r="L59" i="9167" s="1"/>
  <c r="L75" i="9167"/>
  <c r="M75" i="9167" s="1"/>
  <c r="P101" i="9167"/>
  <c r="K55" i="9167"/>
  <c r="L55" i="9167" s="1"/>
  <c r="R96" i="9167" l="1"/>
  <c r="S96" i="9167" s="1"/>
  <c r="L50" i="9167"/>
  <c r="K29" i="9167"/>
  <c r="L29" i="9167" s="1"/>
  <c r="R99" i="9167"/>
  <c r="S99" i="9167" s="1"/>
  <c r="K32" i="9167"/>
  <c r="L32" i="9167" s="1"/>
  <c r="K34" i="9167"/>
  <c r="L34" i="9167" s="1"/>
  <c r="F126" i="9167"/>
  <c r="H126" i="9167"/>
  <c r="I126" i="9167"/>
  <c r="O41" i="9158"/>
  <c r="P41" i="9158" s="1"/>
  <c r="O38" i="9158"/>
  <c r="AC51" i="9158"/>
  <c r="AC52" i="9158" s="1"/>
  <c r="K32" i="9158" s="1"/>
  <c r="R101" i="9167"/>
  <c r="S101" i="9167" s="1"/>
  <c r="B26" i="9157"/>
  <c r="G76" i="9167" l="1"/>
  <c r="L120" i="9167"/>
  <c r="I120" i="9167"/>
  <c r="E101" i="9160"/>
  <c r="E100" i="9160"/>
  <c r="O44" i="9158"/>
  <c r="P44" i="9158" s="1"/>
  <c r="K35" i="9158"/>
  <c r="K34" i="9158"/>
  <c r="K29" i="9158"/>
  <c r="K30" i="9158"/>
  <c r="K41" i="9158"/>
  <c r="K42" i="9158"/>
  <c r="F28" i="9158"/>
  <c r="G50" i="9167" s="1"/>
  <c r="K33" i="9158"/>
  <c r="K28" i="9158"/>
  <c r="K40" i="9158"/>
  <c r="F31" i="9158"/>
  <c r="F33" i="9158"/>
  <c r="F30" i="9158"/>
  <c r="F37" i="9158"/>
  <c r="F32" i="9158"/>
  <c r="F40" i="9158"/>
  <c r="K31" i="9158"/>
  <c r="K38" i="9158"/>
  <c r="O12" i="9158"/>
  <c r="I123" i="9167" l="1"/>
  <c r="J123" i="9167"/>
  <c r="G72" i="9167"/>
  <c r="J116" i="9167"/>
  <c r="V40" i="9158"/>
  <c r="W40" i="9158" s="1"/>
  <c r="G40" i="9158"/>
  <c r="G62" i="9167"/>
  <c r="D54" i="9160"/>
  <c r="J119" i="9167"/>
  <c r="I119" i="9167"/>
  <c r="L32" i="9158"/>
  <c r="J120" i="9167"/>
  <c r="M120" i="9167" s="1"/>
  <c r="J100" i="9167"/>
  <c r="T100" i="9167" s="1"/>
  <c r="D18" i="9160"/>
  <c r="D19" i="9160"/>
  <c r="J103" i="9167"/>
  <c r="D44" i="9160"/>
  <c r="V32" i="9158"/>
  <c r="W32" i="9158" s="1"/>
  <c r="G32" i="9158"/>
  <c r="G54" i="9167"/>
  <c r="D17" i="9160"/>
  <c r="G33" i="9158"/>
  <c r="V33" i="9158"/>
  <c r="W33" i="9158" s="1"/>
  <c r="G55" i="9167"/>
  <c r="D36" i="9160"/>
  <c r="G37" i="9158"/>
  <c r="G59" i="9167"/>
  <c r="D49" i="9160"/>
  <c r="G31" i="9158"/>
  <c r="V31" i="9158"/>
  <c r="W31" i="9158" s="1"/>
  <c r="D30" i="9160"/>
  <c r="L29" i="9158"/>
  <c r="J97" i="9167"/>
  <c r="G73" i="9167"/>
  <c r="D7" i="9160"/>
  <c r="L31" i="9158"/>
  <c r="J99" i="9167"/>
  <c r="T99" i="9167" s="1"/>
  <c r="J122" i="9167"/>
  <c r="I122" i="9167"/>
  <c r="D31" i="9160"/>
  <c r="G75" i="9167"/>
  <c r="D32" i="9160"/>
  <c r="L123" i="9167"/>
  <c r="V30" i="9158"/>
  <c r="G30" i="9158"/>
  <c r="D24" i="9160"/>
  <c r="G84" i="9167"/>
  <c r="L40" i="9158"/>
  <c r="D55" i="9160"/>
  <c r="J108" i="9167"/>
  <c r="T108" i="9167" s="1"/>
  <c r="L42" i="9158"/>
  <c r="G86" i="9167"/>
  <c r="D46" i="9160"/>
  <c r="J110" i="9167"/>
  <c r="L34" i="9158"/>
  <c r="J102" i="9167"/>
  <c r="T102" i="9167" s="1"/>
  <c r="D43" i="9160"/>
  <c r="L41" i="9158"/>
  <c r="G85" i="9167"/>
  <c r="J109" i="9167"/>
  <c r="D20" i="9160"/>
  <c r="L33" i="9158"/>
  <c r="I125" i="9167"/>
  <c r="L125" i="9167"/>
  <c r="G77" i="9167"/>
  <c r="J101" i="9167"/>
  <c r="T101" i="9167" s="1"/>
  <c r="D37" i="9160"/>
  <c r="P124" i="9167" s="1"/>
  <c r="F154" i="9167" s="1"/>
  <c r="I124" i="9167"/>
  <c r="J125" i="9167"/>
  <c r="J124" i="9167"/>
  <c r="D38" i="9160"/>
  <c r="L30" i="9158"/>
  <c r="J98" i="9167"/>
  <c r="D25" i="9160"/>
  <c r="D26" i="9160"/>
  <c r="L28" i="9158"/>
  <c r="K44" i="9158"/>
  <c r="L44" i="9158" s="1"/>
  <c r="J96" i="9167"/>
  <c r="T96" i="9167" s="1"/>
  <c r="I116" i="9167"/>
  <c r="D6" i="9160"/>
  <c r="P116" i="9167" s="1"/>
  <c r="H116" i="9167"/>
  <c r="M116" i="9167" s="1"/>
  <c r="T116" i="9167" s="1"/>
  <c r="D45" i="9160"/>
  <c r="V38" i="9158"/>
  <c r="W38" i="9158" s="1"/>
  <c r="J106" i="9167"/>
  <c r="G82" i="9167"/>
  <c r="D50" i="9160"/>
  <c r="D51" i="9160"/>
  <c r="V28" i="9158"/>
  <c r="F44" i="9158"/>
  <c r="G44" i="9158" s="1"/>
  <c r="G28" i="9158"/>
  <c r="D5" i="9160"/>
  <c r="M123" i="9167" l="1"/>
  <c r="V123" i="9167" s="1"/>
  <c r="T41" i="9158"/>
  <c r="N116" i="9167"/>
  <c r="R116" i="9167" s="1"/>
  <c r="Y125" i="9167"/>
  <c r="P147" i="9167" s="1"/>
  <c r="N123" i="9167"/>
  <c r="G143" i="9167" s="1"/>
  <c r="W123" i="9167"/>
  <c r="W125" i="9167"/>
  <c r="K147" i="9167" s="1"/>
  <c r="D10" i="9160"/>
  <c r="E5" i="9160" s="1"/>
  <c r="D34" i="9160"/>
  <c r="E33" i="9160" s="1"/>
  <c r="D56" i="9160"/>
  <c r="E54" i="9160" s="1"/>
  <c r="V44" i="9158"/>
  <c r="B48" i="9158" s="1"/>
  <c r="W28" i="9158"/>
  <c r="M124" i="9167"/>
  <c r="X125" i="9167"/>
  <c r="L147" i="9167" s="1"/>
  <c r="P123" i="9167"/>
  <c r="F143" i="9167" s="1"/>
  <c r="P120" i="9167"/>
  <c r="F139" i="9167" s="1"/>
  <c r="D47" i="9160"/>
  <c r="E45" i="9160" s="1"/>
  <c r="E55" i="9160"/>
  <c r="M122" i="9167"/>
  <c r="D86" i="9157"/>
  <c r="P125" i="9167"/>
  <c r="F147" i="9167" s="1"/>
  <c r="V125" i="9167"/>
  <c r="J147" i="9167" s="1"/>
  <c r="AP147" i="9167" s="1"/>
  <c r="M125" i="9167"/>
  <c r="D41" i="9160"/>
  <c r="E39" i="9160" s="1"/>
  <c r="D22" i="9160"/>
  <c r="E20" i="9160" s="1"/>
  <c r="E17" i="9160"/>
  <c r="P119" i="9167"/>
  <c r="F134" i="9167" s="1"/>
  <c r="M119" i="9167"/>
  <c r="E25" i="9160"/>
  <c r="E24" i="9160"/>
  <c r="E28" i="9160" s="1"/>
  <c r="D28" i="9160"/>
  <c r="E27" i="9160" s="1"/>
  <c r="P122" i="9167"/>
  <c r="F159" i="9167" s="1"/>
  <c r="D52" i="9160"/>
  <c r="E49" i="9160" s="1"/>
  <c r="E52" i="9160" s="1"/>
  <c r="E32" i="9160" l="1"/>
  <c r="E6" i="9160"/>
  <c r="E18" i="9160"/>
  <c r="W122" i="9167"/>
  <c r="N122" i="9167"/>
  <c r="W124" i="9167"/>
  <c r="N124" i="9167"/>
  <c r="N125" i="9167"/>
  <c r="G147" i="9167" s="1"/>
  <c r="V120" i="9167"/>
  <c r="J139" i="9167" s="1"/>
  <c r="AP139" i="9167" s="1"/>
  <c r="N120" i="9167"/>
  <c r="G139" i="9167" s="1"/>
  <c r="V119" i="9167"/>
  <c r="J134" i="9167" s="1"/>
  <c r="N119" i="9167"/>
  <c r="G134" i="9167" s="1"/>
  <c r="J143" i="9167"/>
  <c r="W116" i="9167"/>
  <c r="E7" i="9160"/>
  <c r="V116" i="9167"/>
  <c r="K143" i="9167"/>
  <c r="W120" i="9167"/>
  <c r="K139" i="9167" s="1"/>
  <c r="W119" i="9167"/>
  <c r="X120" i="9167"/>
  <c r="V124" i="9167"/>
  <c r="J154" i="9167" s="1"/>
  <c r="U116" i="9167"/>
  <c r="V122" i="9167"/>
  <c r="J159" i="9167" s="1"/>
  <c r="AP159" i="9167" s="1"/>
  <c r="E46" i="9160"/>
  <c r="E50" i="9160"/>
  <c r="T119" i="9167"/>
  <c r="L134" i="9167" s="1"/>
  <c r="M134" i="9167" s="1"/>
  <c r="AR134" i="9167" s="1"/>
  <c r="E44" i="9160"/>
  <c r="E36" i="9160"/>
  <c r="E38" i="9160"/>
  <c r="E51" i="9160"/>
  <c r="Y120" i="9167"/>
  <c r="P139" i="9167" s="1"/>
  <c r="T124" i="9167"/>
  <c r="E30" i="9160"/>
  <c r="Y123" i="9167"/>
  <c r="P143" i="9167" s="1"/>
  <c r="E37" i="9160"/>
  <c r="E26" i="9160"/>
  <c r="T122" i="9167"/>
  <c r="E43" i="9160"/>
  <c r="X123" i="9167"/>
  <c r="L143" i="9167" s="1"/>
  <c r="E31" i="9160"/>
  <c r="Q147" i="9167"/>
  <c r="AR147" i="9167" s="1"/>
  <c r="S147" i="9167"/>
  <c r="AS147" i="9167" s="1"/>
  <c r="R147" i="9167"/>
  <c r="AQ147" i="9167" s="1"/>
  <c r="T147" i="9167"/>
  <c r="AT147" i="9167" s="1"/>
  <c r="E19" i="9160"/>
  <c r="M147" i="9167"/>
  <c r="AW147" i="9167" s="1"/>
  <c r="O147" i="9167"/>
  <c r="AU147" i="9167" s="1"/>
  <c r="N147" i="9167"/>
  <c r="AV147" i="9167" s="1"/>
  <c r="E56" i="9160"/>
  <c r="E9" i="9160"/>
  <c r="E8" i="9160"/>
  <c r="E10" i="9160" l="1"/>
  <c r="E22" i="9160"/>
  <c r="AP134" i="9167"/>
  <c r="V134" i="9167"/>
  <c r="AP154" i="9167"/>
  <c r="V143" i="9167"/>
  <c r="AG143" i="9167" s="1"/>
  <c r="AP143" i="9167"/>
  <c r="R124" i="9167"/>
  <c r="H154" i="9167" s="1"/>
  <c r="G154" i="9167"/>
  <c r="V154" i="9167" s="1"/>
  <c r="AG154" i="9167" s="1"/>
  <c r="X134" i="9167"/>
  <c r="AI134" i="9167" s="1"/>
  <c r="V139" i="9167"/>
  <c r="AG139" i="9167" s="1"/>
  <c r="AG134" i="9167"/>
  <c r="W139" i="9167"/>
  <c r="L139" i="9167"/>
  <c r="M139" i="9167" s="1"/>
  <c r="R134" i="9167"/>
  <c r="L159" i="9167"/>
  <c r="S159" i="9167" s="1"/>
  <c r="AW159" i="9167" s="1"/>
  <c r="L154" i="9167"/>
  <c r="S154" i="9167" s="1"/>
  <c r="AW154" i="9167" s="1"/>
  <c r="N139" i="9167"/>
  <c r="AV139" i="9167" s="1"/>
  <c r="R122" i="9167"/>
  <c r="H159" i="9167" s="1"/>
  <c r="S139" i="9167"/>
  <c r="AS139" i="9167" s="1"/>
  <c r="Q139" i="9167"/>
  <c r="R139" i="9167"/>
  <c r="AB139" i="9167" s="1"/>
  <c r="T139" i="9167"/>
  <c r="AT139" i="9167" s="1"/>
  <c r="M143" i="9167"/>
  <c r="AW143" i="9167" s="1"/>
  <c r="O143" i="9167"/>
  <c r="AU143" i="9167" s="1"/>
  <c r="N143" i="9167"/>
  <c r="AV143" i="9167" s="1"/>
  <c r="R123" i="9167"/>
  <c r="H143" i="9167" s="1"/>
  <c r="E34" i="9160"/>
  <c r="AB147" i="9167"/>
  <c r="R125" i="9167"/>
  <c r="E41" i="9160"/>
  <c r="R143" i="9167"/>
  <c r="AQ143" i="9167" s="1"/>
  <c r="T143" i="9167"/>
  <c r="AT143" i="9167" s="1"/>
  <c r="Q143" i="9167"/>
  <c r="AR143" i="9167" s="1"/>
  <c r="S143" i="9167"/>
  <c r="AS143" i="9167" s="1"/>
  <c r="E47" i="9160"/>
  <c r="O154" i="9167"/>
  <c r="AS154" i="9167" s="1"/>
  <c r="R120" i="9167"/>
  <c r="R119" i="9167"/>
  <c r="AQ139" i="9167" l="1"/>
  <c r="AC134" i="9167"/>
  <c r="AM134" i="9167" s="1"/>
  <c r="AV134" i="9167"/>
  <c r="AA139" i="9167"/>
  <c r="AI139" i="9167" s="1"/>
  <c r="AR139" i="9167"/>
  <c r="X139" i="9167"/>
  <c r="AN139" i="9167" s="1"/>
  <c r="AW139" i="9167"/>
  <c r="O139" i="9167"/>
  <c r="R154" i="9167"/>
  <c r="AH139" i="9167"/>
  <c r="Q154" i="9167"/>
  <c r="N154" i="9167"/>
  <c r="Y154" i="9167" s="1"/>
  <c r="M154" i="9167"/>
  <c r="Q159" i="9167"/>
  <c r="P154" i="9167"/>
  <c r="H134" i="9167"/>
  <c r="H139" i="9167"/>
  <c r="R159" i="9167"/>
  <c r="H147" i="9167"/>
  <c r="N134" i="9167"/>
  <c r="P159" i="9167"/>
  <c r="AT159" i="9167" s="1"/>
  <c r="P134" i="9167"/>
  <c r="O159" i="9167"/>
  <c r="Q134" i="9167"/>
  <c r="O134" i="9167"/>
  <c r="M159" i="9167"/>
  <c r="N159" i="9167"/>
  <c r="Y159" i="9167" s="1"/>
  <c r="S134" i="9167"/>
  <c r="Y139" i="9167"/>
  <c r="AM139" i="9167" s="1"/>
  <c r="Z154" i="9167"/>
  <c r="AJ154" i="9167" s="1"/>
  <c r="AD143" i="9167"/>
  <c r="AK143" i="9167" s="1"/>
  <c r="AD154" i="9167"/>
  <c r="AN154" i="9167" s="1"/>
  <c r="W147" i="9167"/>
  <c r="AH147" i="9167" s="1"/>
  <c r="V147" i="9167"/>
  <c r="AG147" i="9167" s="1"/>
  <c r="W143" i="9167"/>
  <c r="AD147" i="9167"/>
  <c r="AK147" i="9167" s="1"/>
  <c r="AA143" i="9167"/>
  <c r="X143" i="9167"/>
  <c r="AD139" i="9167"/>
  <c r="AK139" i="9167" s="1"/>
  <c r="V159" i="9167"/>
  <c r="AG159" i="9167" s="1"/>
  <c r="X147" i="9167"/>
  <c r="AB143" i="9167"/>
  <c r="Y143" i="9167"/>
  <c r="AM143" i="9167" s="1"/>
  <c r="Z147" i="9167"/>
  <c r="AA147" i="9167"/>
  <c r="AD159" i="9167"/>
  <c r="AN159" i="9167" s="1"/>
  <c r="AC147" i="9167"/>
  <c r="AC143" i="9167"/>
  <c r="Y147" i="9167"/>
  <c r="AM147" i="9167" s="1"/>
  <c r="Z143" i="9167"/>
  <c r="AC139" i="9167"/>
  <c r="AA159" i="9167" l="1"/>
  <c r="AK159" i="9167" s="1"/>
  <c r="AD134" i="9167"/>
  <c r="AN134" i="9167" s="1"/>
  <c r="AW134" i="9167"/>
  <c r="Z134" i="9167"/>
  <c r="AJ134" i="9167" s="1"/>
  <c r="AS134" i="9167"/>
  <c r="X154" i="9167"/>
  <c r="AI154" i="9167" s="1"/>
  <c r="AR154" i="9167"/>
  <c r="AC154" i="9167"/>
  <c r="AM154" i="9167" s="1"/>
  <c r="AV154" i="9167"/>
  <c r="Z159" i="9167"/>
  <c r="AJ159" i="9167" s="1"/>
  <c r="AS159" i="9167"/>
  <c r="AA154" i="9167"/>
  <c r="AK154" i="9167" s="1"/>
  <c r="AT154" i="9167"/>
  <c r="AB154" i="9167"/>
  <c r="AL154" i="9167" s="1"/>
  <c r="AU154" i="9167"/>
  <c r="AB134" i="9167"/>
  <c r="AL134" i="9167" s="1"/>
  <c r="AU134" i="9167"/>
  <c r="Z139" i="9167"/>
  <c r="AL139" i="9167" s="1"/>
  <c r="AU139" i="9167"/>
  <c r="X159" i="9167"/>
  <c r="AI159" i="9167" s="1"/>
  <c r="AR159" i="9167"/>
  <c r="AA134" i="9167"/>
  <c r="AK134" i="9167" s="1"/>
  <c r="AT134" i="9167"/>
  <c r="AC159" i="9167"/>
  <c r="AM159" i="9167" s="1"/>
  <c r="AV159" i="9167"/>
  <c r="AB159" i="9167"/>
  <c r="AL159" i="9167" s="1"/>
  <c r="AU159" i="9167"/>
  <c r="AJ143" i="9167"/>
  <c r="AI147" i="9167"/>
  <c r="AH143" i="9167"/>
  <c r="AL143" i="9167"/>
  <c r="AN147" i="9167"/>
  <c r="AJ147" i="9167"/>
  <c r="AL147" i="9167"/>
  <c r="AI143" i="9167"/>
  <c r="AN143" i="9167"/>
  <c r="K154" i="9167"/>
  <c r="AJ139" i="9167"/>
  <c r="K134" i="9167"/>
  <c r="Y134" i="9167"/>
  <c r="K159" i="9167"/>
  <c r="W159" i="9167" l="1"/>
  <c r="AH159" i="9167" s="1"/>
  <c r="AQ159" i="9167"/>
  <c r="W134" i="9167"/>
  <c r="AH134" i="9167" s="1"/>
  <c r="AQ134" i="9167"/>
  <c r="W154" i="9167"/>
  <c r="AH154" i="9167" s="1"/>
  <c r="AQ154" i="9167"/>
</calcChain>
</file>

<file path=xl/comments1.xml><?xml version="1.0" encoding="utf-8"?>
<comments xmlns="http://schemas.openxmlformats.org/spreadsheetml/2006/main">
  <authors>
    <author>dschell</author>
  </authors>
  <commentList>
    <comment ref="B102" authorId="0">
      <text>
        <r>
          <rPr>
            <b/>
            <sz val="8"/>
            <color indexed="81"/>
            <rFont val="Tahoma"/>
            <family val="2"/>
          </rPr>
          <t xml:space="preserve">Unless changes assumes all HMF is derived from sucrose
</t>
        </r>
      </text>
    </comment>
    <comment ref="B103" authorId="0">
      <text>
        <r>
          <rPr>
            <b/>
            <sz val="8"/>
            <color indexed="81"/>
            <rFont val="Tahoma"/>
            <family val="2"/>
          </rPr>
          <t xml:space="preserve">Unless changed assumes all HMF is derived from sucrose
</t>
        </r>
      </text>
    </comment>
    <comment ref="B104" authorId="0">
      <text>
        <r>
          <rPr>
            <b/>
            <sz val="8"/>
            <color indexed="81"/>
            <rFont val="Tahoma"/>
            <family val="2"/>
          </rPr>
          <t>Unless changed assumes all HMF is derived from sucrose</t>
        </r>
      </text>
    </comment>
    <comment ref="B105" authorId="0">
      <text>
        <r>
          <rPr>
            <b/>
            <sz val="8"/>
            <color indexed="81"/>
            <rFont val="Tahoma"/>
            <family val="2"/>
          </rPr>
          <t>Unless changed assumes all furfural is derived from xylose</t>
        </r>
      </text>
    </comment>
    <comment ref="A107" authorId="0">
      <text>
        <r>
          <rPr>
            <b/>
            <sz val="8"/>
            <color indexed="81"/>
            <rFont val="Tahoma"/>
            <family val="2"/>
          </rPr>
          <t>Used to normalize yields for input into Aspen</t>
        </r>
      </text>
    </comment>
    <comment ref="B116" authorId="0">
      <text>
        <r>
          <rPr>
            <b/>
            <sz val="8"/>
            <color indexed="81"/>
            <rFont val="Tahoma"/>
            <family val="2"/>
          </rPr>
          <t>Table contains glucose data, assumed to well model the density of hydrolysate based on total sugars, ref: CRC handbook of chemistry and physics, 53rd edition, page D-192</t>
        </r>
      </text>
    </comment>
  </commentList>
</comments>
</file>

<file path=xl/comments2.xml><?xml version="1.0" encoding="utf-8"?>
<comments xmlns="http://schemas.openxmlformats.org/spreadsheetml/2006/main">
  <authors>
    <author>A satisfied Microsoft Office user</author>
  </authors>
  <commentList>
    <comment ref="C50" authorId="0">
      <text>
        <r>
          <rPr>
            <sz val="8"/>
            <color indexed="81"/>
            <rFont val="Tahoma"/>
            <family val="2"/>
          </rPr>
          <t>Acetate tied up in Oligomeric Polymers</t>
        </r>
      </text>
    </comment>
  </commentList>
</comments>
</file>

<file path=xl/sharedStrings.xml><?xml version="1.0" encoding="utf-8"?>
<sst xmlns="http://schemas.openxmlformats.org/spreadsheetml/2006/main" count="1180" uniqueCount="656">
  <si>
    <t>23 Sep 2009  12:13:57 p.m.</t>
  </si>
  <si>
    <t>23 Sep 2009  12:14:27 p.m.</t>
  </si>
  <si>
    <t>23 Sep 2009  12:14:57 p.m.</t>
  </si>
  <si>
    <t>23 Sep 2009  12:15:27 p.m.</t>
  </si>
  <si>
    <t>23 Sep 2009  12:15:57 p.m.</t>
  </si>
  <si>
    <t>23 Sep 2009  12:16:27 p.m.</t>
  </si>
  <si>
    <t>23 Sep 2009  12:16:57 p.m.</t>
  </si>
  <si>
    <t>23 Sep 2009  12:17:27 p.m.</t>
  </si>
  <si>
    <t>23 Sep 2009  12:52:27 p.m.</t>
  </si>
  <si>
    <t>23 Sep 2009  12:52:57 p.m.</t>
  </si>
  <si>
    <t>23 Sep 2009  12:53:27 p.m.</t>
  </si>
  <si>
    <t>23 Sep 2009  12:53:57 p.m.</t>
  </si>
  <si>
    <t>23 Sep 2009  12:54:27 p.m.</t>
  </si>
  <si>
    <t xml:space="preserve">Glucan </t>
  </si>
  <si>
    <t xml:space="preserve">Xylan </t>
  </si>
  <si>
    <t xml:space="preserve">Galactan </t>
  </si>
  <si>
    <t xml:space="preserve">Arabinan </t>
  </si>
  <si>
    <t>23 Sep 2009  12:22:27 p.m.</t>
  </si>
  <si>
    <t>23 Sep 2009  12:22:57 p.m.</t>
  </si>
  <si>
    <t>23 Sep 2009  11:43:27 a.m.</t>
  </si>
  <si>
    <t>23 Sep 2009  11:43:57 a.m.</t>
  </si>
  <si>
    <t>23 Sep 2009  11:44:27 a.m.</t>
  </si>
  <si>
    <t>23 Sep 2009  11:44:57 a.m.</t>
  </si>
  <si>
    <t>23 Sep 2009  11:45:27 a.m.</t>
  </si>
  <si>
    <t>23 Sep 2009  11:45:57 a.m.</t>
  </si>
  <si>
    <t>23 Sep 2009  11:46:27 a.m.</t>
  </si>
  <si>
    <t>23 Sep 2009  11:46:57 a.m.</t>
  </si>
  <si>
    <t>23 Sep 2009  12:40:27 p.m.</t>
  </si>
  <si>
    <t>23 Sep 2009  12:44:27 p.m.</t>
  </si>
  <si>
    <t>23 Sep 2009  12:44:57 p.m.</t>
  </si>
  <si>
    <t>23 Sep 2009  12:45:27 p.m.</t>
  </si>
  <si>
    <t>23 Sep 2009  12:45:57 p.m.</t>
  </si>
  <si>
    <t>23 Sep 2009  12:46:27 p.m.</t>
  </si>
  <si>
    <t>23 Sep 2009  12:46:57 p.m.</t>
  </si>
  <si>
    <t>23 Sep 2009  12:47:27 p.m.</t>
  </si>
  <si>
    <t>23 Sep 2009  12:47:57 p.m.</t>
  </si>
  <si>
    <t>23 Sep 2009  11:51:57 a.m.</t>
  </si>
  <si>
    <t>23 Sep 2009  11:52:27 a.m.</t>
  </si>
  <si>
    <t>Xylan to Oligomeric Xylose</t>
  </si>
  <si>
    <t xml:space="preserve"> </t>
  </si>
  <si>
    <t>Arabinan to Arabinose</t>
  </si>
  <si>
    <t>Acetate to Acetic Acid</t>
  </si>
  <si>
    <t>c_PLTG</t>
  </si>
  <si>
    <t>Pasted from "Liquor Analysis 10 - 14 - 09, tab "Average whole mass closure</t>
    <phoneticPr fontId="43" type="noConversion"/>
  </si>
  <si>
    <t>Compound (x)</t>
  </si>
  <si>
    <t>c_PLx</t>
  </si>
  <si>
    <t>c_PLTx</t>
  </si>
  <si>
    <t>C_PLx</t>
  </si>
  <si>
    <t>C_Ux</t>
  </si>
  <si>
    <t>Steam input(kg/h)</t>
  </si>
  <si>
    <t>23 Sep 2009  12:05:57 p.m.</t>
  </si>
  <si>
    <t>23 Sep 2009  12:06:27 p.m.</t>
  </si>
  <si>
    <t>23 Sep 2009  12:06:57 p.m.</t>
  </si>
  <si>
    <t>23 Sep 2009  12:07:27 p.m.</t>
  </si>
  <si>
    <t>23 Sep 2009  12:36:27 p.m.</t>
  </si>
  <si>
    <t>23 Sep 2009  12:36:57 p.m.</t>
  </si>
  <si>
    <t>23 Sep 2009  12:37:27 p.m.</t>
  </si>
  <si>
    <t>23 Sep 2009  12:37:57 p.m.</t>
  </si>
  <si>
    <t>23 Sep 2009  12:38:27 p.m.</t>
  </si>
  <si>
    <t>23 Sep 2009  12:38:57 p.m.</t>
  </si>
  <si>
    <t>23 Sep 2009  12:39:27 p.m.</t>
  </si>
  <si>
    <t>23 Sep 2009  12:39:57 p.m.</t>
  </si>
  <si>
    <t>Uncertainty Coefficients</t>
  </si>
  <si>
    <t>23 Sep 2009  11:12:57 a.m.</t>
  </si>
  <si>
    <t>23 Sep 2009  11:13:27 a.m.</t>
  </si>
  <si>
    <t>23 Sep 2009  11:13:57 a.m.</t>
  </si>
  <si>
    <t>23 Sep 2009  11:14:27 a.m.</t>
  </si>
  <si>
    <t>23 Sep 2009  11:14:57 a.m.</t>
  </si>
  <si>
    <t>23 Sep 2009  11:15:27 a.m.</t>
  </si>
  <si>
    <t>23 Sep 2009  11:15:57 a.m.</t>
  </si>
  <si>
    <t>23 Sep 2009  11:16:27 a.m.</t>
  </si>
  <si>
    <t>23 Sep 2009  12:17:57 p.m.</t>
  </si>
  <si>
    <t>Pretreated liquour density (g/ml)</t>
  </si>
  <si>
    <t>Total(Sq)</t>
  </si>
  <si>
    <t>f_PSx</t>
  </si>
  <si>
    <t>23 Sep 2009  11:20:57 a.m.</t>
  </si>
  <si>
    <t>23 Sep 2009  11:21:27 a.m.</t>
  </si>
  <si>
    <t>23 Sep 2009  12:23:27 p.m.</t>
  </si>
  <si>
    <t>23 Sep 2009  12:23:57 p.m.</t>
  </si>
  <si>
    <t>23 Sep 2009  12:24:27 p.m.</t>
  </si>
  <si>
    <t>23 Sep 2009  12:24:57 p.m.</t>
  </si>
  <si>
    <t>23 Sep 2009  12:25:27 p.m.</t>
  </si>
  <si>
    <t>23 Sep 2009  12:25:57 p.m.</t>
  </si>
  <si>
    <t>Cellulose to Oligomeric Glucan</t>
  </si>
  <si>
    <t>Cellulose to Glucose</t>
  </si>
  <si>
    <t>Cellulose to HMF</t>
  </si>
  <si>
    <t>Assumed</t>
  </si>
  <si>
    <t>Xylan to Xylose</t>
  </si>
  <si>
    <t>Reaction Name</t>
  </si>
  <si>
    <t>Xylan to Furfural</t>
  </si>
  <si>
    <t>Galactan to Oligomeric Galactose</t>
  </si>
  <si>
    <t>Galactan to Galactose</t>
  </si>
  <si>
    <t>Arabinan to Oligomeric Arabinose</t>
  </si>
  <si>
    <t>23 Sep 2009  12:33:27 p.m.</t>
  </si>
  <si>
    <t>23 Sep 2009  12:33:57 p.m.</t>
  </si>
  <si>
    <t>23 Sep 2009  12:34:27 p.m.</t>
  </si>
  <si>
    <t>23 Sep 2009  12:34:57 p.m.</t>
  </si>
  <si>
    <t>23 Sep 2009  12:35:27 p.m.</t>
  </si>
  <si>
    <t>23 Sep 2009  12:35:57 p.m.</t>
  </si>
  <si>
    <t>23 Sep 2009  11:35:27 a.m.</t>
  </si>
  <si>
    <t>23 Sep 2009  11:35:57 a.m.</t>
  </si>
  <si>
    <t>23 Sep 2009  11:36:27 a.m.</t>
  </si>
  <si>
    <t>23 Sep 2009  11:36:57 a.m.</t>
  </si>
  <si>
    <t>23 Sep 2009  11:37:27 a.m.</t>
  </si>
  <si>
    <t>c_PLTA</t>
  </si>
  <si>
    <t>23 Sep 2009  12:43:57 p.m.</t>
  </si>
  <si>
    <t>23 Sep 2009  11:42:57 a.m.</t>
  </si>
  <si>
    <t>Mannose to HMF Yield</t>
  </si>
  <si>
    <t>-</t>
  </si>
  <si>
    <t>Galactose:</t>
  </si>
  <si>
    <t>Cellulose Derived Glucose to HMF Yield</t>
  </si>
  <si>
    <t>See mass balance assumption sheet (Glucose balance includes both cellulose and sucrose)</t>
  </si>
  <si>
    <t>Monomer/Total Sugar Ratios (%)</t>
  </si>
  <si>
    <t>23 Sep 2009  11:47:27 a.m.</t>
  </si>
  <si>
    <t>23 Sep 2009  12:48:27 p.m.</t>
  </si>
  <si>
    <t>23 Sep 2009  12:48:57 p.m.</t>
  </si>
  <si>
    <t>23 Sep 2009  12:49:27 p.m.</t>
  </si>
  <si>
    <t>23 Sep 2009  12:49:57 p.m.</t>
  </si>
  <si>
    <t>23 Sep 2009  12:50:27 p.m.</t>
  </si>
  <si>
    <t>23 Sep 2009  12:50:57 p.m.</t>
  </si>
  <si>
    <t>23 Sep 2009  12:51:27 p.m.</t>
  </si>
  <si>
    <t>23 Sep 2009  12:51:57 p.m.</t>
  </si>
  <si>
    <t>23 Sep 2009  11:52:57 a.m.</t>
  </si>
  <si>
    <t>23 Sep 2009  11:53:27 a.m.</t>
  </si>
  <si>
    <t>23 Sep 2009  11:53:57 a.m.</t>
  </si>
  <si>
    <t>23 Sep 2009  11:54:27 a.m.</t>
  </si>
  <si>
    <t>23 Sep 2009  11:54:57 a.m.</t>
  </si>
  <si>
    <t>23 Sep 2009  11:55:27 a.m.</t>
  </si>
  <si>
    <t xml:space="preserve">Mannan </t>
  </si>
  <si>
    <t xml:space="preserve">Ash </t>
  </si>
  <si>
    <t xml:space="preserve">Lignin </t>
  </si>
  <si>
    <t xml:space="preserve">Acetyl </t>
  </si>
  <si>
    <t xml:space="preserve">Protein </t>
  </si>
  <si>
    <t xml:space="preserve">Uronic Acid </t>
  </si>
  <si>
    <t xml:space="preserve">Structural Inorganics </t>
  </si>
  <si>
    <t xml:space="preserve">Soil </t>
  </si>
  <si>
    <t xml:space="preserve">Sucrose </t>
  </si>
  <si>
    <t>Water/EtOH Extractives</t>
  </si>
  <si>
    <t>Carbon Molecular Weights</t>
  </si>
  <si>
    <t>Value</t>
  </si>
  <si>
    <t>Uncertainty</t>
  </si>
  <si>
    <t>Feed Flow(Biomass)(kg/h)</t>
  </si>
  <si>
    <t>f_FSC</t>
  </si>
  <si>
    <t>Name</t>
  </si>
  <si>
    <t>Total (Sq)</t>
  </si>
  <si>
    <t>23 Sep 2009  12:02:57 p.m.</t>
  </si>
  <si>
    <t>23 Sep 2009  12:03:27 p.m.</t>
  </si>
  <si>
    <t>23 Sep 2009  12:03:57 p.m.</t>
  </si>
  <si>
    <t>23 Sep 2009  12:04:27 p.m.</t>
  </si>
  <si>
    <t>23 Sep 2009  12:04:57 p.m.</t>
  </si>
  <si>
    <t>23 Sep 2009  12:05:27 p.m.</t>
  </si>
  <si>
    <t>23 Sep 2009  11:04:57 a.m.</t>
  </si>
  <si>
    <t>23 Sep 2009  11:05:27 a.m.</t>
  </si>
  <si>
    <t>23 Sep 2009  11:05:57 a.m.</t>
  </si>
  <si>
    <t>23 Sep 2009  11:06:27 a.m.</t>
  </si>
  <si>
    <t>23 Sep 2009  11:06:57 a.m.</t>
  </si>
  <si>
    <t>23 Sep 2009  12:07:57 p.m.</t>
  </si>
  <si>
    <t>23 Sep 2009  12:08:27 p.m.</t>
  </si>
  <si>
    <t>23 Sep 2009  12:08:57 p.m.</t>
  </si>
  <si>
    <t>23 Sep 2009  12:09:27 p.m.</t>
  </si>
  <si>
    <t>23 Sep 2009  12:09:57 p.m.</t>
  </si>
  <si>
    <t>Water input(kg/h)</t>
  </si>
  <si>
    <t>Flash Vapor(kg/h)</t>
  </si>
  <si>
    <t>Sunds Vent(kg/h)</t>
  </si>
  <si>
    <t>Acid Input(L/h)</t>
  </si>
  <si>
    <t>U_c_PLTx</t>
  </si>
  <si>
    <t>23 Sep 2009  12:13:27 p.m.</t>
  </si>
  <si>
    <t>23 Sep 2009  11:12:27 a.m.</t>
  </si>
  <si>
    <t>Water Fraction of Mixed Substream</t>
  </si>
  <si>
    <t>Unknown Soluble Solids Frac. of Mixed</t>
  </si>
  <si>
    <t>CISOLID Substream Fraction of Total</t>
  </si>
  <si>
    <t>Cellulose Fraction of CISOLID</t>
  </si>
  <si>
    <t>Xylan Fraction of CISOLID</t>
  </si>
  <si>
    <t>Arabinan Fraction of CISOLID</t>
  </si>
  <si>
    <t>23 Sep 2009  11:16:57 a.m.</t>
  </si>
  <si>
    <t>23 Sep 2009  12:18:27 p.m.</t>
  </si>
  <si>
    <t>23 Sep 2009  12:18:57 p.m.</t>
  </si>
  <si>
    <t>23 Sep 2009  12:19:27 p.m.</t>
  </si>
  <si>
    <t>23 Sep 2009  12:19:57 p.m.</t>
  </si>
  <si>
    <t>23 Sep 2009  12:20:27 p.m.</t>
  </si>
  <si>
    <t>23 Sep 2009  12:20:57 p.m.</t>
  </si>
  <si>
    <t>23 Sep 2009  12:21:27 p.m.</t>
  </si>
  <si>
    <t>23 Sep 2009  12:21:57 p.m.</t>
  </si>
  <si>
    <t>Hydrolysate Slurry to Dry Feed (Ratio)</t>
  </si>
  <si>
    <t>Hydrolysate Solids to Dry Feed (Ratio)</t>
  </si>
  <si>
    <t>23 Sep 2009  11:21:57 a.m.</t>
  </si>
  <si>
    <t>23 Sep 2009  11:22:27 a.m.</t>
  </si>
  <si>
    <t>23 Sep 2009  11:22:57 a.m.</t>
  </si>
  <si>
    <t>23 Sep 2009  11:23:27 a.m.</t>
  </si>
  <si>
    <t>23 Sep 2009  11:23:57 a.m.</t>
  </si>
  <si>
    <t>23 Sep 2009  11:24:27 a.m.</t>
  </si>
  <si>
    <t>23 Sep 2009  12:26:27 p.m.</t>
  </si>
  <si>
    <t>23 Sep 2009  12:26:57 p.m.</t>
  </si>
  <si>
    <t>23 Sep 2009  12:27:27 p.m.</t>
  </si>
  <si>
    <t>23 Sep 2009  12:27:57 p.m.</t>
  </si>
  <si>
    <t>23 Sep 2009  12:28:27 p.m.</t>
  </si>
  <si>
    <t>23 Sep 2009  12:28:57 p.m.</t>
  </si>
  <si>
    <t>23 Sep 2009  12:29:27 p.m.</t>
  </si>
  <si>
    <t>23 Sep 2009  12:29:57 p.m.</t>
  </si>
  <si>
    <t>23 Sep 2009  12:30:27 p.m.</t>
  </si>
  <si>
    <t>23 Sep 2009  12:30:57 p.m.</t>
  </si>
  <si>
    <t>23 Sep 2009  12:31:27 p.m.</t>
  </si>
  <si>
    <t>23 Sep 2009  12:31:57 p.m.</t>
  </si>
  <si>
    <t>23 Sep 2009  12:32:27 p.m.</t>
  </si>
  <si>
    <t>23 Sep 2009  12:32:57 p.m.</t>
  </si>
  <si>
    <t>23 Sep 2009  11:32:27 a.m.</t>
  </si>
  <si>
    <t>23 Sep 2009  11:32:57 a.m.</t>
  </si>
  <si>
    <t>23 Sep 2009  11:33:27 a.m.</t>
  </si>
  <si>
    <t>23 Sep 2009  11:33:57 a.m.</t>
  </si>
  <si>
    <t>23 Sep 2009  11:34:27 a.m.</t>
  </si>
  <si>
    <t>23 Sep 2009  11:34:57 a.m.</t>
  </si>
  <si>
    <t>Unknown Soluble Solids? (To be added for feedstocks other than corn stover)</t>
  </si>
  <si>
    <t>OAcyl</t>
  </si>
  <si>
    <t>Glucan (% Dry Weight)</t>
  </si>
  <si>
    <t>23 Sep 2009  11:37:57 a.m.</t>
  </si>
  <si>
    <t>23 Sep 2009  11:38:27 a.m.</t>
  </si>
  <si>
    <t>23 Sep 2009  11:38:57 a.m.</t>
  </si>
  <si>
    <t>23 Sep 2009  11:39:27 a.m.</t>
  </si>
  <si>
    <t>23 Sep 2009  12:40:57 p.m.</t>
  </si>
  <si>
    <t>23 Sep 2009  12:41:27 p.m.</t>
  </si>
  <si>
    <t>23 Sep 2009  12:41:57 p.m.</t>
  </si>
  <si>
    <t>23 Sep 2009  12:42:27 p.m.</t>
  </si>
  <si>
    <t>23 Sep 2009  12:42:57 p.m.</t>
  </si>
  <si>
    <t>23 Sep 2009  12:43:27 p.m.</t>
  </si>
  <si>
    <t>23 Sep 2009  11:41:57 a.m.</t>
  </si>
  <si>
    <t>23 Sep 2009  11:42:27 a.m.</t>
  </si>
  <si>
    <t>Formula Weights</t>
  </si>
  <si>
    <t>Run Conditions:</t>
  </si>
  <si>
    <t>Formula</t>
  </si>
  <si>
    <t>C-mole</t>
  </si>
  <si>
    <t>Component</t>
  </si>
  <si>
    <t>C</t>
  </si>
  <si>
    <t>H</t>
  </si>
  <si>
    <t>O</t>
  </si>
  <si>
    <t>N</t>
  </si>
  <si>
    <t>OMe</t>
  </si>
  <si>
    <t>Weight (g)</t>
  </si>
  <si>
    <t>Hydrolyzer Acid Concentration (%):</t>
  </si>
  <si>
    <t>Input Data:</t>
  </si>
  <si>
    <t>Calculated Results:</t>
  </si>
  <si>
    <t>Glucose</t>
  </si>
  <si>
    <t>Mannose</t>
  </si>
  <si>
    <t>Cellulose to Glucose Yield</t>
  </si>
  <si>
    <t>23 Sep 2009  11:47:57 a.m.</t>
  </si>
  <si>
    <t>23 Sep 2009  11:48:27 a.m.</t>
  </si>
  <si>
    <t>23 Sep 2009  11:48:57 a.m.</t>
  </si>
  <si>
    <t>23 Sep 2009  11:49:27 a.m.</t>
  </si>
  <si>
    <t>23 Sep 2009  11:49:57 a.m.</t>
  </si>
  <si>
    <t>23 Sep 2009  11:50:27 a.m.</t>
  </si>
  <si>
    <t>23 Sep 2009  11:50:57 a.m.</t>
  </si>
  <si>
    <t>23 Sep 2009  11:51:27 a.m.</t>
  </si>
  <si>
    <t>Acetic Acid</t>
  </si>
  <si>
    <t>Arabinose:</t>
  </si>
  <si>
    <t>Formic Adid</t>
  </si>
  <si>
    <t>Mannose:</t>
  </si>
  <si>
    <t>Lactic Acid</t>
  </si>
  <si>
    <t>Lignin</t>
  </si>
  <si>
    <t>P090923CS</t>
  </si>
  <si>
    <t>23 Sep 2009  11:55:57 a.m.</t>
  </si>
  <si>
    <t>23 Sep 2009  11:56:27 a.m.</t>
  </si>
  <si>
    <t>23 Sep 2009  11:56:57 a.m.</t>
  </si>
  <si>
    <t>23 Sep 2009  11:57:27 a.m.</t>
  </si>
  <si>
    <t>23 Sep 2009  11:57:57 a.m.</t>
  </si>
  <si>
    <t>23 Sep 2009  11:58:27 a.m.</t>
  </si>
  <si>
    <t>23 Sep 2009  11:58:57 a.m.</t>
  </si>
  <si>
    <t>23 Sep 2009  11:59:27 a.m.</t>
  </si>
  <si>
    <t>23 Sep 2009  11:59:57 a.m.</t>
  </si>
  <si>
    <t>23 Sep 2009  12:00:27 p.m.</t>
  </si>
  <si>
    <t>23 Sep 2009  12:00:57 p.m.</t>
  </si>
  <si>
    <t>23 Sep 2009  12:01:27 p.m.</t>
  </si>
  <si>
    <t>23 Sep 2009  12:01:57 p.m.</t>
  </si>
  <si>
    <t>23 Sep 2009  12:02:27 p.m.</t>
  </si>
  <si>
    <t>23 Sep 2009  11:01:57 a.m.</t>
  </si>
  <si>
    <t>23 Sep 2009  11:02:27 a.m.</t>
  </si>
  <si>
    <t>23 Sep 2009  11:02:57 a.m.</t>
  </si>
  <si>
    <t>23 Sep 2009  11:03:27 a.m.</t>
  </si>
  <si>
    <t>23 Sep 2009  11:03:57 a.m.</t>
  </si>
  <si>
    <t>23 Sep 2009  11:04:27 a.m.</t>
  </si>
  <si>
    <t>Soluble Solids</t>
  </si>
  <si>
    <t>ASPEN Set Points</t>
  </si>
  <si>
    <t>Pretreatment Temperature (C)</t>
  </si>
  <si>
    <t>Fortran SETSPEC</t>
  </si>
  <si>
    <t>Acid Concentration (acid / solids)</t>
  </si>
  <si>
    <t>23 Sep 2009  11:07:27 a.m.</t>
  </si>
  <si>
    <t>23 Sep 2009  11:07:57 a.m.</t>
  </si>
  <si>
    <t>23 Sep 2009  11:08:27 a.m.</t>
  </si>
  <si>
    <t>23 Sep 2009  11:08:57 a.m.</t>
  </si>
  <si>
    <t>23 Sep 2009  12:10:27 p.m.</t>
  </si>
  <si>
    <t>23 Sep 2009  12:10:57 p.m.</t>
  </si>
  <si>
    <t>23 Sep 2009  12:11:27 p.m.</t>
  </si>
  <si>
    <t>23 Sep 2009  12:11:57 p.m.</t>
  </si>
  <si>
    <t>23 Sep 2009  12:12:27 p.m.</t>
  </si>
  <si>
    <t>23 Sep 2009  12:12:57 p.m.</t>
  </si>
  <si>
    <t>23 Sep 2009  11:11:27 a.m.</t>
  </si>
  <si>
    <t>23 Sep 2009  11:11:57 a.m.</t>
  </si>
  <si>
    <t>Total Flow Entering SUNDS (kg/hr)</t>
  </si>
  <si>
    <t>Acid Flow Rate (FT-201-1, kg/h):</t>
  </si>
  <si>
    <t>Solids Flow to Flash Tank (kg/hr)</t>
  </si>
  <si>
    <t>Steam to Hydrolyzer (FT-204-1, kg/h):</t>
  </si>
  <si>
    <t>Liquid Flow to Flash Tank (kg/hr)</t>
  </si>
  <si>
    <t>Galactan Fraction of CISOLID</t>
  </si>
  <si>
    <t>Lignin Fraction of CISOLID</t>
  </si>
  <si>
    <t>Mannan Fraction of CISOLID</t>
  </si>
  <si>
    <t>23 Sep 2009  11:17:27 a.m.</t>
  </si>
  <si>
    <t>23 Sep 2009  11:17:57 a.m.</t>
  </si>
  <si>
    <t>23 Sep 2009  11:18:27 a.m.</t>
  </si>
  <si>
    <t>23 Sep 2009  11:18:57 a.m.</t>
  </si>
  <si>
    <t>23 Sep 2009  11:19:27 a.m.</t>
  </si>
  <si>
    <t>23 Sep 2009  11:19:57 a.m.</t>
  </si>
  <si>
    <t>23 Sep 2009  11:20:27 a.m.</t>
  </si>
  <si>
    <t>Water to Flash Tank (FT-205-1, kg/h):</t>
  </si>
  <si>
    <t>Heat Capacity of Solids (kJ/kg C)</t>
  </si>
  <si>
    <t>Input</t>
  </si>
  <si>
    <t>Water Addition before Pretreatment to Dry Feed (Ratio)</t>
  </si>
  <si>
    <t>Water Addition to Flash Tank to Dry Feed (Ratio)</t>
  </si>
  <si>
    <t>Hydrolysate Slurry pH</t>
  </si>
  <si>
    <t>Sample #:</t>
  </si>
  <si>
    <t>23 Sep 2009  11:24:57 a.m.</t>
  </si>
  <si>
    <t>23 Sep 2009  11:25:27 a.m.</t>
  </si>
  <si>
    <t>23 Sep 2009  11:25:57 a.m.</t>
  </si>
  <si>
    <t>23 Sep 2009  11:26:27 a.m.</t>
  </si>
  <si>
    <t>23 Sep 2009  11:26:57 a.m.</t>
  </si>
  <si>
    <t>23 Sep 2009  11:27:27 a.m.</t>
  </si>
  <si>
    <t>23 Sep 2009  11:27:57 a.m.</t>
  </si>
  <si>
    <t>23 Sep 2009  11:28:27 a.m.</t>
  </si>
  <si>
    <t>23 Sep 2009  11:28:57 a.m.</t>
  </si>
  <si>
    <t>23 Sep 2009  11:29:27 a.m.</t>
  </si>
  <si>
    <t>23 Sep 2009  11:29:57 a.m.</t>
  </si>
  <si>
    <t>23 Sep 2009  11:30:27 a.m.</t>
  </si>
  <si>
    <t>23 Sep 2009  11:30:57 a.m.</t>
  </si>
  <si>
    <t>23 Sep 2009  11:31:27 a.m.</t>
  </si>
  <si>
    <t>23 Sep 2009  11:31:57 a.m.</t>
  </si>
  <si>
    <t>Protein (g/L)</t>
  </si>
  <si>
    <t>Uronic Acid (g/L)</t>
  </si>
  <si>
    <t>Assumption</t>
  </si>
  <si>
    <t>Soluble Protein</t>
  </si>
  <si>
    <t>Structural Inorganics (% Dry Weight)</t>
  </si>
  <si>
    <t>Soil (% Dry Weight)</t>
  </si>
  <si>
    <t>Structural Inorganics+Soil</t>
  </si>
  <si>
    <t>Galactose -- Total (g equiv. monomer/L)</t>
  </si>
  <si>
    <t>Arabinose -- Total (g equiv. monomer/L)</t>
  </si>
  <si>
    <t>Mannose -- Total (g equiv. monomer/L)</t>
  </si>
  <si>
    <t>Acetate -- Total (g equiv. monomer/L)</t>
  </si>
  <si>
    <t>Xylan (% Dry Weight)</t>
  </si>
  <si>
    <t>Galactan (% Dry Weight)</t>
  </si>
  <si>
    <t>Arabinan (% Dry Weight)</t>
  </si>
  <si>
    <t>Mannan (% Dry Weight)</t>
  </si>
  <si>
    <t>23 Sep 2009  11:39:57 a.m.</t>
  </si>
  <si>
    <t>23 Sep 2009  11:40:27 a.m.</t>
  </si>
  <si>
    <t>23 Sep 2009  11:40:57 a.m.</t>
  </si>
  <si>
    <t>23 Sep 2009  11:41:27 a.m.</t>
  </si>
  <si>
    <t>Fructose (g/L)</t>
  </si>
  <si>
    <t>Acetyl (% Dry Weight)</t>
  </si>
  <si>
    <t>Acetyl</t>
  </si>
  <si>
    <t>Sucrose</t>
  </si>
  <si>
    <t>Fructose</t>
  </si>
  <si>
    <t>Xylose -- Total (g equiv. monomer/L)</t>
  </si>
  <si>
    <t>c_PLTx</t>
    <phoneticPr fontId="43" type="noConversion"/>
  </si>
  <si>
    <t>Galactan to HMF Yield</t>
  </si>
  <si>
    <t>Arabinan to Furfural Yield</t>
  </si>
  <si>
    <t>Tar Yields</t>
  </si>
  <si>
    <t>Assumes all HMF derived from sucrose unless changed on input sheet [cells (102-104)]</t>
  </si>
  <si>
    <t>Assumes all glucose derived from sucrose unless changed on input sheet [cell 101]</t>
  </si>
  <si>
    <t>Hydrolyzate Insoluble Solids (%):</t>
  </si>
  <si>
    <t>Lime Concentration (%):</t>
  </si>
  <si>
    <t>Glucose:</t>
  </si>
  <si>
    <t>Galactose</t>
  </si>
  <si>
    <t>Furfural</t>
  </si>
  <si>
    <t>Carbon Balance: Pretreatment</t>
  </si>
  <si>
    <t>HMF</t>
  </si>
  <si>
    <t>Unpretreated</t>
  </si>
  <si>
    <t>Pretreated</t>
  </si>
  <si>
    <t>Cellulose</t>
  </si>
  <si>
    <t>Dry Feed</t>
  </si>
  <si>
    <t>Carbon In</t>
  </si>
  <si>
    <t>Level (%)</t>
  </si>
  <si>
    <t>Head Space Temp. (°C)</t>
  </si>
  <si>
    <t>Lower Space Temp (°C)</t>
  </si>
  <si>
    <t>Pressure (psig)</t>
  </si>
  <si>
    <t>Acid (L/hr)</t>
  </si>
  <si>
    <t>Water (kg/hr)</t>
  </si>
  <si>
    <t>Steam (kg/hr)</t>
  </si>
  <si>
    <t>Biomass (kg/hr)</t>
  </si>
  <si>
    <t>Vent (kg/hr)</t>
  </si>
  <si>
    <t>Flash Vapor (kg/hr)</t>
  </si>
  <si>
    <t>Flash Tank Temp (°C)</t>
  </si>
  <si>
    <t>23 Sep 2009  10:57:57 a.m.</t>
  </si>
  <si>
    <t>23 Sep 2009  10:58:27 a.m.</t>
  </si>
  <si>
    <t>23 Sep 2009  10:58:57 a.m.</t>
  </si>
  <si>
    <t>23 Sep 2009  10:59:27 a.m.</t>
  </si>
  <si>
    <t>23 Sep 2009  10:59:57 a.m.</t>
  </si>
  <si>
    <t>23 Sep 2009  11:00:27 a.m.</t>
  </si>
  <si>
    <t>23 Sep 2009  11:00:57 a.m.</t>
  </si>
  <si>
    <t>23 Sep 2009  11:01:27 a.m.</t>
  </si>
  <si>
    <t>To</t>
  </si>
  <si>
    <t>Yield</t>
  </si>
  <si>
    <t>Oligomeric Glucan</t>
  </si>
  <si>
    <t>Totals</t>
  </si>
  <si>
    <t>Starch</t>
  </si>
  <si>
    <t>N/A</t>
  </si>
  <si>
    <t>Oligomeric Xylan</t>
  </si>
  <si>
    <t>------</t>
  </si>
  <si>
    <t>Oligomeric Mannose</t>
  </si>
  <si>
    <t>Oligomeric Galactose</t>
  </si>
  <si>
    <t>Oligomeric Arabinan</t>
  </si>
  <si>
    <t>Total</t>
  </si>
  <si>
    <t>Run Designation</t>
  </si>
  <si>
    <t>Run #:</t>
  </si>
  <si>
    <t>Date:</t>
  </si>
  <si>
    <t>Time:</t>
  </si>
  <si>
    <t>Run Conditions</t>
  </si>
  <si>
    <t>Hydrolyzer Temp (C) :</t>
  </si>
  <si>
    <t>Hydrolyzer Residence Time (min) :</t>
  </si>
  <si>
    <t>Acid Concentration (acid / liquids)</t>
  </si>
  <si>
    <t>Preatreatment Time (min)</t>
  </si>
  <si>
    <t>Total Solids in Impregnator</t>
  </si>
  <si>
    <t>Fortran RECYCLE</t>
  </si>
  <si>
    <t>Pretreatment Insol Solids Concentration</t>
  </si>
  <si>
    <t>23 Sep 2009  11:09:27 a.m.</t>
  </si>
  <si>
    <t>23 Sep 2009  11:09:57 a.m.</t>
  </si>
  <si>
    <t>23 Sep 2009  11:10:27 a.m.</t>
  </si>
  <si>
    <t>23 Sep 2009  11:10:57 a.m.</t>
  </si>
  <si>
    <t>Mixed Substream Fraction of Total</t>
  </si>
  <si>
    <t>Stream 101</t>
  </si>
  <si>
    <t>Water to Pug Mill (FT-250-1, kg/h):</t>
  </si>
  <si>
    <t>Xylan to Tar Yield</t>
  </si>
  <si>
    <t>Closes Xylose Bal.</t>
  </si>
  <si>
    <t>Arabinan to Tar Yield</t>
  </si>
  <si>
    <t>PDU Pretreatment Carbon Balance</t>
  </si>
  <si>
    <t>Feed Solids Concentration (%):</t>
  </si>
  <si>
    <t>Solids Solubilized (%):</t>
  </si>
  <si>
    <t>Xylose</t>
  </si>
  <si>
    <t>V-201 Acid Concentration (%):</t>
  </si>
  <si>
    <t>Arabinose</t>
  </si>
  <si>
    <t>Acetate Fraction of CISOLID</t>
  </si>
  <si>
    <t>Ash Fraction of CISOLID</t>
  </si>
  <si>
    <t>ASPEN Checks</t>
  </si>
  <si>
    <t>Steam to Dry Feed (Flow Ratio)</t>
  </si>
  <si>
    <t>Acid to Dry Feed (Flow Ratio)</t>
  </si>
  <si>
    <t>Flash to Dry Feed (Flow Ratio)</t>
  </si>
  <si>
    <t>Lime Slurry to Flash Tank (FT-201-3 kg/h):</t>
  </si>
  <si>
    <t>Sunds Vent (kg/h):</t>
  </si>
  <si>
    <t>Heat Capacity of Liquids (kJ/kg C)</t>
  </si>
  <si>
    <t>Flash Vapor (kg/h):</t>
  </si>
  <si>
    <t>Heat of Vaporization @ Flash Temp(kJ/kg)</t>
  </si>
  <si>
    <t>Hydrolyzer Total Solids Conc. (%)</t>
  </si>
  <si>
    <t>Lab Data</t>
  </si>
  <si>
    <t>Plant Floor Data</t>
  </si>
  <si>
    <t>Hydrolyzer Acid Loading (g acid/g dry biomass):</t>
  </si>
  <si>
    <t>Density</t>
  </si>
  <si>
    <t>Protein (% Dry Weight)</t>
  </si>
  <si>
    <t>Uronic Acid (% Dry Weight)</t>
  </si>
  <si>
    <t>Density Lookup Table</t>
  </si>
  <si>
    <t>(g/mL)</t>
  </si>
  <si>
    <t>Conc. of Total Sugars</t>
  </si>
  <si>
    <t>SUNDS Summary</t>
  </si>
  <si>
    <t>Analytical Data</t>
  </si>
  <si>
    <t>Unpretreated Feedstock Concentrations</t>
  </si>
  <si>
    <t>Normalized</t>
  </si>
  <si>
    <t>Glucan (% Dry Weight As Free Sugar)</t>
  </si>
  <si>
    <t>Xylan (% Dry Weight As Free Sugar)</t>
  </si>
  <si>
    <t>Galactan (% Dry Weight As Free Sugar)</t>
  </si>
  <si>
    <t>Arabinan (% Dry Weight As Free Sugar)</t>
  </si>
  <si>
    <t>Mannan (% Dry Weight As Free Sugar)</t>
  </si>
  <si>
    <t>Lignin (% Dry Weight)</t>
  </si>
  <si>
    <t>Ash (% Dry Weight)</t>
  </si>
  <si>
    <t>Sum (with Corrections)</t>
  </si>
  <si>
    <t>Pretreated Solids Concentrations</t>
  </si>
  <si>
    <t>Lignin (g/L)</t>
  </si>
  <si>
    <t>Other Soluble Solids (g/L)</t>
  </si>
  <si>
    <t>Flash Concentrations</t>
  </si>
  <si>
    <t>SUNDS Vent Concentrations</t>
  </si>
  <si>
    <t>Byproduct Yields</t>
  </si>
  <si>
    <t>Hydrolysate Total Solids (mass %)</t>
  </si>
  <si>
    <t>Sucrose (% Dry Weight)</t>
  </si>
  <si>
    <t>Water/EtOH Extractives (% Dry Weight)</t>
  </si>
  <si>
    <t>Sucrose (g/L)</t>
  </si>
  <si>
    <t>Reaction yields</t>
    <phoneticPr fontId="0" type="noConversion"/>
  </si>
  <si>
    <t>Assumptions below:</t>
    <phoneticPr fontId="0" type="noConversion"/>
  </si>
  <si>
    <t>Some Aspen info at bottom.</t>
    <phoneticPr fontId="0" type="noConversion"/>
  </si>
  <si>
    <t>STANDARD DEVIATION</t>
    <phoneticPr fontId="43" type="noConversion"/>
  </si>
  <si>
    <t>Total Solids to Reactor (kg/h):</t>
  </si>
  <si>
    <t>Total Liquids From Flash (kg/h):</t>
  </si>
  <si>
    <t>Slurry Flow from Flash (kg/h):</t>
  </si>
  <si>
    <t>Total Liquids to Hydrolyzer (kg/h):</t>
  </si>
  <si>
    <t>Miscellaneous Concentrations</t>
  </si>
  <si>
    <t>Feed Solids Concentration (mass %):</t>
  </si>
  <si>
    <t>V-201 Acid Concentration (mass %):</t>
  </si>
  <si>
    <t>Lime Concentration (mass %):</t>
  </si>
  <si>
    <t>Hydrolysate Insoluble Solids (mass %):</t>
  </si>
  <si>
    <t>Xylose:</t>
  </si>
  <si>
    <t>Lime to Flash Tank (FT-201-3 kg/h):</t>
  </si>
  <si>
    <t>In Solids</t>
  </si>
  <si>
    <t>In Liquid</t>
  </si>
  <si>
    <t>In Flash</t>
  </si>
  <si>
    <t>In Sunds Vent</t>
  </si>
  <si>
    <t>Cellobiose</t>
  </si>
  <si>
    <t>(% dry weight)</t>
  </si>
  <si>
    <t>(C-mole/h)</t>
  </si>
  <si>
    <t>(% C in Feed)</t>
  </si>
  <si>
    <t>(g/L mon.)</t>
  </si>
  <si>
    <t>(g/L total)</t>
  </si>
  <si>
    <t>(g/L)</t>
  </si>
  <si>
    <t>Mannan</t>
  </si>
  <si>
    <t>Xylan</t>
  </si>
  <si>
    <t>Arabinan</t>
  </si>
  <si>
    <t>Galactan</t>
  </si>
  <si>
    <t>Biomass</t>
  </si>
  <si>
    <t>Sulfuric Acid</t>
  </si>
  <si>
    <t>Calcium Hydroxide</t>
  </si>
  <si>
    <t>Calcium Sulfate</t>
  </si>
  <si>
    <t>Acetate</t>
  </si>
  <si>
    <t>%</t>
  </si>
  <si>
    <t>moles</t>
  </si>
  <si>
    <t>Ash</t>
  </si>
  <si>
    <t>C - RECOVERY:</t>
  </si>
  <si>
    <t>Total Flow from Flash (kg/h):</t>
  </si>
  <si>
    <t>Acid Soluble Lignin</t>
  </si>
  <si>
    <t>Protein</t>
  </si>
  <si>
    <t>Oligomeric Acetate</t>
  </si>
  <si>
    <t>Tar</t>
  </si>
  <si>
    <t>Measured</t>
  </si>
  <si>
    <t>From</t>
  </si>
  <si>
    <t>Sum</t>
  </si>
  <si>
    <t>Pretreated Liquor Concentrations</t>
  </si>
  <si>
    <t>Density (g/mL)</t>
  </si>
  <si>
    <t>Cellobiose (g/L)</t>
  </si>
  <si>
    <t>Glucose -- Monomeric (g/L)</t>
  </si>
  <si>
    <t>Xylose -- Monomeric (g/L)</t>
  </si>
  <si>
    <t>Galactose -- Monomeric (g/L)</t>
  </si>
  <si>
    <t>Arabinose -- Monomeric (g/L)</t>
  </si>
  <si>
    <t>Mannose -- Monomeric (g/L)</t>
  </si>
  <si>
    <t>Acetic Acid (g/L)</t>
  </si>
  <si>
    <t>HMF(g/L)</t>
  </si>
  <si>
    <t>Furfural (g/L)</t>
  </si>
  <si>
    <t>Glucose -- Total (g equiv. monomer/L)</t>
  </si>
  <si>
    <t>Hydrolyzer Acid Concentration (mass %):</t>
  </si>
  <si>
    <t>Calculation</t>
  </si>
  <si>
    <t>Flash Tank Temp. (C):</t>
  </si>
  <si>
    <t>Flow Rates</t>
  </si>
  <si>
    <t>Feed Flow Rate (SA-150,kg/h):</t>
  </si>
  <si>
    <t>Total Solids Concentration After Dilution</t>
  </si>
  <si>
    <t>Block T203BL</t>
  </si>
  <si>
    <t>Overliming Addition (kg/h)</t>
  </si>
  <si>
    <t>Stream 227 Mass Flow</t>
  </si>
  <si>
    <t>Feed Mass Fractions</t>
  </si>
  <si>
    <t>f_IS</t>
  </si>
  <si>
    <t>INPUTS</t>
  </si>
  <si>
    <t>Material Flow Rates and Density</t>
  </si>
  <si>
    <r>
      <rPr>
        <b/>
        <i/>
        <sz val="10"/>
        <rFont val="Arial"/>
        <family val="2"/>
      </rPr>
      <t>Unpretreated</t>
    </r>
    <r>
      <rPr>
        <b/>
        <sz val="10"/>
        <rFont val="Arial"/>
        <family val="2"/>
      </rPr>
      <t xml:space="preserve"> Feedstock Concentrations, mass fraction</t>
    </r>
  </si>
  <si>
    <r>
      <rPr>
        <b/>
        <i/>
        <sz val="10"/>
        <rFont val="Arial"/>
        <family val="2"/>
      </rPr>
      <t xml:space="preserve">Pretreated </t>
    </r>
    <r>
      <rPr>
        <b/>
        <sz val="10"/>
        <rFont val="Arial"/>
        <family val="2"/>
      </rPr>
      <t>Solids Concentrations, mass fraction</t>
    </r>
  </si>
  <si>
    <t>Flow of slurry from flash (kg/h)</t>
  </si>
  <si>
    <t>Solids Fractions, mass fraction</t>
  </si>
  <si>
    <t>Mass fraction, oligomer basis</t>
  </si>
  <si>
    <t>Mass fraction, "free sugar" basis</t>
  </si>
  <si>
    <t>Calculate uncertainty in pretreated LIQUID stream on a carbon mole flow/free sugar basis</t>
  </si>
  <si>
    <t>Color Coding:</t>
  </si>
  <si>
    <t>Input uncertainty values</t>
  </si>
  <si>
    <t>Uncertainty in the Unpretreated carbon mole flow of each compound</t>
  </si>
  <si>
    <t>Uncertainty in the Pretreated Solid carbon mole flow of each compound</t>
  </si>
  <si>
    <t>Uncertainty in the Pretreated Liquid carbon mole flow of each compound</t>
  </si>
  <si>
    <t>Total (Uncertainty^2)</t>
  </si>
  <si>
    <t>F_Sf</t>
  </si>
  <si>
    <t>Uncertainty coefficients</t>
  </si>
  <si>
    <t>f_Ux</t>
  </si>
  <si>
    <t>F_f</t>
  </si>
  <si>
    <t>Uncertainty, f_Ux measurement</t>
  </si>
  <si>
    <t>Mass fraction of component "x" in the unpretreated, feed stream</t>
  </si>
  <si>
    <t>Feed solids concentration -- the mass fraction of the (unpretreated) feed stream that is solids</t>
  </si>
  <si>
    <t>Fraction of insoluble solids -- the mass fraction of a stream that is water-insoluble solids</t>
  </si>
  <si>
    <t>Feed flow rate (kg/h)</t>
  </si>
  <si>
    <t>Mass fraction in pretreated solids, f_PSx</t>
  </si>
  <si>
    <t>Mass fraction of component "x" in the solids part of the pretreated stream</t>
  </si>
  <si>
    <t>Calculate uncertainty in carbon mole flow rates of each component in the pretreated SOLID stream</t>
  </si>
  <si>
    <t>Calculate uncertainty in the carbon mole flow rate of each component in the feed ("unpretreated") stream</t>
  </si>
  <si>
    <t>Total flow rate of slurry that exist the pretreatment unit</t>
  </si>
  <si>
    <t>Concentration of component "x" (monomers only) in the pretreated liquid (g/L)</t>
  </si>
  <si>
    <t>rho_PL</t>
  </si>
  <si>
    <t>The density of the liquid component of the pretreated stream</t>
  </si>
  <si>
    <t>Calculate uncertainty in carbon mole ratio for each component.  The carbon mole ratio is the ratio of carbon flow of a component in the pretreated liquid to the carbon mole flow of that component in the unpretreated slurry. This term is used to calculate many reaction conversions.</t>
  </si>
  <si>
    <t>C_Ux (c-mol/h)</t>
  </si>
  <si>
    <t>Uncertainty of carbon mole flow rate (C_Ux)</t>
  </si>
  <si>
    <t>Uncertainty, Carbon mole flow rate (C_PSx)</t>
  </si>
  <si>
    <t>Uncertainty (C-mol/h)</t>
  </si>
  <si>
    <t>Term</t>
  </si>
  <si>
    <t>Definition of Term</t>
  </si>
  <si>
    <t>Carbon mole flow rate of component "x" in the unpretreated, feed stream (C-mol/h)</t>
  </si>
  <si>
    <t>The terms are defined here, in the order in which they appear (top to bottom, left to right). They are also loosely grouped by the sections in which they appear (ex. Pretreated Solids)</t>
  </si>
  <si>
    <t>Uncertainty of f_PSx</t>
  </si>
  <si>
    <t>C_PSx (C-mol/h)</t>
  </si>
  <si>
    <t>C_PSx</t>
  </si>
  <si>
    <t>Carbon mole flow rate of component "x" in the solids</t>
  </si>
  <si>
    <t>Total concentration in pretreated liquid (g/L), c_PLTx</t>
  </si>
  <si>
    <t>Total concentration of component "x" (monomers and oligomers) in the pretreated liquid (g/L). "Total" refers to the fact that this measures the mass of monomeric and polymeric "x" in a liter of solution.</t>
  </si>
  <si>
    <t>Uncertainty, c_PLTx (g/L)</t>
  </si>
  <si>
    <t>C_PLTx (C-mol/h)</t>
  </si>
  <si>
    <t>Uncertainty, Carbon mole flow rate (C_PLTx)</t>
  </si>
  <si>
    <t>C_PLTx</t>
  </si>
  <si>
    <t>Total carbon mole flow rate of component "x" (monomers and oligomers) in the pretreated liquid (C-mol/h)</t>
  </si>
  <si>
    <t>Uncertainty, f_Ux</t>
  </si>
  <si>
    <t>Unpretreated Stream</t>
  </si>
  <si>
    <t>Pretreated Stream</t>
  </si>
  <si>
    <t>Carbon mole flow rate of component "x" monomers (only) in the pretreated liquid (C-mol/h)</t>
  </si>
  <si>
    <t>Uncertainty in the Carbon Ratio of each component</t>
  </si>
  <si>
    <t>Uncertainty (mole ratio)</t>
  </si>
  <si>
    <t>Carbon ratio (mole pretreated liquid/mole unpretreated feed)</t>
  </si>
  <si>
    <t>Carbon ratio, pretreated liquid to unpretreated</t>
  </si>
  <si>
    <t>The uncertainty coefficient of a given term is the square of the partial derivative of an expression with respect to that term.  For example, to obtain the uncertainty coefficient of f_IS in the calculation of the carbon mole flow rate of various components in the unpretreated, feed stream, you first  take \the partial derivative of a given carbon mole flow rate expression with respect to f_IS.  This term is then square to get the uncertainty  "coefficient" of f_IS for that carbon mole flow rate.</t>
  </si>
  <si>
    <t>c_PLCb</t>
  </si>
  <si>
    <t>Concentration of cellobiose in the pretreated liquid (g/L)</t>
  </si>
  <si>
    <t>remove?</t>
  </si>
  <si>
    <t>Monomer concentration in pretreated liquid (g/L)</t>
  </si>
  <si>
    <t>%mole ratio</t>
  </si>
  <si>
    <t>%c_PLCb</t>
  </si>
  <si>
    <t>%c_PLx</t>
  </si>
  <si>
    <t>%c_PLTx</t>
  </si>
  <si>
    <t>%C_Ux</t>
  </si>
  <si>
    <t>Uncertainty in Reaction Yield for reactions in Pretreatment Unit</t>
  </si>
  <si>
    <t>Yield Uncertainty (fraction yield)</t>
  </si>
  <si>
    <t>Yield Value (fraction yield)</t>
  </si>
  <si>
    <t>Uncertainty as % of Base Value</t>
  </si>
  <si>
    <t>Contribution of Individual Uncertainties as a percent of the Total Yield Uncertainty</t>
  </si>
  <si>
    <t>Uncertainty as a % of base yield value</t>
  </si>
  <si>
    <t>A derived quantity that is used directly to calculate yield</t>
  </si>
  <si>
    <t>Summary of Yield Values and Uncertainties</t>
  </si>
  <si>
    <t>Percent Contribution of Measurements used to calculate mole ratio</t>
  </si>
  <si>
    <r>
      <rPr>
        <b/>
        <i/>
        <sz val="10"/>
        <rFont val="Arial"/>
        <family val="2"/>
      </rPr>
      <t>Yield Uncertainty</t>
    </r>
    <r>
      <rPr>
        <b/>
        <sz val="10"/>
        <rFont val="Arial"/>
        <family val="2"/>
      </rPr>
      <t xml:space="preserve"> Attributed to Individual Measured and Derived Quantities, units = fractional yield                                                                         (Derived values are decomposed into component measurements)</t>
    </r>
  </si>
  <si>
    <r>
      <rPr>
        <b/>
        <i/>
        <sz val="10"/>
        <rFont val="Arial"/>
        <family val="2"/>
      </rPr>
      <t>Yield Uncertainty</t>
    </r>
    <r>
      <rPr>
        <b/>
        <sz val="10"/>
        <rFont val="Arial"/>
        <family val="2"/>
      </rPr>
      <t xml:space="preserve"> Attributed to Individual Measurements, units = fractional yield</t>
    </r>
  </si>
  <si>
    <t>Uncertainty due to measurements used to calculate mole ratio</t>
  </si>
  <si>
    <t>Percent Contribution of measurements used to calculate C_Ux</t>
  </si>
  <si>
    <t>Uncertainty due to measurements in C_Ux</t>
  </si>
  <si>
    <t>Percent Contribution of measurements used to calculate C_PLx</t>
  </si>
  <si>
    <t>Percent contribution of measurements used to calculate C_PLx</t>
  </si>
  <si>
    <t>Percent contribution of measurements used to calculate C_Ux</t>
  </si>
  <si>
    <t>Carbon mole ratio</t>
  </si>
  <si>
    <r>
      <rPr>
        <b/>
        <i/>
        <sz val="10"/>
        <rFont val="Arial"/>
        <family val="2"/>
      </rPr>
      <t>Percent of Total Uncertainty</t>
    </r>
    <r>
      <rPr>
        <b/>
        <sz val="10"/>
        <rFont val="Arial"/>
        <family val="2"/>
      </rPr>
      <t xml:space="preserve"> Attributed to Individual Measurements, units = Percent of Total Uncertainty</t>
    </r>
  </si>
  <si>
    <t>Labels</t>
  </si>
  <si>
    <t>Yield value, fractional yield</t>
  </si>
  <si>
    <t>Yield uncertainty in units of fractional yield</t>
  </si>
  <si>
    <t>Yield uncertainty as a percent of the yield value</t>
  </si>
  <si>
    <t>A measurement used directly to calculate yield</t>
  </si>
  <si>
    <t>Measurements used to calculate a derived quantity (not directly used to calculate yield)</t>
  </si>
  <si>
    <t>Average Value</t>
  </si>
  <si>
    <t>Acetic acid</t>
  </si>
  <si>
    <t>**Standard deviation is done for first 3 values ONLY because those are Justin Sluiter values</t>
  </si>
  <si>
    <t>Total Sugars Concentrations, mg/mL</t>
  </si>
  <si>
    <t xml:space="preserve">Monomeric Sugar Concentrations, mg/mL -- </t>
  </si>
  <si>
    <t>"Monomeric" = Concentration of Monomers only</t>
  </si>
  <si>
    <t>"Total" = Concentration of Monomers and Oligomers</t>
  </si>
  <si>
    <r>
      <t xml:space="preserve">Standard Deviation = Uncertainty value for </t>
    </r>
    <r>
      <rPr>
        <b/>
        <sz val="10"/>
        <rFont val="Arial"/>
        <family val="2"/>
      </rPr>
      <t>c_PLTx</t>
    </r>
  </si>
  <si>
    <r>
      <t xml:space="preserve">Standard Deviation = Uncertainty value for </t>
    </r>
    <r>
      <rPr>
        <b/>
        <sz val="10"/>
        <color theme="0"/>
        <rFont val="Arial"/>
        <family val="2"/>
      </rPr>
      <t>c_PLx</t>
    </r>
  </si>
  <si>
    <t>(Derived values are decomposed into component measurements)</t>
  </si>
  <si>
    <r>
      <rPr>
        <b/>
        <i/>
        <sz val="10"/>
        <rFont val="Arial"/>
        <family val="2"/>
      </rPr>
      <t>Percentage of Total Uncertainty</t>
    </r>
    <r>
      <rPr>
        <b/>
        <sz val="10"/>
        <rFont val="Arial"/>
        <family val="2"/>
      </rPr>
      <t xml:space="preserve"> Attributed to Individual Measured and Derived Quantities, units = % of Total                         </t>
    </r>
  </si>
  <si>
    <t>%C_PLTx</t>
  </si>
  <si>
    <t>Uncertainty due to measurements in C_PLTx</t>
  </si>
  <si>
    <t>Standard Deviation of Measurements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</si>
</sst>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000"/>
    <numFmt numFmtId="165" formatCode="0.000"/>
    <numFmt numFmtId="166" formatCode="0.0"/>
    <numFmt numFmtId="167" formatCode="00.0"/>
    <numFmt numFmtId="168" formatCode="\(\ 0.0\ \)"/>
    <numFmt numFmtId="169" formatCode="0.0%"/>
    <numFmt numFmtId="170" formatCode="0.000%"/>
    <numFmt numFmtId="171" formatCode="0.0E+00"/>
    <numFmt numFmtId="172" formatCode="0.00000"/>
  </numFmts>
  <fonts count="48" x14ac:knownFonts="1">
    <font>
      <sz val="10"/>
      <name val="Arial"/>
    </font>
    <font>
      <sz val="11"/>
      <color theme="1"/>
      <name val="Calibri"/>
      <family val="2"/>
      <scheme val="minor"/>
    </font>
    <font>
      <sz val="11"/>
      <color theme="1"/>
      <name val="Calibri"/>
      <family val="2"/>
      <scheme val="minor"/>
    </font>
    <font>
      <sz val="10"/>
      <name val="Arial"/>
      <family val="2"/>
    </font>
    <font>
      <sz val="10"/>
      <name val="Arial"/>
      <family val="2"/>
    </font>
    <font>
      <sz val="10"/>
      <name val="Arial"/>
      <family val="2"/>
    </font>
    <font>
      <sz val="10"/>
      <color indexed="21"/>
      <name val="Arial"/>
      <family val="2"/>
    </font>
    <font>
      <sz val="8"/>
      <name val="Arial"/>
      <family val="2"/>
    </font>
    <font>
      <sz val="9.5"/>
      <color indexed="21"/>
      <name val="Arial"/>
      <family val="2"/>
    </font>
    <font>
      <sz val="9.5"/>
      <color indexed="8"/>
      <name val="Arial"/>
      <family val="2"/>
    </font>
    <font>
      <sz val="8"/>
      <color indexed="8"/>
      <name val="Arial"/>
      <family val="2"/>
    </font>
    <font>
      <b/>
      <sz val="10"/>
      <name val="Arial"/>
      <family val="2"/>
    </font>
    <font>
      <b/>
      <i/>
      <sz val="10"/>
      <name val="Arial"/>
      <family val="2"/>
    </font>
    <font>
      <sz val="8"/>
      <color indexed="16"/>
      <name val="Arial"/>
      <family val="2"/>
    </font>
    <font>
      <sz val="8"/>
      <color indexed="21"/>
      <name val="Arial"/>
      <family val="2"/>
    </font>
    <font>
      <i/>
      <sz val="8"/>
      <name val="Arial"/>
      <family val="2"/>
    </font>
    <font>
      <sz val="9.5"/>
      <name val="Arial"/>
      <family val="2"/>
    </font>
    <font>
      <b/>
      <sz val="8"/>
      <name val="Arial"/>
      <family val="2"/>
    </font>
    <font>
      <sz val="10"/>
      <color indexed="8"/>
      <name val="Arial"/>
      <family val="2"/>
    </font>
    <font>
      <sz val="10"/>
      <color indexed="18"/>
      <name val="Arial"/>
      <family val="2"/>
    </font>
    <font>
      <i/>
      <sz val="10"/>
      <name val="Arial"/>
      <family val="2"/>
    </font>
    <font>
      <b/>
      <i/>
      <sz val="10"/>
      <color indexed="12"/>
      <name val="Arial"/>
      <family val="2"/>
    </font>
    <font>
      <i/>
      <sz val="10"/>
      <color indexed="18"/>
      <name val="Arial"/>
      <family val="2"/>
    </font>
    <font>
      <i/>
      <sz val="10"/>
      <color indexed="8"/>
      <name val="Arial"/>
      <family val="2"/>
    </font>
    <font>
      <i/>
      <sz val="8"/>
      <color indexed="12"/>
      <name val="Arial"/>
      <family val="2"/>
    </font>
    <font>
      <b/>
      <sz val="10"/>
      <color indexed="14"/>
      <name val="Arial"/>
      <family val="2"/>
    </font>
    <font>
      <sz val="8"/>
      <color indexed="81"/>
      <name val="Tahoma"/>
      <family val="2"/>
    </font>
    <font>
      <sz val="9.5"/>
      <color indexed="10"/>
      <name val="Arial"/>
      <family val="2"/>
    </font>
    <font>
      <sz val="10"/>
      <color indexed="57"/>
      <name val="Arial"/>
      <family val="2"/>
    </font>
    <font>
      <b/>
      <sz val="8"/>
      <color indexed="81"/>
      <name val="Tahoma"/>
      <family val="2"/>
    </font>
    <font>
      <sz val="10"/>
      <color indexed="49"/>
      <name val="Arial"/>
      <family val="2"/>
    </font>
    <font>
      <sz val="10"/>
      <color indexed="10"/>
      <name val="Arial"/>
      <family val="2"/>
    </font>
    <font>
      <b/>
      <sz val="14"/>
      <color indexed="12"/>
      <name val="Arial"/>
      <family val="2"/>
    </font>
    <font>
      <sz val="8"/>
      <name val="Arial"/>
      <family val="2"/>
    </font>
    <font>
      <u/>
      <sz val="8"/>
      <name val="Arial"/>
      <family val="2"/>
    </font>
    <font>
      <sz val="10"/>
      <color indexed="21"/>
      <name val="Arial"/>
      <family val="2"/>
    </font>
    <font>
      <b/>
      <sz val="11"/>
      <color rgb="FFFA7D00"/>
      <name val="Calibri"/>
      <family val="2"/>
      <scheme val="minor"/>
    </font>
    <font>
      <sz val="11"/>
      <color rgb="FF3F3F76"/>
      <name val="Calibri"/>
      <family val="2"/>
      <scheme val="minor"/>
    </font>
    <font>
      <sz val="11"/>
      <color rgb="FF006100"/>
      <name val="Calibri"/>
      <family val="2"/>
      <scheme val="minor"/>
    </font>
    <font>
      <sz val="11"/>
      <color rgb="FF9C0006"/>
      <name val="Calibri"/>
      <family val="2"/>
      <scheme val="minor"/>
    </font>
    <font>
      <sz val="11"/>
      <color theme="0"/>
      <name val="Calibri"/>
      <family val="2"/>
      <scheme val="minor"/>
    </font>
    <font>
      <b/>
      <sz val="11"/>
      <color rgb="FF3F3F76"/>
      <name val="Calibri"/>
      <family val="2"/>
      <scheme val="minor"/>
    </font>
    <font>
      <b/>
      <sz val="11"/>
      <color theme="0"/>
      <name val="Calibri"/>
      <family val="2"/>
      <scheme val="minor"/>
    </font>
    <font>
      <sz val="8"/>
      <name val="Verdana"/>
      <family val="2"/>
    </font>
    <font>
      <sz val="10"/>
      <color theme="0"/>
      <name val="Arial"/>
      <family val="2"/>
    </font>
    <font>
      <sz val="11"/>
      <name val="Calibri"/>
      <family val="2"/>
      <scheme val="minor"/>
    </font>
    <font>
      <b/>
      <sz val="10"/>
      <color rgb="FFC00000"/>
      <name val="Arial"/>
      <family val="2"/>
    </font>
    <font>
      <b/>
      <sz val="10"/>
      <color theme="0"/>
      <name val="Arial"/>
      <family val="2"/>
    </font>
  </fonts>
  <fills count="38">
    <fill>
      <patternFill patternType="none"/>
    </fill>
    <fill>
      <patternFill patternType="gray125"/>
    </fill>
    <fill>
      <patternFill patternType="solid">
        <fgColor indexed="22"/>
      </patternFill>
    </fill>
    <fill>
      <patternFill patternType="solid">
        <fgColor indexed="41"/>
        <bgColor indexed="64"/>
      </patternFill>
    </fill>
    <fill>
      <patternFill patternType="solid">
        <fgColor indexed="26"/>
        <bgColor indexed="64"/>
      </patternFill>
    </fill>
    <fill>
      <patternFill patternType="solid">
        <fgColor indexed="22"/>
        <bgColor indexed="64"/>
      </patternFill>
    </fill>
    <fill>
      <patternFill patternType="solid">
        <fgColor rgb="FFF2F2F2"/>
      </patternFill>
    </fill>
    <fill>
      <patternFill patternType="solid">
        <fgColor rgb="FFFFCC99"/>
      </patternFill>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theme="4" tint="0.79998168889431442"/>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8"/>
      </patternFill>
    </fill>
    <fill>
      <patternFill patternType="solid">
        <fgColor indexed="13"/>
        <bgColor indexed="64"/>
      </patternFill>
    </fill>
    <fill>
      <patternFill patternType="solid">
        <fgColor indexed="44"/>
      </patternFill>
    </fill>
    <fill>
      <patternFill patternType="solid">
        <fgColor indexed="62"/>
      </patternFill>
    </fill>
    <fill>
      <patternFill patternType="solid">
        <fgColor indexed="25"/>
      </patternFill>
    </fill>
    <fill>
      <patternFill patternType="solid">
        <fgColor indexed="48"/>
        <bgColor indexed="64"/>
      </patternFill>
    </fill>
    <fill>
      <patternFill patternType="solid">
        <fgColor indexed="4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34998626667073579"/>
        <bgColor indexed="64"/>
      </patternFill>
    </fill>
    <fill>
      <patternFill patternType="solid">
        <fgColor rgb="FFFFC000"/>
        <bgColor indexed="64"/>
      </patternFill>
    </fill>
    <fill>
      <patternFill patternType="solid">
        <fgColor theme="9"/>
        <bgColor indexed="64"/>
      </patternFill>
    </fill>
    <fill>
      <patternFill patternType="solid">
        <fgColor rgb="FF99CCFF"/>
        <bgColor indexed="64"/>
      </patternFill>
    </fill>
    <fill>
      <patternFill patternType="solid">
        <fgColor rgb="FF993366"/>
        <bgColor indexed="64"/>
      </patternFill>
    </fill>
    <fill>
      <patternFill patternType="solid">
        <fgColor rgb="FF333399"/>
        <bgColor indexed="64"/>
      </patternFill>
    </fill>
    <fill>
      <patternFill patternType="solid">
        <fgColor theme="6"/>
        <bgColor indexed="64"/>
      </patternFill>
    </fill>
    <fill>
      <patternFill patternType="solid">
        <fgColor rgb="FFFFFF00"/>
        <bgColor indexed="64"/>
      </patternFill>
    </fill>
    <fill>
      <patternFill patternType="solid">
        <fgColor rgb="FFFF99CC"/>
        <bgColor indexed="64"/>
      </patternFill>
    </fill>
  </fills>
  <borders count="2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rgb="FF7F7F7F"/>
      </bottom>
      <diagonal/>
    </border>
  </borders>
  <cellStyleXfs count="15">
    <xf numFmtId="0" fontId="0" fillId="0" borderId="0"/>
    <xf numFmtId="0" fontId="36" fillId="6" borderId="16" applyNumberFormat="0" applyAlignment="0" applyProtection="0"/>
    <xf numFmtId="0" fontId="37" fillId="7" borderId="16" applyNumberFormat="0" applyAlignment="0" applyProtection="0"/>
    <xf numFmtId="9" fontId="4" fillId="0" borderId="0" applyFont="0" applyFill="0" applyBorder="0" applyAlignment="0" applyProtection="0"/>
    <xf numFmtId="0" fontId="38" fillId="9" borderId="0" applyNumberFormat="0" applyBorder="0" applyAlignment="0" applyProtection="0"/>
    <xf numFmtId="0" fontId="39" fillId="10" borderId="0" applyNumberFormat="0" applyBorder="0" applyAlignment="0" applyProtection="0"/>
    <xf numFmtId="0" fontId="2" fillId="11" borderId="0" applyNumberFormat="0" applyBorder="0" applyAlignment="0" applyProtection="0"/>
    <xf numFmtId="0" fontId="40" fillId="12" borderId="0" applyNumberFormat="0" applyBorder="0" applyAlignment="0" applyProtection="0"/>
    <xf numFmtId="0" fontId="40" fillId="13"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cellStyleXfs>
  <cellXfs count="573">
    <xf numFmtId="0" fontId="0" fillId="0" borderId="0" xfId="0"/>
    <xf numFmtId="0" fontId="0" fillId="0" borderId="0" xfId="0" applyAlignment="1">
      <alignment horizontal="center"/>
    </xf>
    <xf numFmtId="0" fontId="0" fillId="0" borderId="0" xfId="0" applyAlignment="1">
      <alignment horizontal="right"/>
    </xf>
    <xf numFmtId="0" fontId="0" fillId="0" borderId="1" xfId="0" applyBorder="1" applyAlignment="1">
      <alignment horizontal="center"/>
    </xf>
    <xf numFmtId="166" fontId="0" fillId="0" borderId="0" xfId="0" applyNumberFormat="1"/>
    <xf numFmtId="0" fontId="0" fillId="0" borderId="2" xfId="0" applyBorder="1" applyAlignment="1">
      <alignment horizontal="centerContinuous"/>
    </xf>
    <xf numFmtId="0" fontId="0" fillId="0" borderId="3" xfId="0" applyBorder="1" applyAlignment="1">
      <alignment horizontal="centerContinuous"/>
    </xf>
    <xf numFmtId="0" fontId="5" fillId="0" borderId="4" xfId="0" applyFont="1" applyBorder="1" applyAlignment="1" applyProtection="1">
      <alignment horizontal="right"/>
    </xf>
    <xf numFmtId="0" fontId="0" fillId="0" borderId="5" xfId="0" applyBorder="1"/>
    <xf numFmtId="0" fontId="0" fillId="0" borderId="6" xfId="0" applyBorder="1"/>
    <xf numFmtId="0" fontId="7" fillId="0" borderId="4" xfId="0" applyFont="1" applyBorder="1" applyAlignment="1" applyProtection="1">
      <alignment horizontal="right"/>
    </xf>
    <xf numFmtId="166" fontId="8" fillId="0" borderId="0" xfId="0" applyNumberFormat="1" applyFont="1" applyBorder="1" applyAlignment="1" applyProtection="1">
      <alignment horizontal="center"/>
    </xf>
    <xf numFmtId="0" fontId="7" fillId="0" borderId="4" xfId="0" quotePrefix="1" applyFont="1" applyBorder="1" applyAlignment="1" applyProtection="1">
      <alignment horizontal="right"/>
    </xf>
    <xf numFmtId="10" fontId="9" fillId="0" borderId="0" xfId="0" applyNumberFormat="1" applyFont="1" applyFill="1" applyBorder="1" applyAlignment="1" applyProtection="1">
      <alignment horizontal="center"/>
    </xf>
    <xf numFmtId="0" fontId="7" fillId="0" borderId="7" xfId="0" applyFont="1" applyBorder="1" applyAlignment="1" applyProtection="1">
      <alignment horizontal="right"/>
    </xf>
    <xf numFmtId="166" fontId="9" fillId="0" borderId="0" xfId="0" applyNumberFormat="1" applyFont="1" applyFill="1" applyBorder="1" applyAlignment="1" applyProtection="1">
      <alignment horizontal="center"/>
    </xf>
    <xf numFmtId="169" fontId="8" fillId="0" borderId="0" xfId="3" applyNumberFormat="1" applyFont="1" applyBorder="1" applyAlignment="1" applyProtection="1">
      <alignment horizontal="center"/>
    </xf>
    <xf numFmtId="168" fontId="10" fillId="0" borderId="4" xfId="0" quotePrefix="1" applyNumberFormat="1" applyFont="1" applyBorder="1" applyAlignment="1" applyProtection="1">
      <alignment horizontal="right"/>
    </xf>
    <xf numFmtId="0" fontId="10" fillId="0" borderId="4" xfId="0" quotePrefix="1" applyFont="1" applyBorder="1" applyAlignment="1" applyProtection="1">
      <alignment horizontal="right"/>
    </xf>
    <xf numFmtId="0" fontId="0" fillId="0" borderId="2" xfId="0" applyBorder="1"/>
    <xf numFmtId="0" fontId="0" fillId="0" borderId="8" xfId="0" applyBorder="1"/>
    <xf numFmtId="0" fontId="7" fillId="0" borderId="4" xfId="0" quotePrefix="1" applyFont="1" applyBorder="1" applyAlignment="1">
      <alignment horizontal="right"/>
    </xf>
    <xf numFmtId="169" fontId="3" fillId="0" borderId="9" xfId="3" applyNumberFormat="1" applyFont="1" applyBorder="1" applyAlignment="1">
      <alignment horizontal="center"/>
    </xf>
    <xf numFmtId="169" fontId="3" fillId="0" borderId="5" xfId="3" applyNumberFormat="1" applyFont="1" applyBorder="1" applyAlignment="1">
      <alignment horizontal="center"/>
    </xf>
    <xf numFmtId="0" fontId="7" fillId="0" borderId="4" xfId="0" applyFont="1" applyBorder="1" applyAlignment="1">
      <alignment horizontal="right"/>
    </xf>
    <xf numFmtId="0" fontId="0" fillId="0" borderId="7" xfId="0" applyBorder="1" applyAlignment="1">
      <alignment horizontal="right"/>
    </xf>
    <xf numFmtId="10" fontId="0" fillId="0" borderId="1" xfId="0" applyNumberFormat="1" applyBorder="1" applyAlignment="1">
      <alignment horizontal="center"/>
    </xf>
    <xf numFmtId="169" fontId="3" fillId="0" borderId="6" xfId="3" applyNumberFormat="1" applyFont="1" applyBorder="1" applyAlignment="1">
      <alignment horizontal="center"/>
    </xf>
    <xf numFmtId="169" fontId="0" fillId="0" borderId="1" xfId="0" applyNumberFormat="1" applyBorder="1" applyAlignment="1">
      <alignment horizontal="center"/>
    </xf>
    <xf numFmtId="166" fontId="8" fillId="0" borderId="0" xfId="3" applyNumberFormat="1" applyFont="1" applyBorder="1" applyAlignment="1" applyProtection="1">
      <alignment horizontal="center"/>
    </xf>
    <xf numFmtId="0" fontId="7" fillId="0" borderId="7" xfId="0" applyFont="1" applyBorder="1" applyAlignment="1">
      <alignment horizontal="right"/>
    </xf>
    <xf numFmtId="0" fontId="7" fillId="0" borderId="0" xfId="0" applyFont="1" applyAlignment="1">
      <alignment horizontal="right"/>
    </xf>
    <xf numFmtId="169" fontId="8" fillId="0" borderId="1" xfId="3" applyNumberFormat="1" applyFont="1" applyBorder="1" applyAlignment="1" applyProtection="1">
      <alignment horizontal="center"/>
    </xf>
    <xf numFmtId="0" fontId="7" fillId="0" borderId="0" xfId="0" applyFont="1" applyBorder="1" applyAlignment="1">
      <alignment horizontal="right"/>
    </xf>
    <xf numFmtId="0" fontId="0" fillId="0" borderId="0" xfId="0" applyBorder="1"/>
    <xf numFmtId="0" fontId="5" fillId="0" borderId="0" xfId="0" applyFont="1" applyProtection="1"/>
    <xf numFmtId="0" fontId="11" fillId="0" borderId="0" xfId="0" applyFont="1" applyProtection="1"/>
    <xf numFmtId="0" fontId="5" fillId="0" borderId="0" xfId="0" applyFont="1" applyAlignment="1" applyProtection="1">
      <alignment horizontal="left"/>
    </xf>
    <xf numFmtId="0" fontId="12" fillId="0" borderId="0" xfId="0" applyFont="1" applyProtection="1"/>
    <xf numFmtId="14" fontId="5" fillId="0" borderId="0" xfId="0" applyNumberFormat="1" applyFont="1" applyAlignment="1" applyProtection="1">
      <alignment horizontal="left"/>
    </xf>
    <xf numFmtId="20" fontId="5" fillId="0" borderId="0" xfId="0" applyNumberFormat="1" applyFont="1" applyAlignment="1" applyProtection="1">
      <alignment horizontal="left"/>
    </xf>
    <xf numFmtId="0" fontId="5" fillId="0" borderId="10" xfId="0" applyFont="1" applyBorder="1" applyProtection="1"/>
    <xf numFmtId="0" fontId="5" fillId="0" borderId="11" xfId="0" applyFont="1" applyBorder="1" applyProtection="1"/>
    <xf numFmtId="0" fontId="5" fillId="0" borderId="9" xfId="0" applyFont="1" applyBorder="1" applyProtection="1"/>
    <xf numFmtId="0" fontId="7" fillId="0" borderId="11" xfId="0" applyFont="1" applyBorder="1" applyAlignment="1" applyProtection="1">
      <alignment horizontal="right"/>
    </xf>
    <xf numFmtId="166" fontId="8" fillId="0" borderId="11" xfId="0" applyNumberFormat="1" applyFont="1" applyBorder="1" applyAlignment="1" applyProtection="1">
      <alignment horizontal="center"/>
    </xf>
    <xf numFmtId="0" fontId="5" fillId="0" borderId="4" xfId="0" applyFont="1" applyBorder="1" applyProtection="1"/>
    <xf numFmtId="0" fontId="5" fillId="0" borderId="0" xfId="0" applyFont="1" applyBorder="1" applyProtection="1"/>
    <xf numFmtId="0" fontId="7" fillId="0" borderId="0" xfId="0" applyFont="1" applyBorder="1" applyAlignment="1" applyProtection="1">
      <alignment horizontal="right"/>
    </xf>
    <xf numFmtId="0" fontId="5" fillId="0" borderId="5" xfId="0" applyFont="1" applyBorder="1" applyProtection="1"/>
    <xf numFmtId="0" fontId="13" fillId="0" borderId="0" xfId="0" quotePrefix="1" applyFont="1" applyBorder="1" applyAlignment="1" applyProtection="1">
      <alignment horizontal="left"/>
    </xf>
    <xf numFmtId="0" fontId="7" fillId="0" borderId="0" xfId="0" applyFont="1" applyBorder="1" applyProtection="1"/>
    <xf numFmtId="0" fontId="8" fillId="0" borderId="0" xfId="0" applyFont="1" applyBorder="1" applyAlignment="1" applyProtection="1">
      <alignment horizontal="center"/>
    </xf>
    <xf numFmtId="0" fontId="5" fillId="0" borderId="0" xfId="0" applyFont="1" applyBorder="1" applyAlignment="1" applyProtection="1">
      <alignment horizontal="right"/>
    </xf>
    <xf numFmtId="0" fontId="5" fillId="0" borderId="7" xfId="0" applyFont="1" applyBorder="1" applyProtection="1"/>
    <xf numFmtId="0" fontId="5" fillId="0" borderId="1" xfId="0" applyFont="1" applyBorder="1" applyProtection="1"/>
    <xf numFmtId="0" fontId="7" fillId="0" borderId="1" xfId="0" applyFont="1" applyBorder="1" applyAlignment="1" applyProtection="1">
      <alignment horizontal="right"/>
    </xf>
    <xf numFmtId="10" fontId="9" fillId="0" borderId="1" xfId="0" applyNumberFormat="1" applyFont="1" applyBorder="1" applyAlignment="1" applyProtection="1">
      <alignment horizontal="center"/>
    </xf>
    <xf numFmtId="0" fontId="7" fillId="0" borderId="1" xfId="0" applyFont="1" applyBorder="1" applyProtection="1"/>
    <xf numFmtId="0" fontId="8" fillId="0" borderId="1" xfId="0" applyFont="1" applyBorder="1" applyAlignment="1" applyProtection="1">
      <alignment horizontal="center"/>
    </xf>
    <xf numFmtId="0" fontId="5" fillId="0" borderId="6" xfId="0" applyFont="1" applyBorder="1" applyProtection="1"/>
    <xf numFmtId="0" fontId="7" fillId="0" borderId="1" xfId="0" applyFont="1" applyBorder="1" applyAlignment="1" applyProtection="1">
      <alignment horizontal="center"/>
    </xf>
    <xf numFmtId="0" fontId="14" fillId="0" borderId="0" xfId="0" applyFont="1" applyBorder="1" applyProtection="1"/>
    <xf numFmtId="0" fontId="7" fillId="0" borderId="0" xfId="0" applyFont="1" applyBorder="1" applyAlignment="1" applyProtection="1">
      <alignment horizontal="center"/>
    </xf>
    <xf numFmtId="0" fontId="6" fillId="0" borderId="0" xfId="0" applyFont="1" applyBorder="1" applyAlignment="1" applyProtection="1">
      <alignment horizontal="center"/>
    </xf>
    <xf numFmtId="2" fontId="5" fillId="0" borderId="0" xfId="0" applyNumberFormat="1" applyFont="1" applyBorder="1" applyProtection="1"/>
    <xf numFmtId="0" fontId="15" fillId="0" borderId="0" xfId="0" applyFont="1" applyBorder="1" applyAlignment="1" applyProtection="1">
      <alignment horizontal="center"/>
    </xf>
    <xf numFmtId="0" fontId="6" fillId="0" borderId="5" xfId="0" applyFont="1" applyBorder="1" applyAlignment="1" applyProtection="1">
      <alignment horizontal="center"/>
    </xf>
    <xf numFmtId="0" fontId="7" fillId="0" borderId="4" xfId="0" applyFont="1" applyBorder="1" applyProtection="1"/>
    <xf numFmtId="0" fontId="16" fillId="0" borderId="0" xfId="0" applyFont="1" applyBorder="1" applyProtection="1"/>
    <xf numFmtId="166" fontId="14" fillId="0" borderId="0" xfId="0" applyNumberFormat="1" applyFont="1" applyBorder="1" applyAlignment="1" applyProtection="1">
      <alignment horizontal="center"/>
    </xf>
    <xf numFmtId="169" fontId="8" fillId="0" borderId="5" xfId="0" applyNumberFormat="1" applyFont="1" applyBorder="1" applyAlignment="1" applyProtection="1">
      <alignment horizontal="center"/>
    </xf>
    <xf numFmtId="167" fontId="7" fillId="0" borderId="0" xfId="0" applyNumberFormat="1" applyFont="1" applyBorder="1" applyAlignment="1" applyProtection="1">
      <alignment horizontal="right"/>
    </xf>
    <xf numFmtId="2" fontId="16" fillId="0" borderId="5" xfId="0" applyNumberFormat="1" applyFont="1" applyBorder="1" applyAlignment="1" applyProtection="1">
      <alignment horizontal="center"/>
    </xf>
    <xf numFmtId="166" fontId="16" fillId="0" borderId="0" xfId="0" applyNumberFormat="1" applyFont="1" applyBorder="1" applyAlignment="1" applyProtection="1">
      <alignment horizontal="center"/>
    </xf>
    <xf numFmtId="168" fontId="10" fillId="0" borderId="0" xfId="0" applyNumberFormat="1" applyFont="1" applyBorder="1" applyAlignment="1" applyProtection="1">
      <alignment horizontal="right"/>
    </xf>
    <xf numFmtId="0" fontId="7" fillId="0" borderId="5" xfId="0" applyFont="1" applyBorder="1" applyProtection="1"/>
    <xf numFmtId="0" fontId="10" fillId="0" borderId="0" xfId="0" applyFont="1" applyBorder="1" applyAlignment="1" applyProtection="1">
      <alignment horizontal="right"/>
    </xf>
    <xf numFmtId="0" fontId="10" fillId="0" borderId="0" xfId="0" applyFont="1" applyBorder="1" applyAlignment="1" applyProtection="1">
      <alignment horizontal="left"/>
    </xf>
    <xf numFmtId="166" fontId="7" fillId="0" borderId="0" xfId="0" applyNumberFormat="1" applyFont="1" applyBorder="1" applyProtection="1"/>
    <xf numFmtId="169" fontId="8" fillId="0" borderId="5" xfId="0" applyNumberFormat="1" applyFont="1" applyBorder="1" applyAlignment="1" applyProtection="1">
      <alignment horizontal="center"/>
      <protection locked="0"/>
    </xf>
    <xf numFmtId="0" fontId="14" fillId="0" borderId="0" xfId="0" applyFont="1" applyBorder="1" applyAlignment="1" applyProtection="1">
      <alignment horizontal="center"/>
    </xf>
    <xf numFmtId="0" fontId="8" fillId="0" borderId="5" xfId="0" applyFont="1" applyBorder="1" applyAlignment="1" applyProtection="1">
      <alignment horizontal="center"/>
    </xf>
    <xf numFmtId="0" fontId="16" fillId="0" borderId="5" xfId="0" applyFont="1" applyBorder="1" applyProtection="1"/>
    <xf numFmtId="0" fontId="7" fillId="0" borderId="0" xfId="0" applyFont="1" applyProtection="1"/>
    <xf numFmtId="2" fontId="16" fillId="0" borderId="6" xfId="0" applyNumberFormat="1" applyFont="1" applyBorder="1" applyAlignment="1" applyProtection="1">
      <alignment horizontal="center"/>
    </xf>
    <xf numFmtId="166" fontId="9" fillId="0" borderId="1" xfId="0" applyNumberFormat="1" applyFont="1" applyBorder="1" applyAlignment="1" applyProtection="1">
      <alignment horizontal="center"/>
    </xf>
    <xf numFmtId="0" fontId="16" fillId="0" borderId="6" xfId="0" applyFont="1" applyBorder="1" applyProtection="1"/>
    <xf numFmtId="2" fontId="16" fillId="0" borderId="0" xfId="0" applyNumberFormat="1" applyFont="1" applyBorder="1" applyAlignment="1" applyProtection="1">
      <alignment horizontal="center"/>
    </xf>
    <xf numFmtId="0" fontId="11" fillId="0" borderId="11" xfId="0" applyFont="1" applyBorder="1" applyProtection="1"/>
    <xf numFmtId="0" fontId="17" fillId="0" borderId="11" xfId="0" applyFont="1" applyBorder="1" applyProtection="1"/>
    <xf numFmtId="0" fontId="5" fillId="0" borderId="11" xfId="0" applyFont="1" applyBorder="1" applyAlignment="1" applyProtection="1">
      <alignment horizontal="centerContinuous"/>
    </xf>
    <xf numFmtId="0" fontId="11" fillId="0" borderId="11" xfId="0" applyFont="1" applyBorder="1" applyAlignment="1" applyProtection="1">
      <alignment horizontal="centerContinuous"/>
    </xf>
    <xf numFmtId="0" fontId="11" fillId="0" borderId="1" xfId="0" applyFont="1" applyBorder="1" applyAlignment="1" applyProtection="1">
      <alignment horizontal="centerContinuous"/>
    </xf>
    <xf numFmtId="0" fontId="11" fillId="0" borderId="0" xfId="0" applyFont="1" applyBorder="1" applyAlignment="1" applyProtection="1">
      <alignment horizontal="centerContinuous"/>
    </xf>
    <xf numFmtId="0" fontId="5" fillId="0" borderId="1" xfId="0" applyFont="1" applyBorder="1" applyAlignment="1" applyProtection="1"/>
    <xf numFmtId="0" fontId="5" fillId="0" borderId="1" xfId="0" applyFont="1" applyBorder="1" applyAlignment="1" applyProtection="1">
      <alignment horizontal="centerContinuous"/>
    </xf>
    <xf numFmtId="0" fontId="11" fillId="0" borderId="1" xfId="0" applyFont="1" applyBorder="1" applyAlignment="1" applyProtection="1"/>
    <xf numFmtId="0" fontId="15" fillId="0" borderId="0" xfId="0" applyFont="1" applyAlignment="1" applyProtection="1">
      <alignment horizontal="right"/>
    </xf>
    <xf numFmtId="0" fontId="15" fillId="0" borderId="0" xfId="0" applyFont="1" applyBorder="1" applyAlignment="1" applyProtection="1">
      <alignment horizontal="right"/>
    </xf>
    <xf numFmtId="0" fontId="15" fillId="0" borderId="1" xfId="0" applyFont="1" applyBorder="1" applyAlignment="1" applyProtection="1">
      <alignment horizontal="left"/>
    </xf>
    <xf numFmtId="0" fontId="7" fillId="0" borderId="1" xfId="0" applyFont="1" applyBorder="1" applyAlignment="1" applyProtection="1">
      <alignment horizontal="centerContinuous"/>
    </xf>
    <xf numFmtId="0" fontId="7" fillId="0" borderId="0" xfId="0" applyFont="1" applyBorder="1" applyAlignment="1" applyProtection="1">
      <alignment horizontal="centerContinuous"/>
    </xf>
    <xf numFmtId="0" fontId="15" fillId="0" borderId="1" xfId="0" applyFont="1" applyBorder="1" applyAlignment="1" applyProtection="1">
      <alignment horizontal="centerContinuous"/>
    </xf>
    <xf numFmtId="0" fontId="15" fillId="0" borderId="1" xfId="0" applyFont="1" applyBorder="1" applyAlignment="1" applyProtection="1">
      <alignment horizontal="right"/>
    </xf>
    <xf numFmtId="0" fontId="18" fillId="0" borderId="0" xfId="0" applyFont="1" applyBorder="1" applyProtection="1"/>
    <xf numFmtId="169" fontId="6" fillId="0" borderId="0" xfId="0" applyNumberFormat="1" applyFont="1" applyProtection="1">
      <protection locked="0"/>
    </xf>
    <xf numFmtId="165" fontId="5" fillId="0" borderId="0" xfId="0" applyNumberFormat="1" applyFont="1" applyProtection="1"/>
    <xf numFmtId="166" fontId="19" fillId="0" borderId="0" xfId="0" applyNumberFormat="1" applyFont="1" applyProtection="1"/>
    <xf numFmtId="0" fontId="6" fillId="0" borderId="0" xfId="0" applyFont="1" applyProtection="1">
      <protection locked="0"/>
    </xf>
    <xf numFmtId="166" fontId="6" fillId="0" borderId="0" xfId="0" applyNumberFormat="1" applyFont="1" applyProtection="1"/>
    <xf numFmtId="166" fontId="18" fillId="0" borderId="0" xfId="0" applyNumberFormat="1" applyFont="1" applyProtection="1"/>
    <xf numFmtId="165" fontId="5" fillId="0" borderId="0" xfId="0" applyNumberFormat="1" applyFont="1" applyFill="1" applyProtection="1"/>
    <xf numFmtId="166" fontId="19" fillId="0" borderId="0" xfId="0" applyNumberFormat="1" applyFont="1" applyFill="1" applyProtection="1"/>
    <xf numFmtId="0" fontId="6" fillId="0" borderId="0" xfId="0" applyFont="1" applyFill="1" applyProtection="1">
      <protection locked="0"/>
    </xf>
    <xf numFmtId="165" fontId="5" fillId="0" borderId="0" xfId="0" applyNumberFormat="1" applyFont="1" applyBorder="1" applyProtection="1"/>
    <xf numFmtId="169" fontId="6" fillId="0" borderId="0" xfId="0" applyNumberFormat="1" applyFont="1" applyProtection="1"/>
    <xf numFmtId="0" fontId="6" fillId="0" borderId="0" xfId="0" applyFont="1" applyProtection="1"/>
    <xf numFmtId="166" fontId="5" fillId="0" borderId="0" xfId="0" applyNumberFormat="1" applyFont="1" applyFill="1" applyProtection="1"/>
    <xf numFmtId="169" fontId="5" fillId="0" borderId="0" xfId="0" applyNumberFormat="1" applyFont="1" applyProtection="1"/>
    <xf numFmtId="0" fontId="5" fillId="0" borderId="0" xfId="0" applyFont="1" applyFill="1" applyProtection="1"/>
    <xf numFmtId="165" fontId="19" fillId="0" borderId="0" xfId="0" applyNumberFormat="1" applyFont="1" applyFill="1" applyProtection="1"/>
    <xf numFmtId="0" fontId="5" fillId="0" borderId="1" xfId="0" applyFont="1" applyBorder="1" applyAlignment="1" applyProtection="1">
      <alignment horizontal="right"/>
    </xf>
    <xf numFmtId="0" fontId="5" fillId="0" borderId="0" xfId="0" applyFont="1" applyAlignment="1" applyProtection="1">
      <alignment horizontal="right"/>
    </xf>
    <xf numFmtId="169" fontId="5" fillId="0" borderId="1" xfId="0" applyNumberFormat="1" applyFont="1" applyBorder="1" applyProtection="1"/>
    <xf numFmtId="166" fontId="19" fillId="0" borderId="1" xfId="0" applyNumberFormat="1" applyFont="1" applyBorder="1" applyProtection="1"/>
    <xf numFmtId="166" fontId="19" fillId="0" borderId="0" xfId="0" applyNumberFormat="1" applyFont="1" applyBorder="1" applyProtection="1"/>
    <xf numFmtId="165" fontId="5" fillId="0" borderId="1" xfId="0" applyNumberFormat="1" applyFont="1" applyBorder="1" applyProtection="1"/>
    <xf numFmtId="166" fontId="6" fillId="0" borderId="1" xfId="0" applyNumberFormat="1" applyFont="1" applyBorder="1" applyProtection="1"/>
    <xf numFmtId="166" fontId="18" fillId="0" borderId="1" xfId="0" applyNumberFormat="1" applyFont="1" applyBorder="1" applyProtection="1"/>
    <xf numFmtId="165" fontId="5" fillId="0" borderId="1" xfId="0" applyNumberFormat="1" applyFont="1" applyFill="1" applyBorder="1" applyProtection="1"/>
    <xf numFmtId="0" fontId="20" fillId="0" borderId="0" xfId="0" applyFont="1" applyProtection="1"/>
    <xf numFmtId="169" fontId="20" fillId="0" borderId="0" xfId="0" applyNumberFormat="1" applyFont="1" applyFill="1" applyProtection="1"/>
    <xf numFmtId="2" fontId="21" fillId="0" borderId="0" xfId="0" applyNumberFormat="1" applyFont="1" applyFill="1" applyProtection="1"/>
    <xf numFmtId="165" fontId="21" fillId="0" borderId="0" xfId="0" applyNumberFormat="1" applyFont="1" applyProtection="1"/>
    <xf numFmtId="165" fontId="20" fillId="0" borderId="0" xfId="0" applyNumberFormat="1" applyFont="1" applyFill="1" applyProtection="1"/>
    <xf numFmtId="166" fontId="22" fillId="0" borderId="0" xfId="0" applyNumberFormat="1" applyFont="1" applyFill="1" applyProtection="1"/>
    <xf numFmtId="166" fontId="22" fillId="0" borderId="0" xfId="0" applyNumberFormat="1" applyFont="1" applyProtection="1"/>
    <xf numFmtId="165" fontId="20" fillId="0" borderId="0" xfId="0" applyNumberFormat="1" applyFont="1" applyProtection="1"/>
    <xf numFmtId="166" fontId="23" fillId="0" borderId="0" xfId="0" applyNumberFormat="1" applyFont="1" applyProtection="1"/>
    <xf numFmtId="0" fontId="18" fillId="0" borderId="1" xfId="0" applyFont="1" applyBorder="1" applyProtection="1"/>
    <xf numFmtId="0" fontId="5" fillId="2" borderId="0" xfId="0" applyFont="1" applyFill="1" applyBorder="1" applyProtection="1"/>
    <xf numFmtId="0" fontId="24" fillId="2" borderId="0" xfId="0" applyFont="1" applyFill="1" applyBorder="1" applyProtection="1"/>
    <xf numFmtId="10" fontId="25" fillId="2" borderId="0" xfId="0" applyNumberFormat="1" applyFont="1" applyFill="1" applyBorder="1" applyProtection="1"/>
    <xf numFmtId="0" fontId="0" fillId="0" borderId="0" xfId="0" applyAlignment="1">
      <alignment horizontal="left"/>
    </xf>
    <xf numFmtId="0" fontId="0" fillId="0" borderId="1" xfId="0" applyBorder="1"/>
    <xf numFmtId="2" fontId="0" fillId="0" borderId="1" xfId="0" applyNumberFormat="1" applyBorder="1" applyAlignment="1">
      <alignment horizontal="center"/>
    </xf>
    <xf numFmtId="0" fontId="0" fillId="0" borderId="10" xfId="0" applyBorder="1" applyAlignment="1">
      <alignment horizontal="center"/>
    </xf>
    <xf numFmtId="0" fontId="0" fillId="0" borderId="11" xfId="0" applyBorder="1"/>
    <xf numFmtId="0" fontId="0" fillId="0" borderId="11" xfId="0" applyBorder="1" applyAlignment="1">
      <alignment horizontal="left"/>
    </xf>
    <xf numFmtId="0" fontId="0" fillId="0" borderId="11" xfId="0" applyBorder="1" applyAlignment="1">
      <alignment horizontal="center"/>
    </xf>
    <xf numFmtId="0" fontId="0" fillId="0" borderId="9" xfId="0" applyBorder="1" applyAlignment="1">
      <alignment horizontal="center"/>
    </xf>
    <xf numFmtId="0" fontId="0" fillId="0" borderId="4" xfId="0" applyBorder="1" applyAlignment="1">
      <alignment horizontal="center"/>
    </xf>
    <xf numFmtId="0" fontId="0" fillId="0" borderId="0" xfId="0" applyBorder="1" applyAlignment="1">
      <alignment horizontal="left"/>
    </xf>
    <xf numFmtId="0" fontId="0" fillId="0" borderId="0" xfId="0" applyBorder="1" applyAlignment="1">
      <alignment horizontal="center"/>
    </xf>
    <xf numFmtId="0" fontId="0" fillId="0" borderId="5"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left"/>
    </xf>
    <xf numFmtId="0" fontId="0" fillId="0" borderId="13" xfId="0" applyBorder="1" applyAlignment="1">
      <alignment horizontal="center"/>
    </xf>
    <xf numFmtId="0" fontId="0" fillId="0" borderId="14" xfId="0" applyBorder="1" applyAlignment="1">
      <alignment horizontal="center"/>
    </xf>
    <xf numFmtId="169" fontId="0" fillId="0" borderId="11" xfId="0" applyNumberFormat="1" applyBorder="1" applyAlignment="1">
      <alignment horizontal="center"/>
    </xf>
    <xf numFmtId="169" fontId="0" fillId="0" borderId="9" xfId="0" applyNumberFormat="1" applyBorder="1" applyAlignment="1">
      <alignment horizontal="center"/>
    </xf>
    <xf numFmtId="169" fontId="0" fillId="0" borderId="0" xfId="0" applyNumberFormat="1" applyBorder="1" applyAlignment="1">
      <alignment horizontal="center"/>
    </xf>
    <xf numFmtId="169" fontId="0" fillId="0" borderId="5" xfId="0" applyNumberFormat="1" applyBorder="1" applyAlignment="1">
      <alignment horizontal="center"/>
    </xf>
    <xf numFmtId="169" fontId="0" fillId="0" borderId="0" xfId="0" applyNumberFormat="1" applyFill="1" applyBorder="1" applyAlignment="1">
      <alignment horizontal="center"/>
    </xf>
    <xf numFmtId="0" fontId="0" fillId="0" borderId="0" xfId="0" applyBorder="1" applyAlignment="1">
      <alignment horizontal="right"/>
    </xf>
    <xf numFmtId="0" fontId="0" fillId="0" borderId="7" xfId="0" applyBorder="1" applyAlignment="1">
      <alignment horizontal="center"/>
    </xf>
    <xf numFmtId="0" fontId="0" fillId="0" borderId="1" xfId="0" applyBorder="1" applyAlignment="1">
      <alignment horizontal="left"/>
    </xf>
    <xf numFmtId="169" fontId="0" fillId="0" borderId="6" xfId="0" applyNumberFormat="1" applyBorder="1" applyAlignment="1">
      <alignment horizontal="center"/>
    </xf>
    <xf numFmtId="169" fontId="0" fillId="0" borderId="0" xfId="0" quotePrefix="1" applyNumberFormat="1" applyFill="1" applyBorder="1" applyAlignment="1">
      <alignment horizontal="center"/>
    </xf>
    <xf numFmtId="0" fontId="0" fillId="0" borderId="6" xfId="0" applyBorder="1" applyAlignment="1">
      <alignment horizontal="center"/>
    </xf>
    <xf numFmtId="169" fontId="0" fillId="0" borderId="11" xfId="0" applyNumberFormat="1" applyFill="1" applyBorder="1" applyAlignment="1">
      <alignment horizontal="center"/>
    </xf>
    <xf numFmtId="169" fontId="0" fillId="0" borderId="9" xfId="0" applyNumberFormat="1" applyFill="1" applyBorder="1" applyAlignment="1">
      <alignment horizontal="center"/>
    </xf>
    <xf numFmtId="169" fontId="0" fillId="0" borderId="5" xfId="0" applyNumberFormat="1" applyFill="1" applyBorder="1" applyAlignment="1">
      <alignment horizontal="center"/>
    </xf>
    <xf numFmtId="0" fontId="0" fillId="0" borderId="0" xfId="0" quotePrefix="1" applyBorder="1" applyAlignment="1">
      <alignment horizontal="left"/>
    </xf>
    <xf numFmtId="0" fontId="0" fillId="0" borderId="10" xfId="0" applyBorder="1"/>
    <xf numFmtId="0" fontId="0" fillId="0" borderId="11" xfId="0" applyBorder="1" applyAlignment="1">
      <alignment horizontal="right"/>
    </xf>
    <xf numFmtId="0" fontId="0" fillId="0" borderId="9" xfId="0" applyBorder="1"/>
    <xf numFmtId="170" fontId="0" fillId="0" borderId="0" xfId="0" applyNumberFormat="1" applyBorder="1" applyAlignment="1">
      <alignment horizontal="center"/>
    </xf>
    <xf numFmtId="2" fontId="0" fillId="0" borderId="0" xfId="0" applyNumberFormat="1" applyBorder="1" applyAlignment="1">
      <alignment horizontal="center"/>
    </xf>
    <xf numFmtId="10" fontId="3" fillId="0" borderId="0" xfId="3" applyNumberFormat="1" applyFont="1" applyFill="1" applyBorder="1" applyAlignment="1">
      <alignment horizontal="center"/>
    </xf>
    <xf numFmtId="2" fontId="3" fillId="0" borderId="0" xfId="3" applyNumberFormat="1" applyFont="1" applyFill="1" applyBorder="1" applyAlignment="1">
      <alignment horizontal="center"/>
    </xf>
    <xf numFmtId="0" fontId="0" fillId="0" borderId="1" xfId="0" applyBorder="1" applyAlignment="1">
      <alignment horizontal="right"/>
    </xf>
    <xf numFmtId="0" fontId="0" fillId="0" borderId="2" xfId="0" applyBorder="1" applyAlignment="1">
      <alignment horizontal="center"/>
    </xf>
    <xf numFmtId="0" fontId="0" fillId="0" borderId="3" xfId="0" applyBorder="1"/>
    <xf numFmtId="0" fontId="0" fillId="0" borderId="3" xfId="0" applyFill="1" applyBorder="1" applyAlignment="1">
      <alignment horizontal="left"/>
    </xf>
    <xf numFmtId="0" fontId="0" fillId="0" borderId="3" xfId="0" applyBorder="1" applyAlignment="1">
      <alignment horizontal="center"/>
    </xf>
    <xf numFmtId="0" fontId="0" fillId="0" borderId="8" xfId="0" applyBorder="1" applyAlignment="1">
      <alignment horizontal="center"/>
    </xf>
    <xf numFmtId="0" fontId="0" fillId="0" borderId="11" xfId="0" applyFill="1" applyBorder="1" applyAlignment="1">
      <alignment horizontal="right"/>
    </xf>
    <xf numFmtId="164" fontId="0" fillId="0" borderId="11" xfId="0" applyNumberFormat="1" applyBorder="1" applyAlignment="1">
      <alignment horizontal="center"/>
    </xf>
    <xf numFmtId="0" fontId="0" fillId="0" borderId="4" xfId="0" applyBorder="1"/>
    <xf numFmtId="164" fontId="0" fillId="0" borderId="0" xfId="0" applyNumberFormat="1" applyFill="1" applyBorder="1" applyAlignment="1">
      <alignment horizontal="center"/>
    </xf>
    <xf numFmtId="164" fontId="0" fillId="0" borderId="0" xfId="0" applyNumberFormat="1" applyBorder="1" applyAlignment="1">
      <alignment horizontal="center"/>
    </xf>
    <xf numFmtId="0" fontId="0" fillId="0" borderId="7" xfId="0" applyBorder="1"/>
    <xf numFmtId="164" fontId="0" fillId="0" borderId="1" xfId="0" applyNumberFormat="1" applyBorder="1" applyAlignment="1">
      <alignment horizontal="center"/>
    </xf>
    <xf numFmtId="0" fontId="0" fillId="0" borderId="3" xfId="0" applyBorder="1" applyAlignment="1">
      <alignment horizontal="right"/>
    </xf>
    <xf numFmtId="165" fontId="0" fillId="0" borderId="9" xfId="0" applyNumberFormat="1" applyBorder="1" applyAlignment="1">
      <alignment horizontal="center"/>
    </xf>
    <xf numFmtId="165" fontId="0" fillId="0" borderId="5" xfId="0" applyNumberFormat="1" applyBorder="1" applyAlignment="1">
      <alignment horizontal="center"/>
    </xf>
    <xf numFmtId="165" fontId="0" fillId="0" borderId="6" xfId="0" applyNumberFormat="1" applyBorder="1" applyAlignment="1">
      <alignment horizontal="center"/>
    </xf>
    <xf numFmtId="0" fontId="5" fillId="3" borderId="0" xfId="0" applyFont="1" applyFill="1" applyProtection="1"/>
    <xf numFmtId="169" fontId="6" fillId="3" borderId="0" xfId="0" applyNumberFormat="1" applyFont="1" applyFill="1" applyProtection="1">
      <protection locked="0"/>
    </xf>
    <xf numFmtId="165" fontId="5" fillId="3" borderId="0" xfId="0" applyNumberFormat="1" applyFont="1" applyFill="1" applyProtection="1"/>
    <xf numFmtId="166" fontId="19" fillId="3" borderId="0" xfId="0" applyNumberFormat="1" applyFont="1" applyFill="1" applyProtection="1"/>
    <xf numFmtId="0" fontId="6" fillId="3" borderId="0" xfId="0" applyFont="1" applyFill="1" applyProtection="1">
      <protection locked="0"/>
    </xf>
    <xf numFmtId="166" fontId="6" fillId="3" borderId="0" xfId="0" applyNumberFormat="1" applyFont="1" applyFill="1" applyProtection="1"/>
    <xf numFmtId="166" fontId="18" fillId="3" borderId="0" xfId="0" applyNumberFormat="1" applyFont="1" applyFill="1" applyProtection="1"/>
    <xf numFmtId="169" fontId="9" fillId="0" borderId="1" xfId="0" applyNumberFormat="1" applyFont="1" applyFill="1" applyBorder="1" applyAlignment="1" applyProtection="1">
      <alignment horizontal="center"/>
    </xf>
    <xf numFmtId="166" fontId="9" fillId="0" borderId="0" xfId="0" applyNumberFormat="1" applyFont="1" applyBorder="1" applyAlignment="1" applyProtection="1">
      <alignment horizontal="center"/>
    </xf>
    <xf numFmtId="164" fontId="9" fillId="0" borderId="0" xfId="0" applyNumberFormat="1" applyFont="1" applyFill="1" applyBorder="1" applyAlignment="1" applyProtection="1">
      <alignment horizontal="center"/>
    </xf>
    <xf numFmtId="0" fontId="11" fillId="0" borderId="0" xfId="0" applyFont="1"/>
    <xf numFmtId="166" fontId="27" fillId="0" borderId="0" xfId="3" applyNumberFormat="1" applyFont="1" applyBorder="1" applyAlignment="1" applyProtection="1">
      <alignment horizontal="center"/>
    </xf>
    <xf numFmtId="0" fontId="0" fillId="0" borderId="10" xfId="0" applyBorder="1" applyAlignment="1">
      <alignment horizontal="center" wrapText="1"/>
    </xf>
    <xf numFmtId="0" fontId="0" fillId="0" borderId="4" xfId="0" applyBorder="1" applyAlignment="1">
      <alignment horizontal="center" wrapText="1"/>
    </xf>
    <xf numFmtId="169" fontId="0" fillId="0" borderId="0" xfId="0" applyNumberFormat="1"/>
    <xf numFmtId="0" fontId="5" fillId="0" borderId="0" xfId="0" applyFont="1" applyFill="1" applyBorder="1" applyProtection="1"/>
    <xf numFmtId="169" fontId="9" fillId="0" borderId="0" xfId="3" applyNumberFormat="1" applyFont="1" applyBorder="1" applyAlignment="1" applyProtection="1">
      <alignment horizontal="center"/>
    </xf>
    <xf numFmtId="0" fontId="0" fillId="0" borderId="0" xfId="0" applyBorder="1" applyAlignment="1">
      <alignment horizontal="centerContinuous"/>
    </xf>
    <xf numFmtId="166" fontId="3" fillId="0" borderId="6" xfId="3" applyNumberFormat="1" applyFont="1" applyBorder="1" applyAlignment="1">
      <alignment horizontal="center"/>
    </xf>
    <xf numFmtId="0" fontId="10" fillId="0" borderId="1" xfId="0" applyFont="1" applyBorder="1" applyAlignment="1" applyProtection="1">
      <alignment horizontal="right"/>
    </xf>
    <xf numFmtId="0" fontId="31" fillId="0" borderId="0" xfId="0" applyFont="1"/>
    <xf numFmtId="0" fontId="6" fillId="4" borderId="0" xfId="0" applyFont="1" applyFill="1" applyBorder="1" applyAlignment="1" applyProtection="1">
      <alignment horizontal="left"/>
    </xf>
    <xf numFmtId="14" fontId="6" fillId="4" borderId="0" xfId="0" applyNumberFormat="1" applyFont="1" applyFill="1" applyBorder="1" applyAlignment="1" applyProtection="1">
      <alignment horizontal="left"/>
    </xf>
    <xf numFmtId="20" fontId="6" fillId="4" borderId="0" xfId="0" applyNumberFormat="1" applyFont="1" applyFill="1" applyBorder="1" applyAlignment="1" applyProtection="1">
      <alignment horizontal="left"/>
    </xf>
    <xf numFmtId="0" fontId="28" fillId="4" borderId="1" xfId="0" applyFont="1" applyFill="1" applyBorder="1" applyAlignment="1">
      <alignment horizontal="left"/>
    </xf>
    <xf numFmtId="166" fontId="8" fillId="4" borderId="0" xfId="0" applyNumberFormat="1" applyFont="1" applyFill="1" applyBorder="1" applyAlignment="1" applyProtection="1">
      <alignment horizontal="center"/>
    </xf>
    <xf numFmtId="2" fontId="8" fillId="4" borderId="1" xfId="0" applyNumberFormat="1" applyFont="1" applyFill="1" applyBorder="1" applyAlignment="1" applyProtection="1">
      <alignment horizontal="center"/>
    </xf>
    <xf numFmtId="0" fontId="11" fillId="5" borderId="2" xfId="0" applyFont="1" applyFill="1" applyBorder="1" applyAlignment="1">
      <alignment horizontal="centerContinuous"/>
    </xf>
    <xf numFmtId="0" fontId="0" fillId="5" borderId="3" xfId="0" applyFill="1" applyBorder="1" applyAlignment="1">
      <alignment horizontal="centerContinuous"/>
    </xf>
    <xf numFmtId="0" fontId="0" fillId="5" borderId="8" xfId="0" applyFill="1" applyBorder="1" applyAlignment="1">
      <alignment horizontal="centerContinuous"/>
    </xf>
    <xf numFmtId="169" fontId="8" fillId="4" borderId="0" xfId="3" applyNumberFormat="1" applyFont="1" applyFill="1" applyBorder="1" applyAlignment="1" applyProtection="1">
      <alignment horizontal="center"/>
    </xf>
    <xf numFmtId="169" fontId="8" fillId="4" borderId="0" xfId="3" applyNumberFormat="1" applyFont="1" applyFill="1" applyBorder="1" applyAlignment="1" applyProtection="1">
      <alignment horizontal="center"/>
      <protection locked="0"/>
    </xf>
    <xf numFmtId="169" fontId="8" fillId="4" borderId="1" xfId="3" applyNumberFormat="1" applyFont="1" applyFill="1" applyBorder="1" applyAlignment="1" applyProtection="1">
      <alignment horizontal="center"/>
      <protection locked="0"/>
    </xf>
    <xf numFmtId="0" fontId="0" fillId="5" borderId="9" xfId="0" applyFill="1" applyBorder="1" applyAlignment="1">
      <alignment horizontal="centerContinuous"/>
    </xf>
    <xf numFmtId="0" fontId="0" fillId="5" borderId="2" xfId="0" applyFill="1" applyBorder="1" applyAlignment="1">
      <alignment horizontal="centerContinuous"/>
    </xf>
    <xf numFmtId="0" fontId="0" fillId="5" borderId="8" xfId="0" applyFill="1" applyBorder="1"/>
    <xf numFmtId="166" fontId="30" fillId="4" borderId="9" xfId="3" applyNumberFormat="1" applyFont="1" applyFill="1" applyBorder="1" applyAlignment="1">
      <alignment horizontal="center"/>
    </xf>
    <xf numFmtId="166" fontId="30" fillId="4" borderId="5" xfId="3" applyNumberFormat="1" applyFont="1" applyFill="1" applyBorder="1" applyAlignment="1">
      <alignment horizontal="center"/>
    </xf>
    <xf numFmtId="0" fontId="0" fillId="5" borderId="0" xfId="0" applyFill="1"/>
    <xf numFmtId="166" fontId="8" fillId="4" borderId="0" xfId="3" applyNumberFormat="1" applyFont="1" applyFill="1" applyBorder="1" applyAlignment="1" applyProtection="1">
      <alignment horizontal="center"/>
    </xf>
    <xf numFmtId="166" fontId="8" fillId="4" borderId="1" xfId="3" applyNumberFormat="1" applyFont="1" applyFill="1" applyBorder="1" applyAlignment="1" applyProtection="1">
      <alignment horizontal="center"/>
    </xf>
    <xf numFmtId="2" fontId="8" fillId="4" borderId="0" xfId="3" applyNumberFormat="1" applyFont="1" applyFill="1" applyBorder="1" applyAlignment="1" applyProtection="1">
      <alignment horizontal="center"/>
    </xf>
    <xf numFmtId="0" fontId="0" fillId="0" borderId="3" xfId="0" applyBorder="1" applyAlignment="1">
      <alignment horizontal="center" wrapText="1"/>
    </xf>
    <xf numFmtId="0" fontId="15" fillId="5" borderId="11" xfId="0" applyFont="1" applyFill="1" applyBorder="1" applyAlignment="1" applyProtection="1">
      <alignment horizontal="center"/>
    </xf>
    <xf numFmtId="0" fontId="7" fillId="5" borderId="11" xfId="0" applyFont="1" applyFill="1" applyBorder="1" applyAlignment="1" applyProtection="1">
      <alignment horizontal="center"/>
    </xf>
    <xf numFmtId="0" fontId="6" fillId="5" borderId="11" xfId="0" applyFont="1" applyFill="1" applyBorder="1" applyAlignment="1" applyProtection="1">
      <alignment horizontal="center"/>
    </xf>
    <xf numFmtId="0" fontId="6" fillId="5" borderId="9" xfId="0" applyFont="1" applyFill="1" applyBorder="1" applyAlignment="1" applyProtection="1">
      <alignment horizontal="center"/>
    </xf>
    <xf numFmtId="0" fontId="7" fillId="5" borderId="11" xfId="0" applyFont="1" applyFill="1" applyBorder="1" applyProtection="1"/>
    <xf numFmtId="0" fontId="7" fillId="5" borderId="9" xfId="0" applyFont="1" applyFill="1" applyBorder="1" applyProtection="1"/>
    <xf numFmtId="0" fontId="17" fillId="5" borderId="10" xfId="0" applyFont="1" applyFill="1" applyBorder="1" applyProtection="1"/>
    <xf numFmtId="0" fontId="17" fillId="5" borderId="10" xfId="0" applyFont="1" applyFill="1" applyBorder="1" applyAlignment="1" applyProtection="1">
      <alignment horizontal="left"/>
    </xf>
    <xf numFmtId="0" fontId="12" fillId="5" borderId="0" xfId="0" applyFont="1" applyFill="1" applyProtection="1"/>
    <xf numFmtId="0" fontId="5" fillId="5" borderId="0" xfId="0" applyFont="1" applyFill="1" applyProtection="1"/>
    <xf numFmtId="0" fontId="28" fillId="0" borderId="0" xfId="0" applyNumberFormat="1" applyFont="1" applyProtection="1"/>
    <xf numFmtId="0" fontId="11" fillId="5" borderId="0" xfId="0" applyFont="1" applyFill="1" applyProtection="1"/>
    <xf numFmtId="0" fontId="32" fillId="0" borderId="0" xfId="0" applyFont="1" applyProtection="1"/>
    <xf numFmtId="166" fontId="19" fillId="0" borderId="0" xfId="0" applyNumberFormat="1" applyFont="1" applyFill="1" applyAlignment="1" applyProtection="1">
      <alignment horizontal="center"/>
    </xf>
    <xf numFmtId="166" fontId="19" fillId="0" borderId="0" xfId="0" applyNumberFormat="1" applyFont="1" applyAlignment="1" applyProtection="1">
      <alignment horizontal="center"/>
    </xf>
    <xf numFmtId="165" fontId="5" fillId="0" borderId="0" xfId="0" applyNumberFormat="1" applyFont="1" applyFill="1" applyAlignment="1" applyProtection="1">
      <alignment horizontal="center"/>
    </xf>
    <xf numFmtId="0" fontId="7" fillId="0" borderId="7" xfId="0" quotePrefix="1" applyFont="1" applyBorder="1" applyAlignment="1">
      <alignment horizontal="right"/>
    </xf>
    <xf numFmtId="0" fontId="34" fillId="0" borderId="4" xfId="0" applyFont="1" applyBorder="1" applyAlignment="1" applyProtection="1">
      <alignment horizontal="right"/>
    </xf>
    <xf numFmtId="169" fontId="35" fillId="0" borderId="0" xfId="0" applyNumberFormat="1" applyFont="1" applyFill="1" applyBorder="1" applyAlignment="1">
      <alignment horizontal="centerContinuous"/>
    </xf>
    <xf numFmtId="0" fontId="7" fillId="0" borderId="4" xfId="0" applyFont="1" applyFill="1" applyBorder="1" applyAlignment="1">
      <alignment horizontal="right"/>
    </xf>
    <xf numFmtId="0" fontId="0" fillId="0" borderId="0" xfId="0" applyAlignment="1">
      <alignment wrapText="1"/>
    </xf>
    <xf numFmtId="166" fontId="11" fillId="0" borderId="0" xfId="0" applyNumberFormat="1" applyFont="1"/>
    <xf numFmtId="0" fontId="5" fillId="0" borderId="5" xfId="0" applyFont="1" applyBorder="1"/>
    <xf numFmtId="0" fontId="0" fillId="0" borderId="0" xfId="0" applyAlignment="1">
      <alignment horizontal="center" vertical="center" wrapText="1"/>
    </xf>
    <xf numFmtId="0" fontId="5" fillId="0" borderId="4" xfId="0" applyFont="1" applyBorder="1" applyAlignment="1">
      <alignment horizontal="center" vertical="center" wrapText="1"/>
    </xf>
    <xf numFmtId="0" fontId="11" fillId="0" borderId="0" xfId="0" applyFont="1" applyBorder="1" applyAlignment="1">
      <alignment horizontal="center" vertical="center" wrapText="1"/>
    </xf>
    <xf numFmtId="0" fontId="0" fillId="0" borderId="0" xfId="0" applyBorder="1" applyAlignment="1">
      <alignment horizontal="center" vertical="center" wrapText="1"/>
    </xf>
    <xf numFmtId="0" fontId="7" fillId="0" borderId="4" xfId="0" quotePrefix="1" applyFont="1" applyBorder="1" applyAlignment="1">
      <alignment horizontal="center" vertical="center"/>
    </xf>
    <xf numFmtId="0" fontId="7" fillId="0" borderId="0" xfId="0" quotePrefix="1" applyFont="1" applyBorder="1" applyAlignment="1">
      <alignment horizontal="center" vertical="center"/>
    </xf>
    <xf numFmtId="0" fontId="0" fillId="0" borderId="0" xfId="0" applyAlignment="1">
      <alignment horizontal="center" vertical="center"/>
    </xf>
    <xf numFmtId="2" fontId="37" fillId="7" borderId="17" xfId="2" applyNumberFormat="1"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37" fillId="7" borderId="17" xfId="2"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1" xfId="0" quotePrefix="1" applyFont="1" applyBorder="1" applyAlignment="1">
      <alignment horizontal="center" vertical="center"/>
    </xf>
    <xf numFmtId="169" fontId="0" fillId="0" borderId="0" xfId="0" applyNumberFormat="1"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37" fillId="7" borderId="18" xfId="2" applyBorder="1" applyAlignment="1">
      <alignment horizontal="center" vertical="center"/>
    </xf>
    <xf numFmtId="10" fontId="0" fillId="0" borderId="0" xfId="0" applyNumberFormat="1" applyAlignment="1">
      <alignment horizontal="center" vertical="center"/>
    </xf>
    <xf numFmtId="2" fontId="0" fillId="0" borderId="5" xfId="0" applyNumberFormat="1" applyBorder="1" applyAlignment="1">
      <alignment horizontal="center" vertical="center"/>
    </xf>
    <xf numFmtId="0" fontId="0" fillId="0" borderId="5" xfId="0" applyBorder="1" applyAlignment="1">
      <alignment horizontal="center" vertical="center"/>
    </xf>
    <xf numFmtId="2" fontId="0" fillId="0" borderId="6" xfId="0" applyNumberFormat="1" applyBorder="1" applyAlignment="1">
      <alignment horizontal="center" vertical="center"/>
    </xf>
    <xf numFmtId="164" fontId="9" fillId="0" borderId="0" xfId="3" applyNumberFormat="1" applyFont="1" applyBorder="1" applyAlignment="1" applyProtection="1">
      <alignment horizontal="center" vertical="center"/>
    </xf>
    <xf numFmtId="164" fontId="37" fillId="7" borderId="17" xfId="2" applyNumberFormat="1" applyBorder="1" applyAlignment="1">
      <alignment horizontal="center" vertical="center"/>
    </xf>
    <xf numFmtId="164" fontId="9" fillId="0" borderId="1" xfId="3" applyNumberFormat="1" applyFont="1" applyBorder="1" applyAlignment="1" applyProtection="1">
      <alignment horizontal="center" vertical="center"/>
    </xf>
    <xf numFmtId="164" fontId="37" fillId="7" borderId="18" xfId="2" applyNumberFormat="1" applyBorder="1" applyAlignment="1">
      <alignment horizontal="center" vertical="center"/>
    </xf>
    <xf numFmtId="164" fontId="0" fillId="0" borderId="0" xfId="0" applyNumberFormat="1" applyAlignment="1">
      <alignment horizontal="center" vertical="center"/>
    </xf>
    <xf numFmtId="0" fontId="0" fillId="0" borderId="15" xfId="0" applyBorder="1" applyAlignment="1">
      <alignment horizontal="center" vertical="center"/>
    </xf>
    <xf numFmtId="0" fontId="5" fillId="0" borderId="15" xfId="0" applyFont="1" applyBorder="1" applyAlignment="1" applyProtection="1">
      <alignment horizontal="center"/>
    </xf>
    <xf numFmtId="0" fontId="0" fillId="0" borderId="15" xfId="0" applyBorder="1" applyAlignment="1">
      <alignment horizontal="center"/>
    </xf>
    <xf numFmtId="0" fontId="11" fillId="8" borderId="15" xfId="0" applyFont="1" applyFill="1" applyBorder="1" applyAlignment="1">
      <alignment horizontal="center" vertical="center"/>
    </xf>
    <xf numFmtId="0" fontId="11" fillId="8" borderId="15" xfId="0" applyFont="1" applyFill="1" applyBorder="1" applyAlignment="1">
      <alignment horizontal="center" vertical="center"/>
    </xf>
    <xf numFmtId="2" fontId="0" fillId="0" borderId="0" xfId="0" applyNumberFormat="1" applyBorder="1" applyAlignment="1">
      <alignment horizontal="center" vertical="center"/>
    </xf>
    <xf numFmtId="164" fontId="37" fillId="7" borderId="15" xfId="2" applyNumberFormat="1" applyBorder="1" applyAlignment="1">
      <alignment horizontal="center" vertical="center"/>
    </xf>
    <xf numFmtId="0" fontId="38" fillId="9" borderId="0" xfId="4"/>
    <xf numFmtId="164" fontId="37" fillId="7" borderId="16" xfId="2" applyNumberForma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vertical="center"/>
    </xf>
    <xf numFmtId="0" fontId="11" fillId="0" borderId="0" xfId="0" applyFont="1" applyAlignment="1">
      <alignment horizontal="center" vertical="center"/>
    </xf>
    <xf numFmtId="0" fontId="3" fillId="0" borderId="15" xfId="0" applyFont="1" applyBorder="1" applyAlignment="1">
      <alignment horizontal="center"/>
    </xf>
    <xf numFmtId="0" fontId="3" fillId="0" borderId="15" xfId="0" applyFont="1" applyBorder="1" applyAlignment="1">
      <alignment horizontal="center" vertical="center"/>
    </xf>
    <xf numFmtId="164" fontId="37" fillId="7" borderId="16" xfId="2" applyNumberFormat="1" applyFont="1" applyAlignment="1">
      <alignment horizontal="center" vertical="center"/>
    </xf>
    <xf numFmtId="164" fontId="37" fillId="7" borderId="17" xfId="2" applyNumberFormat="1" applyBorder="1" applyAlignment="1">
      <alignment horizontal="center" vertical="center" wrapText="1"/>
    </xf>
    <xf numFmtId="164" fontId="37" fillId="7" borderId="15" xfId="2" applyNumberFormat="1" applyFont="1" applyBorder="1" applyAlignment="1">
      <alignment horizontal="center" vertical="center"/>
    </xf>
    <xf numFmtId="0" fontId="0" fillId="0" borderId="19" xfId="0" applyBorder="1" applyAlignment="1">
      <alignment horizontal="center" vertical="center"/>
    </xf>
    <xf numFmtId="0" fontId="3" fillId="0" borderId="15" xfId="0" applyFont="1" applyBorder="1" applyAlignment="1" applyProtection="1">
      <alignment horizontal="center"/>
    </xf>
    <xf numFmtId="0" fontId="11" fillId="0" borderId="0" xfId="0" applyFont="1" applyAlignment="1">
      <alignment horizontal="center" vertical="center"/>
    </xf>
    <xf numFmtId="0" fontId="3" fillId="0" borderId="0" xfId="0" applyFont="1" applyBorder="1" applyAlignment="1">
      <alignment horizontal="center" vertical="center"/>
    </xf>
    <xf numFmtId="2" fontId="3" fillId="0" borderId="0" xfId="0" applyNumberFormat="1" applyFont="1" applyAlignment="1">
      <alignment horizontal="center" vertical="center" wrapText="1"/>
    </xf>
    <xf numFmtId="0" fontId="11" fillId="20" borderId="0" xfId="0" applyFont="1" applyFill="1"/>
    <xf numFmtId="169" fontId="11" fillId="0" borderId="0" xfId="0" applyNumberFormat="1" applyFont="1" applyBorder="1" applyAlignment="1">
      <alignment horizontal="center"/>
    </xf>
    <xf numFmtId="169" fontId="11" fillId="0" borderId="0" xfId="0" applyNumberFormat="1" applyFont="1" applyFill="1" applyBorder="1" applyAlignment="1">
      <alignment horizontal="center"/>
    </xf>
    <xf numFmtId="0" fontId="11" fillId="8" borderId="3" xfId="0" applyFont="1" applyFill="1" applyBorder="1" applyAlignment="1">
      <alignment horizontal="center" vertical="center"/>
    </xf>
    <xf numFmtId="0" fontId="11" fillId="8" borderId="8" xfId="0" applyFont="1" applyFill="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center" vertical="center"/>
    </xf>
    <xf numFmtId="0" fontId="3" fillId="0" borderId="15" xfId="0" applyFont="1" applyBorder="1" applyAlignment="1">
      <alignment horizontal="center" vertical="center"/>
    </xf>
    <xf numFmtId="0" fontId="0" fillId="0" borderId="15" xfId="0" applyBorder="1" applyAlignment="1">
      <alignment horizontal="center" vertical="center"/>
    </xf>
    <xf numFmtId="0" fontId="11" fillId="8" borderId="15" xfId="0" applyFont="1" applyFill="1" applyBorder="1" applyAlignment="1">
      <alignment horizontal="center" vertical="center"/>
    </xf>
    <xf numFmtId="0" fontId="11" fillId="8" borderId="15"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0" xfId="0" applyFill="1" applyAlignment="1">
      <alignment horizontal="center" vertical="center"/>
    </xf>
    <xf numFmtId="0" fontId="3" fillId="0" borderId="4" xfId="0" applyFont="1" applyFill="1" applyBorder="1" applyAlignment="1">
      <alignment horizontal="center" vertical="center"/>
    </xf>
    <xf numFmtId="0" fontId="0" fillId="0" borderId="0" xfId="0" applyFill="1" applyBorder="1" applyAlignment="1">
      <alignment horizontal="center" vertical="center"/>
    </xf>
    <xf numFmtId="0" fontId="5" fillId="0" borderId="10" xfId="0" applyFont="1" applyBorder="1" applyAlignment="1">
      <alignment horizontal="center" vertical="center" wrapText="1"/>
    </xf>
    <xf numFmtId="2" fontId="0" fillId="0" borderId="9" xfId="0" applyNumberFormat="1" applyBorder="1" applyAlignment="1">
      <alignment horizontal="center" vertical="center" wrapText="1"/>
    </xf>
    <xf numFmtId="0" fontId="5" fillId="0" borderId="4" xfId="0" applyFont="1" applyBorder="1" applyAlignment="1" applyProtection="1">
      <alignment horizontal="center"/>
    </xf>
    <xf numFmtId="0" fontId="3" fillId="0" borderId="4" xfId="0" applyFont="1" applyBorder="1" applyAlignment="1" applyProtection="1">
      <alignment horizontal="center"/>
    </xf>
    <xf numFmtId="0" fontId="5" fillId="0" borderId="7" xfId="0" applyFont="1" applyBorder="1" applyAlignment="1" applyProtection="1">
      <alignment horizontal="center"/>
    </xf>
    <xf numFmtId="0" fontId="0" fillId="26" borderId="0" xfId="0" applyFill="1" applyAlignment="1">
      <alignment horizontal="center" vertical="center" wrapText="1"/>
    </xf>
    <xf numFmtId="2" fontId="3" fillId="0" borderId="5" xfId="0" applyNumberFormat="1" applyFont="1" applyBorder="1" applyAlignment="1">
      <alignment horizontal="center" vertical="center"/>
    </xf>
    <xf numFmtId="0" fontId="3" fillId="0" borderId="0" xfId="0" applyFont="1"/>
    <xf numFmtId="2" fontId="6" fillId="0" borderId="0" xfId="0" applyNumberFormat="1" applyFont="1" applyProtection="1">
      <protection locked="0"/>
    </xf>
    <xf numFmtId="164" fontId="0" fillId="26" borderId="15" xfId="0" applyNumberFormat="1" applyFill="1" applyBorder="1" applyAlignment="1">
      <alignment horizontal="center" vertical="center"/>
    </xf>
    <xf numFmtId="164" fontId="3" fillId="26" borderId="15" xfId="0" applyNumberFormat="1" applyFont="1" applyFill="1" applyBorder="1" applyAlignment="1">
      <alignment horizontal="center" vertical="center"/>
    </xf>
    <xf numFmtId="0" fontId="0" fillId="27" borderId="3" xfId="0" applyFill="1" applyBorder="1" applyAlignment="1">
      <alignment horizontal="center" vertical="center" wrapText="1"/>
    </xf>
    <xf numFmtId="0" fontId="0" fillId="27" borderId="8" xfId="0" applyFill="1" applyBorder="1" applyAlignment="1">
      <alignment horizontal="center" vertical="center" wrapText="1"/>
    </xf>
    <xf numFmtId="0" fontId="37" fillId="0" borderId="0" xfId="2" applyFill="1" applyBorder="1" applyAlignment="1">
      <alignment horizontal="center" vertical="center"/>
    </xf>
    <xf numFmtId="0" fontId="37" fillId="26" borderId="17" xfId="2" applyFill="1" applyBorder="1" applyAlignment="1">
      <alignment horizontal="center" vertical="center"/>
    </xf>
    <xf numFmtId="0" fontId="11" fillId="0" borderId="10" xfId="0" applyFont="1" applyBorder="1" applyAlignment="1">
      <alignment horizontal="center" vertical="center" wrapText="1"/>
    </xf>
    <xf numFmtId="0" fontId="0" fillId="26" borderId="5" xfId="0" applyFill="1" applyBorder="1" applyAlignment="1">
      <alignment horizontal="center" vertical="center"/>
    </xf>
    <xf numFmtId="0" fontId="37" fillId="7" borderId="17" xfId="2" applyFont="1" applyBorder="1" applyAlignment="1">
      <alignment horizontal="center" vertical="center"/>
    </xf>
    <xf numFmtId="2" fontId="41" fillId="26" borderId="18" xfId="1" applyNumberFormat="1" applyFont="1" applyFill="1" applyBorder="1" applyAlignment="1">
      <alignment horizontal="center" vertical="center"/>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horizontal="center"/>
    </xf>
    <xf numFmtId="0" fontId="0" fillId="0" borderId="8" xfId="0" applyBorder="1" applyAlignment="1">
      <alignment horizontal="center" vertical="center"/>
    </xf>
    <xf numFmtId="0" fontId="5" fillId="0" borderId="4"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3" fillId="0" borderId="15" xfId="0" applyFont="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xf>
    <xf numFmtId="0" fontId="0" fillId="0" borderId="4" xfId="0" applyBorder="1" applyAlignment="1">
      <alignment horizontal="center"/>
    </xf>
    <xf numFmtId="0" fontId="11" fillId="8" borderId="15"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6" applyFont="1" applyFill="1" applyBorder="1" applyAlignment="1">
      <alignment horizontal="center" vertical="center"/>
    </xf>
    <xf numFmtId="0" fontId="37" fillId="7" borderId="5" xfId="2" applyBorder="1" applyAlignment="1">
      <alignment horizontal="center" vertical="center"/>
    </xf>
    <xf numFmtId="0" fontId="37" fillId="7" borderId="5" xfId="2" applyFont="1" applyBorder="1" applyAlignment="1">
      <alignment horizontal="center" vertical="center"/>
    </xf>
    <xf numFmtId="0" fontId="3" fillId="0" borderId="4" xfId="0" applyFont="1" applyBorder="1" applyAlignment="1">
      <alignment horizontal="center"/>
    </xf>
    <xf numFmtId="0" fontId="37" fillId="7" borderId="6" xfId="2" applyBorder="1" applyAlignment="1">
      <alignment horizontal="center" vertical="center"/>
    </xf>
    <xf numFmtId="0" fontId="2" fillId="28" borderId="0" xfId="6" applyFill="1" applyBorder="1" applyAlignment="1">
      <alignment horizontal="center" vertical="center"/>
    </xf>
    <xf numFmtId="0" fontId="1" fillId="28" borderId="0" xfId="6" applyFont="1" applyFill="1" applyBorder="1" applyAlignment="1">
      <alignment horizontal="center" vertical="center"/>
    </xf>
    <xf numFmtId="0" fontId="1" fillId="28" borderId="1" xfId="6" applyFont="1" applyFill="1" applyBorder="1" applyAlignment="1">
      <alignment horizontal="center" vertical="center"/>
    </xf>
    <xf numFmtId="0" fontId="2" fillId="28" borderId="4" xfId="6" applyFill="1" applyBorder="1" applyAlignment="1">
      <alignment horizontal="center" vertical="center"/>
    </xf>
    <xf numFmtId="0" fontId="0" fillId="28" borderId="0" xfId="0" applyFill="1" applyBorder="1" applyAlignment="1">
      <alignment horizontal="center" vertical="center"/>
    </xf>
    <xf numFmtId="0" fontId="0" fillId="28" borderId="4" xfId="0" applyFill="1" applyBorder="1" applyAlignment="1">
      <alignment horizontal="center" vertical="center"/>
    </xf>
    <xf numFmtId="0" fontId="1" fillId="28" borderId="4" xfId="6" applyFont="1" applyFill="1" applyBorder="1" applyAlignment="1">
      <alignment horizontal="center" vertical="center"/>
    </xf>
    <xf numFmtId="0" fontId="0" fillId="28" borderId="7" xfId="0" applyFill="1" applyBorder="1" applyAlignment="1">
      <alignment horizontal="center" vertical="center"/>
    </xf>
    <xf numFmtId="0" fontId="0" fillId="28" borderId="1" xfId="0" applyFill="1" applyBorder="1" applyAlignment="1">
      <alignment horizontal="center" vertical="center"/>
    </xf>
    <xf numFmtId="0" fontId="2" fillId="28" borderId="5" xfId="6" applyFill="1" applyBorder="1" applyAlignment="1">
      <alignment horizontal="center" vertical="center"/>
    </xf>
    <xf numFmtId="0" fontId="1" fillId="28" borderId="5" xfId="6" applyFont="1" applyFill="1" applyBorder="1" applyAlignment="1">
      <alignment horizontal="center" vertical="center"/>
    </xf>
    <xf numFmtId="0" fontId="1" fillId="28" borderId="6" xfId="6" applyFont="1" applyFill="1" applyBorder="1" applyAlignment="1">
      <alignment horizontal="center" vertical="center"/>
    </xf>
    <xf numFmtId="0" fontId="2" fillId="11" borderId="10" xfId="6" applyBorder="1" applyAlignment="1">
      <alignment horizontal="center" vertical="center"/>
    </xf>
    <xf numFmtId="0" fontId="2" fillId="11" borderId="11" xfId="6" applyBorder="1" applyAlignment="1">
      <alignment horizontal="center" vertical="center"/>
    </xf>
    <xf numFmtId="0" fontId="2" fillId="11" borderId="9" xfId="6" applyBorder="1" applyAlignment="1">
      <alignment horizontal="center" vertical="center"/>
    </xf>
    <xf numFmtId="0" fontId="11" fillId="27" borderId="0" xfId="0" applyFont="1" applyFill="1" applyAlignment="1">
      <alignment horizontal="center" vertical="center"/>
    </xf>
    <xf numFmtId="0" fontId="0" fillId="30" borderId="0" xfId="0" applyFill="1" applyAlignment="1">
      <alignment horizontal="center" vertical="center"/>
    </xf>
    <xf numFmtId="0" fontId="0" fillId="31" borderId="0" xfId="0" applyFill="1" applyAlignment="1">
      <alignment horizontal="center" vertical="center"/>
    </xf>
    <xf numFmtId="0" fontId="11" fillId="8" borderId="0" xfId="0" applyFont="1" applyFill="1" applyBorder="1" applyAlignment="1">
      <alignment vertical="center"/>
    </xf>
    <xf numFmtId="0" fontId="0" fillId="0" borderId="0" xfId="0" applyAlignment="1">
      <alignment horizontal="center" vertical="center" wrapText="1"/>
    </xf>
    <xf numFmtId="0" fontId="11" fillId="29"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27" borderId="0" xfId="0" applyFill="1" applyAlignment="1">
      <alignment horizontal="center" vertical="center" wrapText="1"/>
    </xf>
    <xf numFmtId="0" fontId="11" fillId="29" borderId="0" xfId="0" applyFont="1" applyFill="1" applyAlignment="1">
      <alignment horizontal="center" vertical="center"/>
    </xf>
    <xf numFmtId="0" fontId="11" fillId="0" borderId="0" xfId="0" applyFont="1" applyFill="1" applyAlignment="1">
      <alignment horizontal="center" vertical="center"/>
    </xf>
    <xf numFmtId="0" fontId="0" fillId="32" borderId="0" xfId="0" applyFill="1" applyAlignment="1">
      <alignment horizontal="center" vertical="center"/>
    </xf>
    <xf numFmtId="0" fontId="45" fillId="35" borderId="0" xfId="9" applyFont="1" applyFill="1" applyAlignment="1">
      <alignment horizontal="center" vertical="center"/>
    </xf>
    <xf numFmtId="0" fontId="44" fillId="0" borderId="0" xfId="0" applyFont="1" applyAlignment="1">
      <alignment horizontal="center" vertical="center"/>
    </xf>
    <xf numFmtId="0" fontId="0" fillId="35" borderId="0" xfId="0" applyFill="1" applyAlignment="1">
      <alignment horizontal="center" vertical="center" wrapText="1"/>
    </xf>
    <xf numFmtId="0" fontId="0" fillId="33" borderId="0" xfId="0" applyFill="1" applyAlignment="1">
      <alignment horizontal="center" vertical="center"/>
    </xf>
    <xf numFmtId="0" fontId="0" fillId="34" borderId="0" xfId="0" applyFill="1" applyAlignment="1">
      <alignment horizontal="center" vertical="center" wrapText="1"/>
    </xf>
    <xf numFmtId="0" fontId="11" fillId="29" borderId="0" xfId="0" applyFont="1" applyFill="1" applyBorder="1" applyAlignment="1">
      <alignment horizontal="center" vertical="center"/>
    </xf>
    <xf numFmtId="0" fontId="11" fillId="29" borderId="0" xfId="0" applyFont="1" applyFill="1" applyBorder="1" applyAlignment="1">
      <alignment vertical="center"/>
    </xf>
    <xf numFmtId="0" fontId="11" fillId="29" borderId="0" xfId="0" applyFont="1" applyFill="1" applyBorder="1" applyAlignment="1">
      <alignment vertical="center" wrapText="1"/>
    </xf>
    <xf numFmtId="0" fontId="46" fillId="0" borderId="0" xfId="0" applyFont="1" applyBorder="1"/>
    <xf numFmtId="0" fontId="46" fillId="0" borderId="2" xfId="0" applyFont="1" applyBorder="1"/>
    <xf numFmtId="0" fontId="46" fillId="0" borderId="3" xfId="0" applyFont="1" applyBorder="1"/>
    <xf numFmtId="0" fontId="46" fillId="0" borderId="8" xfId="0" applyFont="1" applyBorder="1"/>
    <xf numFmtId="0" fontId="0" fillId="0" borderId="2" xfId="0" applyBorder="1" applyAlignment="1">
      <alignment wrapText="1"/>
    </xf>
    <xf numFmtId="0" fontId="0" fillId="0" borderId="3" xfId="0" applyBorder="1" applyAlignment="1">
      <alignment wrapText="1"/>
    </xf>
    <xf numFmtId="0" fontId="0" fillId="0" borderId="8" xfId="0" applyBorder="1" applyAlignment="1">
      <alignment wrapText="1"/>
    </xf>
    <xf numFmtId="0" fontId="46" fillId="0" borderId="0" xfId="0" applyFont="1"/>
    <xf numFmtId="0" fontId="0" fillId="0" borderId="0" xfId="0" applyFill="1" applyBorder="1"/>
    <xf numFmtId="0" fontId="0" fillId="0" borderId="0" xfId="0" applyFill="1"/>
    <xf numFmtId="0" fontId="11" fillId="0" borderId="0" xfId="0" applyFont="1" applyFill="1"/>
    <xf numFmtId="0" fontId="11" fillId="36" borderId="0" xfId="0" applyFont="1" applyFill="1" applyBorder="1"/>
    <xf numFmtId="0" fontId="39" fillId="37" borderId="0" xfId="5" applyFill="1"/>
    <xf numFmtId="0" fontId="3" fillId="36" borderId="0" xfId="0" applyFont="1" applyFill="1"/>
    <xf numFmtId="0" fontId="11" fillId="0" borderId="0" xfId="0" applyFont="1" applyFill="1" applyBorder="1"/>
    <xf numFmtId="0" fontId="12" fillId="36" borderId="0" xfId="0" applyFont="1" applyFill="1" applyBorder="1"/>
    <xf numFmtId="17" fontId="0" fillId="0" borderId="0" xfId="0" applyNumberFormat="1"/>
    <xf numFmtId="0" fontId="12" fillId="20" borderId="0" xfId="0" applyFont="1" applyFill="1"/>
    <xf numFmtId="17" fontId="0" fillId="0" borderId="0" xfId="0" applyNumberFormat="1" applyFill="1" applyBorder="1"/>
    <xf numFmtId="0" fontId="0" fillId="0" borderId="0" xfId="0" applyAlignment="1">
      <alignment horizontal="center" vertical="center"/>
    </xf>
    <xf numFmtId="164" fontId="45" fillId="35" borderId="0" xfId="9" applyNumberFormat="1" applyFont="1" applyFill="1" applyBorder="1" applyAlignment="1">
      <alignment horizontal="center" vertical="center"/>
    </xf>
    <xf numFmtId="165" fontId="45" fillId="35" borderId="0" xfId="9" applyNumberFormat="1" applyFont="1" applyFill="1" applyBorder="1" applyAlignment="1">
      <alignment horizontal="center" vertical="center"/>
    </xf>
    <xf numFmtId="164" fontId="40" fillId="23" borderId="0" xfId="8" applyNumberFormat="1" applyFont="1" applyFill="1" applyBorder="1" applyAlignment="1">
      <alignment horizontal="center" vertical="center"/>
    </xf>
    <xf numFmtId="165" fontId="40" fillId="23" borderId="0" xfId="8" applyNumberFormat="1" applyFont="1" applyFill="1" applyBorder="1" applyAlignment="1">
      <alignment horizontal="center" vertical="center"/>
    </xf>
    <xf numFmtId="165" fontId="40" fillId="33" borderId="0" xfId="8" applyNumberFormat="1" applyFont="1" applyFill="1" applyAlignment="1">
      <alignment horizontal="center" vertical="center"/>
    </xf>
    <xf numFmtId="166" fontId="45" fillId="17" borderId="0" xfId="12" applyNumberFormat="1" applyFont="1" applyBorder="1" applyAlignment="1">
      <alignment horizontal="center" vertical="center"/>
    </xf>
    <xf numFmtId="166" fontId="0" fillId="31" borderId="0" xfId="0" applyNumberFormat="1" applyFill="1" applyAlignment="1">
      <alignment horizontal="center" vertical="center"/>
    </xf>
    <xf numFmtId="1" fontId="0" fillId="31" borderId="0" xfId="0" applyNumberFormat="1" applyFill="1" applyBorder="1" applyAlignment="1">
      <alignment horizontal="center" vertical="center"/>
    </xf>
    <xf numFmtId="1" fontId="0" fillId="31" borderId="0" xfId="0" applyNumberFormat="1" applyFill="1" applyAlignment="1">
      <alignment horizontal="center" vertical="center"/>
    </xf>
    <xf numFmtId="1" fontId="42" fillId="22" borderId="0" xfId="7" applyNumberFormat="1" applyFont="1" applyFill="1" applyBorder="1" applyAlignment="1">
      <alignment horizontal="center" vertical="center"/>
    </xf>
    <xf numFmtId="1" fontId="40" fillId="22" borderId="0" xfId="7" applyNumberFormat="1" applyFill="1" applyBorder="1" applyAlignment="1">
      <alignment horizontal="center" vertical="center"/>
    </xf>
    <xf numFmtId="1" fontId="45" fillId="30" borderId="0" xfId="13" applyNumberFormat="1" applyFont="1" applyFill="1" applyBorder="1" applyAlignment="1">
      <alignment horizontal="center" vertical="center"/>
    </xf>
    <xf numFmtId="1" fontId="45" fillId="32" borderId="0" xfId="11" applyNumberFormat="1" applyFont="1" applyFill="1" applyBorder="1" applyAlignment="1">
      <alignment horizontal="center" vertical="center"/>
    </xf>
    <xf numFmtId="1" fontId="45" fillId="21" borderId="0" xfId="11" applyNumberFormat="1" applyFont="1" applyFill="1" applyBorder="1" applyAlignment="1">
      <alignment horizontal="center" vertical="center"/>
    </xf>
    <xf numFmtId="1" fontId="45" fillId="30" borderId="0" xfId="13" applyNumberFormat="1" applyFont="1" applyFill="1" applyAlignment="1">
      <alignment horizontal="center" vertical="center"/>
    </xf>
    <xf numFmtId="1" fontId="40" fillId="34" borderId="0" xfId="7" applyNumberFormat="1" applyFill="1" applyBorder="1" applyAlignment="1">
      <alignment horizontal="center" vertical="center"/>
    </xf>
    <xf numFmtId="166" fontId="45" fillId="32" borderId="0" xfId="11" applyNumberFormat="1" applyFont="1" applyFill="1" applyBorder="1" applyAlignment="1">
      <alignment horizontal="center" vertical="center"/>
    </xf>
    <xf numFmtId="166" fontId="45" fillId="21" borderId="0" xfId="11" applyNumberFormat="1" applyFont="1" applyFill="1" applyBorder="1" applyAlignment="1">
      <alignment horizontal="center" vertical="center"/>
    </xf>
    <xf numFmtId="166" fontId="42" fillId="22" borderId="0" xfId="7" applyNumberFormat="1" applyFont="1" applyFill="1" applyBorder="1" applyAlignment="1">
      <alignment horizontal="center" vertical="center"/>
    </xf>
    <xf numFmtId="166" fontId="40" fillId="22" borderId="0" xfId="7" applyNumberFormat="1" applyFill="1" applyBorder="1" applyAlignment="1">
      <alignment horizontal="center" vertical="center"/>
    </xf>
    <xf numFmtId="166" fontId="40" fillId="34" borderId="0" xfId="14" applyNumberFormat="1" applyFill="1" applyBorder="1" applyAlignment="1">
      <alignment horizontal="center" vertical="center"/>
    </xf>
    <xf numFmtId="166" fontId="45" fillId="30" borderId="0" xfId="13" applyNumberFormat="1" applyFont="1" applyFill="1" applyBorder="1" applyAlignment="1">
      <alignment horizontal="center" vertical="center"/>
    </xf>
    <xf numFmtId="166" fontId="40" fillId="34" borderId="0" xfId="7" applyNumberFormat="1" applyFill="1" applyBorder="1" applyAlignment="1">
      <alignment horizontal="center" vertical="center"/>
    </xf>
    <xf numFmtId="2" fontId="45" fillId="32" borderId="0" xfId="11" applyNumberFormat="1" applyFont="1" applyFill="1" applyBorder="1" applyAlignment="1">
      <alignment horizontal="center" vertical="center"/>
    </xf>
    <xf numFmtId="2" fontId="40" fillId="22" borderId="0" xfId="7" applyNumberFormat="1" applyFill="1" applyBorder="1" applyAlignment="1">
      <alignment horizontal="center" vertical="center"/>
    </xf>
    <xf numFmtId="171" fontId="45" fillId="21" borderId="0" xfId="11" applyNumberFormat="1" applyFont="1" applyFill="1" applyBorder="1" applyAlignment="1">
      <alignment horizontal="center" vertical="center"/>
    </xf>
    <xf numFmtId="171" fontId="45" fillId="32" borderId="0" xfId="11" applyNumberFormat="1" applyFont="1" applyFill="1" applyBorder="1" applyAlignment="1">
      <alignment horizontal="center" vertical="center"/>
    </xf>
    <xf numFmtId="165" fontId="45" fillId="21" borderId="0" xfId="11" applyNumberFormat="1" applyFont="1" applyFill="1" applyBorder="1" applyAlignment="1">
      <alignment horizontal="center" vertical="center"/>
    </xf>
    <xf numFmtId="165" fontId="45" fillId="32" borderId="0" xfId="11" applyNumberFormat="1" applyFont="1" applyFill="1" applyBorder="1" applyAlignment="1">
      <alignment horizontal="center" vertical="center"/>
    </xf>
    <xf numFmtId="164" fontId="45" fillId="21" borderId="0" xfId="11" applyNumberFormat="1" applyFont="1" applyFill="1" applyBorder="1" applyAlignment="1">
      <alignment horizontal="center" vertical="center"/>
    </xf>
    <xf numFmtId="164" fontId="45" fillId="32" borderId="0" xfId="11" applyNumberFormat="1" applyFont="1" applyFill="1" applyBorder="1" applyAlignment="1">
      <alignment horizontal="center" vertical="center"/>
    </xf>
    <xf numFmtId="172" fontId="45" fillId="32" borderId="0" xfId="11" applyNumberFormat="1" applyFont="1" applyFill="1" applyBorder="1" applyAlignment="1">
      <alignment horizontal="center" vertical="center"/>
    </xf>
    <xf numFmtId="171" fontId="44" fillId="34" borderId="0" xfId="0" applyNumberFormat="1" applyFont="1" applyFill="1" applyBorder="1" applyAlignment="1">
      <alignment horizontal="center" vertical="center"/>
    </xf>
    <xf numFmtId="171" fontId="0" fillId="0" borderId="0" xfId="0" applyNumberFormat="1" applyBorder="1" applyAlignment="1">
      <alignment horizontal="center" vertical="center"/>
    </xf>
    <xf numFmtId="171" fontId="44" fillId="34" borderId="0" xfId="0" applyNumberFormat="1" applyFont="1" applyFill="1" applyAlignment="1">
      <alignment horizontal="center" vertical="center"/>
    </xf>
    <xf numFmtId="171" fontId="0" fillId="0" borderId="0" xfId="0" applyNumberFormat="1" applyAlignment="1">
      <alignment horizontal="center" vertical="center"/>
    </xf>
    <xf numFmtId="171" fontId="45" fillId="0" borderId="0" xfId="10" applyNumberFormat="1" applyFont="1" applyFill="1" applyAlignment="1">
      <alignment horizontal="center" vertical="center"/>
    </xf>
    <xf numFmtId="171" fontId="3" fillId="0" borderId="4" xfId="0" applyNumberFormat="1" applyFont="1" applyBorder="1" applyAlignment="1">
      <alignment horizontal="center" vertical="center" wrapText="1"/>
    </xf>
    <xf numFmtId="171" fontId="3" fillId="0" borderId="0" xfId="0" applyNumberFormat="1" applyFont="1" applyBorder="1" applyAlignment="1">
      <alignment horizontal="center" vertical="center" wrapText="1"/>
    </xf>
    <xf numFmtId="171" fontId="0" fillId="0" borderId="0" xfId="0" applyNumberFormat="1" applyAlignment="1">
      <alignment horizontal="center" vertical="center" wrapText="1"/>
    </xf>
    <xf numFmtId="171" fontId="0" fillId="0" borderId="4" xfId="0" applyNumberFormat="1" applyBorder="1" applyAlignment="1">
      <alignment horizontal="center" vertical="center" wrapText="1"/>
    </xf>
    <xf numFmtId="171" fontId="0" fillId="0" borderId="0" xfId="0" applyNumberFormat="1" applyBorder="1" applyAlignment="1">
      <alignment horizontal="center" vertical="center" wrapText="1"/>
    </xf>
    <xf numFmtId="171" fontId="3" fillId="0" borderId="0" xfId="0" applyNumberFormat="1" applyFont="1" applyFill="1" applyAlignment="1">
      <alignment horizontal="center" vertical="center"/>
    </xf>
    <xf numFmtId="171" fontId="5" fillId="0" borderId="4" xfId="0" applyNumberFormat="1" applyFont="1" applyBorder="1" applyAlignment="1">
      <alignment horizontal="center" vertical="center" wrapText="1"/>
    </xf>
    <xf numFmtId="171" fontId="5" fillId="0" borderId="0" xfId="0" applyNumberFormat="1" applyFont="1" applyBorder="1" applyAlignment="1">
      <alignment horizontal="center" vertical="center" wrapText="1"/>
    </xf>
    <xf numFmtId="0" fontId="3" fillId="27" borderId="0" xfId="0" applyFont="1" applyFill="1" applyBorder="1" applyAlignment="1">
      <alignment horizontal="center" vertical="center" wrapText="1"/>
    </xf>
    <xf numFmtId="0" fontId="0" fillId="27" borderId="0" xfId="0" applyFill="1" applyAlignment="1">
      <alignment horizontal="center" vertical="center" wrapText="1"/>
    </xf>
    <xf numFmtId="0" fontId="3" fillId="27" borderId="0" xfId="0" applyFont="1" applyFill="1" applyAlignment="1">
      <alignment horizontal="center" vertical="center" wrapText="1"/>
    </xf>
    <xf numFmtId="0" fontId="11" fillId="27" borderId="0" xfId="0" applyFont="1" applyFill="1" applyBorder="1" applyAlignment="1">
      <alignment horizontal="center" vertical="center" wrapText="1"/>
    </xf>
    <xf numFmtId="0" fontId="11" fillId="27" borderId="0" xfId="0" applyFont="1" applyFill="1" applyAlignment="1">
      <alignment horizontal="center" vertical="center" wrapText="1"/>
    </xf>
    <xf numFmtId="0" fontId="11" fillId="29" borderId="0" xfId="0" applyFont="1" applyFill="1" applyAlignment="1">
      <alignment horizontal="center" vertical="center" wrapText="1"/>
    </xf>
    <xf numFmtId="0" fontId="0" fillId="29" borderId="0" xfId="0" applyFill="1" applyAlignment="1">
      <alignment horizontal="center" vertical="center" wrapText="1"/>
    </xf>
    <xf numFmtId="0" fontId="3" fillId="0" borderId="15" xfId="0" applyFont="1" applyBorder="1" applyAlignment="1">
      <alignment horizontal="center" vertical="center" wrapText="1"/>
    </xf>
    <xf numFmtId="0" fontId="0" fillId="0" borderId="2" xfId="0" applyBorder="1" applyAlignment="1">
      <alignment horizontal="center" vertical="center" wrapText="1"/>
    </xf>
    <xf numFmtId="0" fontId="5" fillId="0" borderId="2" xfId="0" applyFont="1" applyBorder="1" applyAlignment="1">
      <alignment horizontal="center" vertical="center" wrapText="1"/>
    </xf>
    <xf numFmtId="0" fontId="0" fillId="0" borderId="8" xfId="0" applyBorder="1" applyAlignment="1">
      <alignment horizontal="center" vertical="center" wrapText="1"/>
    </xf>
    <xf numFmtId="0" fontId="5" fillId="0" borderId="15" xfId="0" applyFont="1" applyBorder="1" applyAlignment="1">
      <alignment horizontal="center" vertical="center" wrapText="1"/>
    </xf>
    <xf numFmtId="0" fontId="0" fillId="0" borderId="15" xfId="0" applyBorder="1" applyAlignment="1">
      <alignment horizontal="center" vertical="center" wrapText="1"/>
    </xf>
    <xf numFmtId="0" fontId="11" fillId="29" borderId="0" xfId="0" applyFont="1" applyFill="1" applyBorder="1" applyAlignment="1">
      <alignment horizontal="center" vertical="center" wrapText="1"/>
    </xf>
    <xf numFmtId="0" fontId="3" fillId="0" borderId="4" xfId="0" applyFont="1" applyBorder="1" applyAlignment="1">
      <alignment horizontal="center" vertical="center" wrapText="1"/>
    </xf>
    <xf numFmtId="0" fontId="0" fillId="0" borderId="7" xfId="0" applyBorder="1" applyAlignment="1">
      <alignment horizontal="center" vertical="center" wrapText="1"/>
    </xf>
    <xf numFmtId="0" fontId="5" fillId="0" borderId="0" xfId="0" applyFont="1"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11" fillId="27" borderId="10"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9" xfId="0" applyBorder="1" applyAlignment="1">
      <alignment horizontal="center" vertical="center" wrapText="1"/>
    </xf>
    <xf numFmtId="0" fontId="11" fillId="27" borderId="7"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0" fontId="0" fillId="0" borderId="0" xfId="0" applyAlignment="1">
      <alignment horizontal="center" vertical="center" wrapText="1"/>
    </xf>
    <xf numFmtId="0" fontId="0" fillId="27" borderId="0" xfId="0" applyFill="1" applyBorder="1" applyAlignment="1">
      <alignment horizontal="center" vertical="center"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8" borderId="8" xfId="0" applyFont="1" applyFill="1" applyBorder="1" applyAlignment="1">
      <alignment horizontal="center" vertical="center" wrapText="1"/>
    </xf>
    <xf numFmtId="0" fontId="11" fillId="8" borderId="19" xfId="0" applyFont="1" applyFill="1" applyBorder="1" applyAlignment="1">
      <alignment horizontal="center" vertical="center" wrapText="1"/>
    </xf>
    <xf numFmtId="0" fontId="11" fillId="8" borderId="21" xfId="0" applyFont="1" applyFill="1" applyBorder="1" applyAlignment="1">
      <alignment horizontal="center" vertical="center" wrapText="1"/>
    </xf>
    <xf numFmtId="0" fontId="11" fillId="8" borderId="20" xfId="0" applyFont="1" applyFill="1" applyBorder="1" applyAlignment="1">
      <alignment horizontal="center" vertical="center" wrapText="1"/>
    </xf>
    <xf numFmtId="0" fontId="11" fillId="8" borderId="2" xfId="0" applyFont="1" applyFill="1" applyBorder="1" applyAlignment="1">
      <alignment horizontal="center" vertical="center"/>
    </xf>
    <xf numFmtId="0" fontId="11" fillId="8" borderId="3" xfId="0" applyFont="1" applyFill="1" applyBorder="1" applyAlignment="1">
      <alignment horizontal="center" vertical="center"/>
    </xf>
    <xf numFmtId="0" fontId="11" fillId="8" borderId="8" xfId="0"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1" fillId="0" borderId="11" xfId="0" applyFont="1" applyBorder="1" applyAlignment="1">
      <alignment horizontal="center" vertical="center" wrapText="1"/>
    </xf>
    <xf numFmtId="0" fontId="11" fillId="0" borderId="9" xfId="0" applyFont="1" applyBorder="1" applyAlignment="1">
      <alignment horizontal="center" vertical="center" wrapText="1"/>
    </xf>
    <xf numFmtId="0" fontId="11" fillId="8" borderId="15" xfId="0" applyFont="1" applyFill="1" applyBorder="1" applyAlignment="1">
      <alignment horizontal="center" vertical="center" wrapText="1"/>
    </xf>
    <xf numFmtId="0" fontId="3" fillId="0" borderId="0" xfId="0" applyFont="1" applyAlignment="1">
      <alignment horizontal="center" vertical="center" wrapText="1"/>
    </xf>
    <xf numFmtId="0" fontId="0" fillId="0" borderId="5" xfId="0" applyBorder="1" applyAlignment="1">
      <alignment horizontal="center" vertical="center" wrapText="1"/>
    </xf>
    <xf numFmtId="0" fontId="11" fillId="0" borderId="10" xfId="0" applyFont="1" applyBorder="1" applyAlignment="1">
      <alignment horizontal="center" vertical="center"/>
    </xf>
    <xf numFmtId="0" fontId="11" fillId="8" borderId="1" xfId="0" applyFont="1" applyFill="1" applyBorder="1" applyAlignment="1">
      <alignment horizontal="center" vertical="center"/>
    </xf>
    <xf numFmtId="0" fontId="0" fillId="0" borderId="1" xfId="0" applyBorder="1" applyAlignment="1">
      <alignment horizontal="center" vertical="center"/>
    </xf>
    <xf numFmtId="0" fontId="11" fillId="8" borderId="19" xfId="0" applyFont="1" applyFill="1" applyBorder="1" applyAlignment="1">
      <alignment horizontal="center" vertical="center"/>
    </xf>
    <xf numFmtId="0" fontId="0" fillId="0" borderId="20" xfId="0" applyBorder="1" applyAlignment="1">
      <alignment horizontal="center" vertical="center"/>
    </xf>
    <xf numFmtId="0" fontId="5" fillId="0" borderId="2" xfId="0" applyFont="1" applyBorder="1" applyAlignment="1">
      <alignment horizontal="center" vertical="center"/>
    </xf>
    <xf numFmtId="0" fontId="0" fillId="0" borderId="8" xfId="0" applyBorder="1" applyAlignment="1">
      <alignment horizontal="center" vertical="center"/>
    </xf>
    <xf numFmtId="0" fontId="11" fillId="27" borderId="19" xfId="0" applyFont="1" applyFill="1" applyBorder="1" applyAlignment="1">
      <alignment horizontal="center" vertical="center"/>
    </xf>
    <xf numFmtId="0" fontId="11" fillId="0" borderId="0" xfId="0" applyFont="1" applyBorder="1" applyAlignment="1">
      <alignment horizontal="center" vertical="center" wrapText="1"/>
    </xf>
    <xf numFmtId="0" fontId="11" fillId="0" borderId="5" xfId="0" applyFont="1" applyBorder="1" applyAlignment="1">
      <alignment horizontal="center" vertical="center" wrapText="1"/>
    </xf>
    <xf numFmtId="0" fontId="0" fillId="0" borderId="22" xfId="0" applyBorder="1" applyAlignment="1">
      <alignment horizontal="center" vertical="center" wrapText="1"/>
    </xf>
    <xf numFmtId="0" fontId="0" fillId="0" borderId="21"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xf>
    <xf numFmtId="0" fontId="11" fillId="0" borderId="11" xfId="0" applyFont="1" applyBorder="1" applyAlignment="1">
      <alignment horizontal="center" vertical="center"/>
    </xf>
    <xf numFmtId="0" fontId="0" fillId="0" borderId="2" xfId="0" applyBorder="1" applyAlignment="1">
      <alignment horizontal="center" vertical="center"/>
    </xf>
    <xf numFmtId="0" fontId="11" fillId="8" borderId="10" xfId="0" applyFont="1" applyFill="1" applyBorder="1" applyAlignment="1">
      <alignment horizontal="center"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6" xfId="0" applyBorder="1" applyAlignment="1">
      <alignment horizontal="center" vertical="center"/>
    </xf>
    <xf numFmtId="0" fontId="3" fillId="0" borderId="0" xfId="0" applyFont="1" applyAlignment="1">
      <alignment horizontal="center" vertical="center"/>
    </xf>
    <xf numFmtId="0" fontId="0" fillId="0" borderId="1" xfId="0" applyBorder="1" applyAlignment="1">
      <alignment horizontal="center" vertical="center" wrapText="1"/>
    </xf>
    <xf numFmtId="0" fontId="11" fillId="8" borderId="10" xfId="0" applyFont="1" applyFill="1" applyBorder="1" applyAlignment="1">
      <alignment horizontal="center" vertical="center" wrapText="1"/>
    </xf>
    <xf numFmtId="0" fontId="0" fillId="0" borderId="6" xfId="0" applyBorder="1" applyAlignment="1">
      <alignment horizontal="center" vertical="center" wrapText="1"/>
    </xf>
    <xf numFmtId="0" fontId="11" fillId="27" borderId="9" xfId="0" applyFont="1" applyFill="1" applyBorder="1" applyAlignment="1">
      <alignment horizontal="center" vertical="center" wrapText="1"/>
    </xf>
    <xf numFmtId="0" fontId="11" fillId="27" borderId="6" xfId="0" applyFont="1" applyFill="1" applyBorder="1" applyAlignment="1">
      <alignment horizontal="center" vertical="center" wrapText="1"/>
    </xf>
    <xf numFmtId="0" fontId="11" fillId="27" borderId="7" xfId="0" applyFont="1" applyFill="1" applyBorder="1" applyAlignment="1">
      <alignment horizontal="center" vertical="center"/>
    </xf>
    <xf numFmtId="0" fontId="11" fillId="27" borderId="1" xfId="0" applyFont="1" applyFill="1" applyBorder="1" applyAlignment="1">
      <alignment horizontal="center" vertical="center"/>
    </xf>
    <xf numFmtId="0" fontId="11" fillId="0" borderId="1"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9" xfId="0" applyFont="1" applyBorder="1" applyAlignment="1">
      <alignment horizontal="center" vertical="center"/>
    </xf>
    <xf numFmtId="0" fontId="0" fillId="0" borderId="5"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wrapText="1"/>
    </xf>
    <xf numFmtId="0" fontId="11" fillId="27" borderId="0" xfId="0" applyFont="1" applyFill="1" applyAlignment="1">
      <alignment horizontal="center" vertical="center"/>
    </xf>
    <xf numFmtId="0" fontId="0" fillId="27" borderId="0" xfId="0" applyFill="1" applyAlignment="1">
      <alignment horizontal="center" vertical="center"/>
    </xf>
    <xf numFmtId="0" fontId="0" fillId="27" borderId="1" xfId="0" applyFill="1" applyBorder="1" applyAlignment="1">
      <alignment horizontal="center" vertical="center"/>
    </xf>
    <xf numFmtId="0" fontId="11" fillId="27" borderId="2" xfId="0" applyFont="1" applyFill="1" applyBorder="1" applyAlignment="1">
      <alignment horizontal="center" vertical="center"/>
    </xf>
    <xf numFmtId="0" fontId="11" fillId="27" borderId="3" xfId="0" applyFont="1" applyFill="1" applyBorder="1" applyAlignment="1">
      <alignment horizontal="center" vertical="center"/>
    </xf>
    <xf numFmtId="0" fontId="11" fillId="27" borderId="8" xfId="0" applyFont="1" applyFill="1" applyBorder="1" applyAlignment="1">
      <alignment horizontal="center" vertical="center"/>
    </xf>
    <xf numFmtId="0" fontId="5" fillId="0" borderId="4" xfId="0" applyFont="1" applyBorder="1" applyAlignment="1">
      <alignment horizontal="center" vertical="center"/>
    </xf>
    <xf numFmtId="0" fontId="38" fillId="9" borderId="4" xfId="4" applyBorder="1" applyAlignment="1">
      <alignment horizontal="center" vertical="center" wrapText="1"/>
    </xf>
    <xf numFmtId="0" fontId="11" fillId="0" borderId="0" xfId="0" applyFont="1" applyAlignment="1">
      <alignment horizontal="center" vertical="center" wrapText="1"/>
    </xf>
    <xf numFmtId="0" fontId="44" fillId="24" borderId="0" xfId="0" applyFont="1" applyFill="1" applyAlignment="1">
      <alignment horizontal="center" wrapText="1"/>
    </xf>
    <xf numFmtId="0" fontId="44" fillId="0" borderId="0" xfId="0" applyFont="1" applyAlignment="1">
      <alignment horizontal="center" wrapText="1"/>
    </xf>
    <xf numFmtId="0" fontId="3" fillId="25" borderId="0" xfId="0" applyFont="1" applyFill="1" applyAlignment="1">
      <alignment horizontal="center" wrapText="1"/>
    </xf>
    <xf numFmtId="0" fontId="0" fillId="0" borderId="0" xfId="0" applyAlignment="1">
      <alignment horizontal="center" wrapText="1"/>
    </xf>
    <xf numFmtId="0" fontId="3" fillId="25" borderId="0" xfId="0" applyFont="1" applyFill="1" applyAlignment="1">
      <alignment wrapText="1"/>
    </xf>
    <xf numFmtId="0" fontId="0" fillId="0" borderId="0" xfId="0" applyAlignment="1">
      <alignment wrapText="1"/>
    </xf>
    <xf numFmtId="0" fontId="44" fillId="24" borderId="0" xfId="0" applyFont="1" applyFill="1" applyAlignment="1">
      <alignment wrapText="1"/>
    </xf>
    <xf numFmtId="0" fontId="11" fillId="5" borderId="1" xfId="0" applyFont="1" applyFill="1" applyBorder="1" applyAlignment="1">
      <alignment horizontal="center"/>
    </xf>
  </cellXfs>
  <cellStyles count="15">
    <cellStyle name="20% - Accent1" xfId="6" builtinId="30"/>
    <cellStyle name="60% - Accent5" xfId="11" builtinId="48"/>
    <cellStyle name="60% - Accent6" xfId="13" builtinId="52"/>
    <cellStyle name="Accent1" xfId="7" builtinId="29"/>
    <cellStyle name="Accent2" xfId="8" builtinId="33"/>
    <cellStyle name="Accent3" xfId="9" builtinId="37"/>
    <cellStyle name="Accent4" xfId="10" builtinId="41"/>
    <cellStyle name="Accent5" xfId="14" builtinId="45"/>
    <cellStyle name="Accent6" xfId="12" builtinId="49"/>
    <cellStyle name="Bad" xfId="5" builtinId="27"/>
    <cellStyle name="Calculation" xfId="1" builtinId="22"/>
    <cellStyle name="Good" xfId="4" builtinId="26"/>
    <cellStyle name="Input" xfId="2" builtinId="20"/>
    <cellStyle name="Normal" xfId="0" builtinId="0"/>
    <cellStyle name="Percent" xfId="3" builtinId="5"/>
  </cellStyles>
  <dxfs count="0"/>
  <tableStyles count="0" defaultTableStyle="TableStyleMedium9"/>
  <colors>
    <mruColors>
      <color rgb="FF333399"/>
      <color rgb="FF99CCFF"/>
      <color rgb="FFFF99CC"/>
      <color rgb="FFFF66CC"/>
      <color rgb="FF993366"/>
      <color rgb="FF000000"/>
      <color rgb="FF969696"/>
      <color rgb="FF3F3F7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7</xdr:col>
      <xdr:colOff>66675</xdr:colOff>
      <xdr:row>28</xdr:row>
      <xdr:rowOff>57150</xdr:rowOff>
    </xdr:from>
    <xdr:ext cx="1268436" cy="554693"/>
    <xdr:sp macro="" textlink="">
      <xdr:nvSpPr>
        <xdr:cNvPr id="9317" name="Text Box 101"/>
        <xdr:cNvSpPr txBox="1">
          <a:spLocks noChangeArrowheads="1"/>
        </xdr:cNvSpPr>
      </xdr:nvSpPr>
      <xdr:spPr bwMode="auto">
        <a:xfrm>
          <a:off x="4333875" y="4591050"/>
          <a:ext cx="1421030"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Levulinic Acid</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10</xdr:col>
      <xdr:colOff>523875</xdr:colOff>
      <xdr:row>36</xdr:row>
      <xdr:rowOff>133350</xdr:rowOff>
    </xdr:from>
    <xdr:ext cx="762000" cy="552450"/>
    <xdr:sp macro="" textlink="">
      <xdr:nvSpPr>
        <xdr:cNvPr id="9318" name="Text Box 102"/>
        <xdr:cNvSpPr txBox="1">
          <a:spLocks noChangeArrowheads="1"/>
        </xdr:cNvSpPr>
      </xdr:nvSpPr>
      <xdr:spPr bwMode="auto">
        <a:xfrm>
          <a:off x="6619875" y="5962650"/>
          <a:ext cx="857250" cy="609600"/>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Furfural</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5</xdr:col>
      <xdr:colOff>142875</xdr:colOff>
      <xdr:row>28</xdr:row>
      <xdr:rowOff>57150</xdr:rowOff>
    </xdr:from>
    <xdr:ext cx="524503" cy="554693"/>
    <xdr:sp macro="" textlink="">
      <xdr:nvSpPr>
        <xdr:cNvPr id="9319" name="Text Box 103"/>
        <xdr:cNvSpPr txBox="1">
          <a:spLocks noChangeArrowheads="1"/>
        </xdr:cNvSpPr>
      </xdr:nvSpPr>
      <xdr:spPr bwMode="auto">
        <a:xfrm>
          <a:off x="3190875" y="4591050"/>
          <a:ext cx="629403"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HMF</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2</xdr:col>
      <xdr:colOff>600075</xdr:colOff>
      <xdr:row>32</xdr:row>
      <xdr:rowOff>19050</xdr:rowOff>
    </xdr:from>
    <xdr:ext cx="786972" cy="554693"/>
    <xdr:sp macro="" textlink="">
      <xdr:nvSpPr>
        <xdr:cNvPr id="9320" name="Text Box 104"/>
        <xdr:cNvSpPr txBox="1">
          <a:spLocks noChangeArrowheads="1"/>
        </xdr:cNvSpPr>
      </xdr:nvSpPr>
      <xdr:spPr bwMode="auto">
        <a:xfrm>
          <a:off x="1819275" y="5200650"/>
          <a:ext cx="891270"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Fructose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xdr:col>
      <xdr:colOff>66675</xdr:colOff>
      <xdr:row>28</xdr:row>
      <xdr:rowOff>57150</xdr:rowOff>
    </xdr:from>
    <xdr:ext cx="720503" cy="554693"/>
    <xdr:sp macro="" textlink="">
      <xdr:nvSpPr>
        <xdr:cNvPr id="9321" name="Text Box 105"/>
        <xdr:cNvSpPr txBox="1">
          <a:spLocks noChangeArrowheads="1"/>
        </xdr:cNvSpPr>
      </xdr:nvSpPr>
      <xdr:spPr bwMode="auto">
        <a:xfrm>
          <a:off x="676275" y="4591050"/>
          <a:ext cx="834267"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Sucrose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4</xdr:col>
      <xdr:colOff>600075</xdr:colOff>
      <xdr:row>24</xdr:row>
      <xdr:rowOff>19050</xdr:rowOff>
    </xdr:from>
    <xdr:ext cx="752226" cy="554693"/>
    <xdr:sp macro="" textlink="">
      <xdr:nvSpPr>
        <xdr:cNvPr id="9322" name="Text Box 106"/>
        <xdr:cNvSpPr txBox="1">
          <a:spLocks noChangeArrowheads="1"/>
        </xdr:cNvSpPr>
      </xdr:nvSpPr>
      <xdr:spPr bwMode="auto">
        <a:xfrm>
          <a:off x="3038475" y="3905250"/>
          <a:ext cx="856966"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Glucose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4</xdr:col>
      <xdr:colOff>523875</xdr:colOff>
      <xdr:row>16</xdr:row>
      <xdr:rowOff>95250</xdr:rowOff>
    </xdr:from>
    <xdr:ext cx="936225" cy="554693"/>
    <xdr:sp macro="" textlink="">
      <xdr:nvSpPr>
        <xdr:cNvPr id="9323" name="Text Box 107"/>
        <xdr:cNvSpPr txBox="1">
          <a:spLocks noChangeArrowheads="1"/>
        </xdr:cNvSpPr>
      </xdr:nvSpPr>
      <xdr:spPr bwMode="auto">
        <a:xfrm>
          <a:off x="2962275" y="2686050"/>
          <a:ext cx="105086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Oligomers</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12</xdr:col>
      <xdr:colOff>523875</xdr:colOff>
      <xdr:row>32</xdr:row>
      <xdr:rowOff>95250</xdr:rowOff>
    </xdr:from>
    <xdr:ext cx="894662" cy="554693"/>
    <xdr:sp macro="" textlink="">
      <xdr:nvSpPr>
        <xdr:cNvPr id="9324" name="Text Box 108"/>
        <xdr:cNvSpPr txBox="1">
          <a:spLocks noChangeArrowheads="1"/>
        </xdr:cNvSpPr>
      </xdr:nvSpPr>
      <xdr:spPr bwMode="auto">
        <a:xfrm>
          <a:off x="7839075" y="5276850"/>
          <a:ext cx="1027910"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Arabinose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10</xdr:col>
      <xdr:colOff>600075</xdr:colOff>
      <xdr:row>24</xdr:row>
      <xdr:rowOff>95250</xdr:rowOff>
    </xdr:from>
    <xdr:ext cx="552680" cy="554693"/>
    <xdr:sp macro="" textlink="">
      <xdr:nvSpPr>
        <xdr:cNvPr id="9325" name="Text Box 109"/>
        <xdr:cNvSpPr txBox="1">
          <a:spLocks noChangeArrowheads="1"/>
        </xdr:cNvSpPr>
      </xdr:nvSpPr>
      <xdr:spPr bwMode="auto">
        <a:xfrm>
          <a:off x="6696075" y="3981450"/>
          <a:ext cx="68608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Xylan</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8</xdr:col>
      <xdr:colOff>600075</xdr:colOff>
      <xdr:row>20</xdr:row>
      <xdr:rowOff>57150</xdr:rowOff>
    </xdr:from>
    <xdr:ext cx="878845" cy="554693"/>
    <xdr:sp macro="" textlink="">
      <xdr:nvSpPr>
        <xdr:cNvPr id="9326" name="Text Box 110"/>
        <xdr:cNvSpPr txBox="1">
          <a:spLocks noChangeArrowheads="1"/>
        </xdr:cNvSpPr>
      </xdr:nvSpPr>
      <xdr:spPr bwMode="auto">
        <a:xfrm>
          <a:off x="5476875" y="3295650"/>
          <a:ext cx="993477"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Galactose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6</xdr:col>
      <xdr:colOff>600075</xdr:colOff>
      <xdr:row>12</xdr:row>
      <xdr:rowOff>133350</xdr:rowOff>
    </xdr:from>
    <xdr:ext cx="723660" cy="554693"/>
    <xdr:sp macro="" textlink="">
      <xdr:nvSpPr>
        <xdr:cNvPr id="9327" name="Text Box 111"/>
        <xdr:cNvSpPr txBox="1">
          <a:spLocks noChangeArrowheads="1"/>
        </xdr:cNvSpPr>
      </xdr:nvSpPr>
      <xdr:spPr bwMode="auto">
        <a:xfrm>
          <a:off x="4257675" y="2076450"/>
          <a:ext cx="856966"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Mannan</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4</xdr:col>
      <xdr:colOff>523875</xdr:colOff>
      <xdr:row>12</xdr:row>
      <xdr:rowOff>133350</xdr:rowOff>
    </xdr:from>
    <xdr:ext cx="855109" cy="554693"/>
    <xdr:sp macro="" textlink="">
      <xdr:nvSpPr>
        <xdr:cNvPr id="9328" name="Text Box 112"/>
        <xdr:cNvSpPr txBox="1">
          <a:spLocks noChangeArrowheads="1"/>
        </xdr:cNvSpPr>
      </xdr:nvSpPr>
      <xdr:spPr bwMode="auto">
        <a:xfrm>
          <a:off x="2962275" y="2076450"/>
          <a:ext cx="959622"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Cellulose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2</xdr:col>
      <xdr:colOff>600075</xdr:colOff>
      <xdr:row>28</xdr:row>
      <xdr:rowOff>57150</xdr:rowOff>
    </xdr:from>
    <xdr:ext cx="752226" cy="554693"/>
    <xdr:sp macro="" textlink="">
      <xdr:nvSpPr>
        <xdr:cNvPr id="9329" name="Text Box 113"/>
        <xdr:cNvSpPr txBox="1">
          <a:spLocks noChangeArrowheads="1"/>
        </xdr:cNvSpPr>
      </xdr:nvSpPr>
      <xdr:spPr bwMode="auto">
        <a:xfrm>
          <a:off x="1819275" y="4591050"/>
          <a:ext cx="856966"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Glucose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8</xdr:col>
      <xdr:colOff>523875</xdr:colOff>
      <xdr:row>16</xdr:row>
      <xdr:rowOff>95250</xdr:rowOff>
    </xdr:from>
    <xdr:ext cx="936225" cy="554693"/>
    <xdr:sp macro="" textlink="">
      <xdr:nvSpPr>
        <xdr:cNvPr id="9330" name="Text Box 114"/>
        <xdr:cNvSpPr txBox="1">
          <a:spLocks noChangeArrowheads="1"/>
        </xdr:cNvSpPr>
      </xdr:nvSpPr>
      <xdr:spPr bwMode="auto">
        <a:xfrm>
          <a:off x="5400675" y="2686050"/>
          <a:ext cx="105086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Oligomers</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6</xdr:col>
      <xdr:colOff>523875</xdr:colOff>
      <xdr:row>16</xdr:row>
      <xdr:rowOff>95250</xdr:rowOff>
    </xdr:from>
    <xdr:ext cx="936225" cy="554693"/>
    <xdr:sp macro="" textlink="">
      <xdr:nvSpPr>
        <xdr:cNvPr id="9331" name="Text Box 115"/>
        <xdr:cNvSpPr txBox="1">
          <a:spLocks noChangeArrowheads="1"/>
        </xdr:cNvSpPr>
      </xdr:nvSpPr>
      <xdr:spPr bwMode="auto">
        <a:xfrm>
          <a:off x="4181475" y="2686050"/>
          <a:ext cx="105086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Oligomers</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8</xdr:col>
      <xdr:colOff>600075</xdr:colOff>
      <xdr:row>12</xdr:row>
      <xdr:rowOff>133350</xdr:rowOff>
    </xdr:from>
    <xdr:ext cx="789925" cy="554693"/>
    <xdr:sp macro="" textlink="">
      <xdr:nvSpPr>
        <xdr:cNvPr id="9332" name="Text Box 116"/>
        <xdr:cNvSpPr txBox="1">
          <a:spLocks noChangeArrowheads="1"/>
        </xdr:cNvSpPr>
      </xdr:nvSpPr>
      <xdr:spPr bwMode="auto">
        <a:xfrm>
          <a:off x="5476875" y="2076450"/>
          <a:ext cx="913648"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Galactan</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6</xdr:col>
      <xdr:colOff>600075</xdr:colOff>
      <xdr:row>20</xdr:row>
      <xdr:rowOff>57150</xdr:rowOff>
    </xdr:from>
    <xdr:ext cx="812526" cy="554693"/>
    <xdr:sp macro="" textlink="">
      <xdr:nvSpPr>
        <xdr:cNvPr id="9333" name="Text Box 117"/>
        <xdr:cNvSpPr txBox="1">
          <a:spLocks noChangeArrowheads="1"/>
        </xdr:cNvSpPr>
      </xdr:nvSpPr>
      <xdr:spPr bwMode="auto">
        <a:xfrm>
          <a:off x="4257675" y="3295650"/>
          <a:ext cx="93679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Mannose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12</xdr:col>
      <xdr:colOff>600075</xdr:colOff>
      <xdr:row>24</xdr:row>
      <xdr:rowOff>95250</xdr:rowOff>
    </xdr:from>
    <xdr:ext cx="805868" cy="554693"/>
    <xdr:sp macro="" textlink="">
      <xdr:nvSpPr>
        <xdr:cNvPr id="9334" name="Text Box 118"/>
        <xdr:cNvSpPr txBox="1">
          <a:spLocks noChangeArrowheads="1"/>
        </xdr:cNvSpPr>
      </xdr:nvSpPr>
      <xdr:spPr bwMode="auto">
        <a:xfrm>
          <a:off x="7915275" y="3981450"/>
          <a:ext cx="948080"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Arabinan</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12</xdr:col>
      <xdr:colOff>523875</xdr:colOff>
      <xdr:row>28</xdr:row>
      <xdr:rowOff>133350</xdr:rowOff>
    </xdr:from>
    <xdr:ext cx="936225" cy="554693"/>
    <xdr:sp macro="" textlink="">
      <xdr:nvSpPr>
        <xdr:cNvPr id="9335" name="Text Box 119"/>
        <xdr:cNvSpPr txBox="1">
          <a:spLocks noChangeArrowheads="1"/>
        </xdr:cNvSpPr>
      </xdr:nvSpPr>
      <xdr:spPr bwMode="auto">
        <a:xfrm>
          <a:off x="7839075" y="4667250"/>
          <a:ext cx="105086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Oligomers</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10</xdr:col>
      <xdr:colOff>523875</xdr:colOff>
      <xdr:row>28</xdr:row>
      <xdr:rowOff>133350</xdr:rowOff>
    </xdr:from>
    <xdr:ext cx="936225" cy="554693"/>
    <xdr:sp macro="" textlink="">
      <xdr:nvSpPr>
        <xdr:cNvPr id="9336" name="Text Box 120"/>
        <xdr:cNvSpPr txBox="1">
          <a:spLocks noChangeArrowheads="1"/>
        </xdr:cNvSpPr>
      </xdr:nvSpPr>
      <xdr:spPr bwMode="auto">
        <a:xfrm>
          <a:off x="6619875" y="4667250"/>
          <a:ext cx="105086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Oligomers</a:t>
          </a:r>
        </a:p>
        <a:p>
          <a:pPr algn="l" rtl="0">
            <a:defRPr sz="1000"/>
          </a:pPr>
          <a:endParaRPr lang="en-US" sz="1600" b="0" i="0" u="none" strike="noStrike" baseline="0">
            <a:solidFill>
              <a:srgbClr val="000000"/>
            </a:solidFill>
            <a:latin typeface="Times New Roman"/>
            <a:cs typeface="Times New Roman"/>
          </a:endParaRPr>
        </a:p>
      </xdr:txBody>
    </xdr:sp>
    <xdr:clientData/>
  </xdr:oneCellAnchor>
  <xdr:oneCellAnchor>
    <xdr:from>
      <xdr:col>10</xdr:col>
      <xdr:colOff>600075</xdr:colOff>
      <xdr:row>32</xdr:row>
      <xdr:rowOff>95250</xdr:rowOff>
    </xdr:from>
    <xdr:ext cx="641454" cy="554693"/>
    <xdr:sp macro="" textlink="">
      <xdr:nvSpPr>
        <xdr:cNvPr id="9337" name="Text Box 121"/>
        <xdr:cNvSpPr txBox="1">
          <a:spLocks noChangeArrowheads="1"/>
        </xdr:cNvSpPr>
      </xdr:nvSpPr>
      <xdr:spPr bwMode="auto">
        <a:xfrm>
          <a:off x="6696075" y="5276850"/>
          <a:ext cx="765915"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Xylose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twoCellAnchor>
    <xdr:from>
      <xdr:col>2</xdr:col>
      <xdr:colOff>295275</xdr:colOff>
      <xdr:row>29</xdr:row>
      <xdr:rowOff>47625</xdr:rowOff>
    </xdr:from>
    <xdr:to>
      <xdr:col>2</xdr:col>
      <xdr:colOff>600075</xdr:colOff>
      <xdr:row>29</xdr:row>
      <xdr:rowOff>47625</xdr:rowOff>
    </xdr:to>
    <xdr:sp macro="" textlink="">
      <xdr:nvSpPr>
        <xdr:cNvPr id="14848" name="Line 122"/>
        <xdr:cNvSpPr>
          <a:spLocks noChangeShapeType="1"/>
        </xdr:cNvSpPr>
      </xdr:nvSpPr>
      <xdr:spPr bwMode="auto">
        <a:xfrm>
          <a:off x="1514475" y="4743450"/>
          <a:ext cx="304800" cy="0"/>
        </a:xfrm>
        <a:prstGeom prst="line">
          <a:avLst/>
        </a:prstGeom>
        <a:noFill/>
        <a:ln w="9525">
          <a:solidFill>
            <a:srgbClr val="000000"/>
          </a:solidFill>
          <a:round/>
          <a:headEnd/>
          <a:tailEnd type="triangle" w="med" len="med"/>
        </a:ln>
      </xdr:spPr>
    </xdr:sp>
    <xdr:clientData/>
  </xdr:twoCellAnchor>
  <xdr:twoCellAnchor>
    <xdr:from>
      <xdr:col>2</xdr:col>
      <xdr:colOff>219075</xdr:colOff>
      <xdr:row>29</xdr:row>
      <xdr:rowOff>123825</xdr:rowOff>
    </xdr:from>
    <xdr:to>
      <xdr:col>3</xdr:col>
      <xdr:colOff>66675</xdr:colOff>
      <xdr:row>32</xdr:row>
      <xdr:rowOff>95250</xdr:rowOff>
    </xdr:to>
    <xdr:sp macro="" textlink="">
      <xdr:nvSpPr>
        <xdr:cNvPr id="14849" name="Line 123"/>
        <xdr:cNvSpPr>
          <a:spLocks noChangeShapeType="1"/>
        </xdr:cNvSpPr>
      </xdr:nvSpPr>
      <xdr:spPr bwMode="auto">
        <a:xfrm>
          <a:off x="1438275" y="4819650"/>
          <a:ext cx="457200" cy="457200"/>
        </a:xfrm>
        <a:prstGeom prst="line">
          <a:avLst/>
        </a:prstGeom>
        <a:noFill/>
        <a:ln w="9525">
          <a:solidFill>
            <a:srgbClr val="000000"/>
          </a:solidFill>
          <a:round/>
          <a:headEnd/>
          <a:tailEnd type="triangle" w="med" len="med"/>
        </a:ln>
      </xdr:spPr>
    </xdr:sp>
    <xdr:clientData/>
  </xdr:twoCellAnchor>
  <xdr:twoCellAnchor>
    <xdr:from>
      <xdr:col>4</xdr:col>
      <xdr:colOff>219075</xdr:colOff>
      <xdr:row>29</xdr:row>
      <xdr:rowOff>123825</xdr:rowOff>
    </xdr:from>
    <xdr:to>
      <xdr:col>5</xdr:col>
      <xdr:colOff>142875</xdr:colOff>
      <xdr:row>32</xdr:row>
      <xdr:rowOff>95250</xdr:rowOff>
    </xdr:to>
    <xdr:sp macro="" textlink="">
      <xdr:nvSpPr>
        <xdr:cNvPr id="14850" name="Line 124"/>
        <xdr:cNvSpPr>
          <a:spLocks noChangeShapeType="1"/>
        </xdr:cNvSpPr>
      </xdr:nvSpPr>
      <xdr:spPr bwMode="auto">
        <a:xfrm flipV="1">
          <a:off x="2657475" y="4819650"/>
          <a:ext cx="533400" cy="457200"/>
        </a:xfrm>
        <a:prstGeom prst="line">
          <a:avLst/>
        </a:prstGeom>
        <a:noFill/>
        <a:ln w="9525">
          <a:solidFill>
            <a:srgbClr val="000000"/>
          </a:solidFill>
          <a:round/>
          <a:headEnd/>
          <a:tailEnd type="triangle" w="med" len="med"/>
        </a:ln>
      </xdr:spPr>
    </xdr:sp>
    <xdr:clientData/>
  </xdr:twoCellAnchor>
  <xdr:twoCellAnchor>
    <xdr:from>
      <xdr:col>4</xdr:col>
      <xdr:colOff>219075</xdr:colOff>
      <xdr:row>29</xdr:row>
      <xdr:rowOff>47625</xdr:rowOff>
    </xdr:from>
    <xdr:to>
      <xdr:col>5</xdr:col>
      <xdr:colOff>142875</xdr:colOff>
      <xdr:row>29</xdr:row>
      <xdr:rowOff>47625</xdr:rowOff>
    </xdr:to>
    <xdr:sp macro="" textlink="">
      <xdr:nvSpPr>
        <xdr:cNvPr id="14851" name="Line 125"/>
        <xdr:cNvSpPr>
          <a:spLocks noChangeShapeType="1"/>
        </xdr:cNvSpPr>
      </xdr:nvSpPr>
      <xdr:spPr bwMode="auto">
        <a:xfrm>
          <a:off x="2657475" y="4743450"/>
          <a:ext cx="533400" cy="0"/>
        </a:xfrm>
        <a:prstGeom prst="line">
          <a:avLst/>
        </a:prstGeom>
        <a:noFill/>
        <a:ln w="9525">
          <a:solidFill>
            <a:srgbClr val="000000"/>
          </a:solidFill>
          <a:round/>
          <a:headEnd/>
          <a:tailEnd type="triangle" w="med" len="med"/>
        </a:ln>
      </xdr:spPr>
    </xdr:sp>
    <xdr:clientData/>
  </xdr:twoCellAnchor>
  <xdr:twoCellAnchor>
    <xdr:from>
      <xdr:col>5</xdr:col>
      <xdr:colOff>447675</xdr:colOff>
      <xdr:row>15</xdr:row>
      <xdr:rowOff>28575</xdr:rowOff>
    </xdr:from>
    <xdr:to>
      <xdr:col>5</xdr:col>
      <xdr:colOff>447675</xdr:colOff>
      <xdr:row>17</xdr:row>
      <xdr:rowOff>9525</xdr:rowOff>
    </xdr:to>
    <xdr:sp macro="" textlink="">
      <xdr:nvSpPr>
        <xdr:cNvPr id="14852" name="Line 126"/>
        <xdr:cNvSpPr>
          <a:spLocks noChangeShapeType="1"/>
        </xdr:cNvSpPr>
      </xdr:nvSpPr>
      <xdr:spPr bwMode="auto">
        <a:xfrm>
          <a:off x="3495675" y="2457450"/>
          <a:ext cx="0" cy="304800"/>
        </a:xfrm>
        <a:prstGeom prst="line">
          <a:avLst/>
        </a:prstGeom>
        <a:noFill/>
        <a:ln w="9525">
          <a:solidFill>
            <a:srgbClr val="000000"/>
          </a:solidFill>
          <a:round/>
          <a:headEnd/>
          <a:tailEnd type="triangle" w="med" len="med"/>
        </a:ln>
      </xdr:spPr>
    </xdr:sp>
    <xdr:clientData/>
  </xdr:twoCellAnchor>
  <xdr:twoCellAnchor>
    <xdr:from>
      <xdr:col>5</xdr:col>
      <xdr:colOff>447675</xdr:colOff>
      <xdr:row>18</xdr:row>
      <xdr:rowOff>76200</xdr:rowOff>
    </xdr:from>
    <xdr:to>
      <xdr:col>5</xdr:col>
      <xdr:colOff>447675</xdr:colOff>
      <xdr:row>20</xdr:row>
      <xdr:rowOff>57150</xdr:rowOff>
    </xdr:to>
    <xdr:sp macro="" textlink="">
      <xdr:nvSpPr>
        <xdr:cNvPr id="14853" name="Line 127"/>
        <xdr:cNvSpPr>
          <a:spLocks noChangeShapeType="1"/>
        </xdr:cNvSpPr>
      </xdr:nvSpPr>
      <xdr:spPr bwMode="auto">
        <a:xfrm>
          <a:off x="3495675" y="2990850"/>
          <a:ext cx="0" cy="304800"/>
        </a:xfrm>
        <a:prstGeom prst="line">
          <a:avLst/>
        </a:prstGeom>
        <a:noFill/>
        <a:ln w="9525">
          <a:solidFill>
            <a:srgbClr val="000000"/>
          </a:solidFill>
          <a:round/>
          <a:headEnd/>
          <a:tailEnd type="triangle" w="med" len="med"/>
        </a:ln>
      </xdr:spPr>
    </xdr:sp>
    <xdr:clientData/>
  </xdr:twoCellAnchor>
  <xdr:twoCellAnchor>
    <xdr:from>
      <xdr:col>7</xdr:col>
      <xdr:colOff>447675</xdr:colOff>
      <xdr:row>18</xdr:row>
      <xdr:rowOff>152400</xdr:rowOff>
    </xdr:from>
    <xdr:to>
      <xdr:col>7</xdr:col>
      <xdr:colOff>447675</xdr:colOff>
      <xdr:row>20</xdr:row>
      <xdr:rowOff>133350</xdr:rowOff>
    </xdr:to>
    <xdr:sp macro="" textlink="">
      <xdr:nvSpPr>
        <xdr:cNvPr id="14854" name="Line 128"/>
        <xdr:cNvSpPr>
          <a:spLocks noChangeShapeType="1"/>
        </xdr:cNvSpPr>
      </xdr:nvSpPr>
      <xdr:spPr bwMode="auto">
        <a:xfrm>
          <a:off x="4714875" y="3067050"/>
          <a:ext cx="0" cy="304800"/>
        </a:xfrm>
        <a:prstGeom prst="line">
          <a:avLst/>
        </a:prstGeom>
        <a:noFill/>
        <a:ln w="9525">
          <a:solidFill>
            <a:srgbClr val="000000"/>
          </a:solidFill>
          <a:round/>
          <a:headEnd/>
          <a:tailEnd type="triangle" w="med" len="med"/>
        </a:ln>
      </xdr:spPr>
    </xdr:sp>
    <xdr:clientData/>
  </xdr:twoCellAnchor>
  <xdr:twoCellAnchor>
    <xdr:from>
      <xdr:col>7</xdr:col>
      <xdr:colOff>447675</xdr:colOff>
      <xdr:row>15</xdr:row>
      <xdr:rowOff>28575</xdr:rowOff>
    </xdr:from>
    <xdr:to>
      <xdr:col>7</xdr:col>
      <xdr:colOff>447675</xdr:colOff>
      <xdr:row>17</xdr:row>
      <xdr:rowOff>9525</xdr:rowOff>
    </xdr:to>
    <xdr:sp macro="" textlink="">
      <xdr:nvSpPr>
        <xdr:cNvPr id="14855" name="Line 129"/>
        <xdr:cNvSpPr>
          <a:spLocks noChangeShapeType="1"/>
        </xdr:cNvSpPr>
      </xdr:nvSpPr>
      <xdr:spPr bwMode="auto">
        <a:xfrm>
          <a:off x="4714875" y="2457450"/>
          <a:ext cx="0" cy="304800"/>
        </a:xfrm>
        <a:prstGeom prst="line">
          <a:avLst/>
        </a:prstGeom>
        <a:noFill/>
        <a:ln w="9525">
          <a:solidFill>
            <a:srgbClr val="000000"/>
          </a:solidFill>
          <a:round/>
          <a:headEnd/>
          <a:tailEnd type="triangle" w="med" len="med"/>
        </a:ln>
      </xdr:spPr>
    </xdr:sp>
    <xdr:clientData/>
  </xdr:twoCellAnchor>
  <xdr:twoCellAnchor>
    <xdr:from>
      <xdr:col>9</xdr:col>
      <xdr:colOff>447675</xdr:colOff>
      <xdr:row>18</xdr:row>
      <xdr:rowOff>152400</xdr:rowOff>
    </xdr:from>
    <xdr:to>
      <xdr:col>9</xdr:col>
      <xdr:colOff>447675</xdr:colOff>
      <xdr:row>20</xdr:row>
      <xdr:rowOff>133350</xdr:rowOff>
    </xdr:to>
    <xdr:sp macro="" textlink="">
      <xdr:nvSpPr>
        <xdr:cNvPr id="14856" name="Line 130"/>
        <xdr:cNvSpPr>
          <a:spLocks noChangeShapeType="1"/>
        </xdr:cNvSpPr>
      </xdr:nvSpPr>
      <xdr:spPr bwMode="auto">
        <a:xfrm>
          <a:off x="5934075" y="3067050"/>
          <a:ext cx="0" cy="304800"/>
        </a:xfrm>
        <a:prstGeom prst="line">
          <a:avLst/>
        </a:prstGeom>
        <a:noFill/>
        <a:ln w="9525">
          <a:solidFill>
            <a:srgbClr val="000000"/>
          </a:solidFill>
          <a:round/>
          <a:headEnd/>
          <a:tailEnd type="triangle" w="med" len="med"/>
        </a:ln>
      </xdr:spPr>
    </xdr:sp>
    <xdr:clientData/>
  </xdr:twoCellAnchor>
  <xdr:twoCellAnchor>
    <xdr:from>
      <xdr:col>9</xdr:col>
      <xdr:colOff>447675</xdr:colOff>
      <xdr:row>15</xdr:row>
      <xdr:rowOff>28575</xdr:rowOff>
    </xdr:from>
    <xdr:to>
      <xdr:col>9</xdr:col>
      <xdr:colOff>447675</xdr:colOff>
      <xdr:row>17</xdr:row>
      <xdr:rowOff>9525</xdr:rowOff>
    </xdr:to>
    <xdr:sp macro="" textlink="">
      <xdr:nvSpPr>
        <xdr:cNvPr id="14857" name="Line 131"/>
        <xdr:cNvSpPr>
          <a:spLocks noChangeShapeType="1"/>
        </xdr:cNvSpPr>
      </xdr:nvSpPr>
      <xdr:spPr bwMode="auto">
        <a:xfrm>
          <a:off x="5934075" y="2457450"/>
          <a:ext cx="0" cy="304800"/>
        </a:xfrm>
        <a:prstGeom prst="line">
          <a:avLst/>
        </a:prstGeom>
        <a:noFill/>
        <a:ln w="9525">
          <a:solidFill>
            <a:srgbClr val="000000"/>
          </a:solidFill>
          <a:round/>
          <a:headEnd/>
          <a:tailEnd type="triangle" w="med" len="med"/>
        </a:ln>
      </xdr:spPr>
    </xdr:sp>
    <xdr:clientData/>
  </xdr:twoCellAnchor>
  <xdr:twoCellAnchor>
    <xdr:from>
      <xdr:col>5</xdr:col>
      <xdr:colOff>447675</xdr:colOff>
      <xdr:row>22</xdr:row>
      <xdr:rowOff>114300</xdr:rowOff>
    </xdr:from>
    <xdr:to>
      <xdr:col>5</xdr:col>
      <xdr:colOff>447675</xdr:colOff>
      <xdr:row>24</xdr:row>
      <xdr:rowOff>95250</xdr:rowOff>
    </xdr:to>
    <xdr:sp macro="" textlink="">
      <xdr:nvSpPr>
        <xdr:cNvPr id="14858" name="Line 132"/>
        <xdr:cNvSpPr>
          <a:spLocks noChangeShapeType="1"/>
        </xdr:cNvSpPr>
      </xdr:nvSpPr>
      <xdr:spPr bwMode="auto">
        <a:xfrm>
          <a:off x="3495675" y="3676650"/>
          <a:ext cx="0" cy="304800"/>
        </a:xfrm>
        <a:prstGeom prst="line">
          <a:avLst/>
        </a:prstGeom>
        <a:noFill/>
        <a:ln w="9525">
          <a:solidFill>
            <a:srgbClr val="000000"/>
          </a:solidFill>
          <a:round/>
          <a:headEnd/>
          <a:tailEnd type="triangle" w="med" len="med"/>
        </a:ln>
      </xdr:spPr>
    </xdr:sp>
    <xdr:clientData/>
  </xdr:twoCellAnchor>
  <xdr:twoCellAnchor>
    <xdr:from>
      <xdr:col>6</xdr:col>
      <xdr:colOff>66675</xdr:colOff>
      <xdr:row>22</xdr:row>
      <xdr:rowOff>38100</xdr:rowOff>
    </xdr:from>
    <xdr:to>
      <xdr:col>9</xdr:col>
      <xdr:colOff>371475</xdr:colOff>
      <xdr:row>28</xdr:row>
      <xdr:rowOff>133350</xdr:rowOff>
    </xdr:to>
    <xdr:sp macro="" textlink="">
      <xdr:nvSpPr>
        <xdr:cNvPr id="14859" name="Line 133"/>
        <xdr:cNvSpPr>
          <a:spLocks noChangeShapeType="1"/>
        </xdr:cNvSpPr>
      </xdr:nvSpPr>
      <xdr:spPr bwMode="auto">
        <a:xfrm flipH="1">
          <a:off x="3724275" y="3600450"/>
          <a:ext cx="2133600" cy="1066800"/>
        </a:xfrm>
        <a:prstGeom prst="line">
          <a:avLst/>
        </a:prstGeom>
        <a:noFill/>
        <a:ln w="9525">
          <a:solidFill>
            <a:srgbClr val="000000"/>
          </a:solidFill>
          <a:round/>
          <a:headEnd/>
          <a:tailEnd type="triangle" w="med" len="med"/>
        </a:ln>
      </xdr:spPr>
    </xdr:sp>
    <xdr:clientData/>
  </xdr:twoCellAnchor>
  <xdr:twoCellAnchor>
    <xdr:from>
      <xdr:col>6</xdr:col>
      <xdr:colOff>142875</xdr:colOff>
      <xdr:row>29</xdr:row>
      <xdr:rowOff>47625</xdr:rowOff>
    </xdr:from>
    <xdr:to>
      <xdr:col>6</xdr:col>
      <xdr:colOff>600075</xdr:colOff>
      <xdr:row>29</xdr:row>
      <xdr:rowOff>47625</xdr:rowOff>
    </xdr:to>
    <xdr:sp macro="" textlink="">
      <xdr:nvSpPr>
        <xdr:cNvPr id="14860" name="Line 134"/>
        <xdr:cNvSpPr>
          <a:spLocks noChangeShapeType="1"/>
        </xdr:cNvSpPr>
      </xdr:nvSpPr>
      <xdr:spPr bwMode="auto">
        <a:xfrm>
          <a:off x="3800475" y="4743450"/>
          <a:ext cx="457200" cy="0"/>
        </a:xfrm>
        <a:prstGeom prst="line">
          <a:avLst/>
        </a:prstGeom>
        <a:noFill/>
        <a:ln w="9525">
          <a:solidFill>
            <a:srgbClr val="000000"/>
          </a:solidFill>
          <a:round/>
          <a:headEnd/>
          <a:tailEnd type="triangle" w="med" len="med"/>
        </a:ln>
      </xdr:spPr>
    </xdr:sp>
    <xdr:clientData/>
  </xdr:twoCellAnchor>
  <xdr:twoCellAnchor>
    <xdr:from>
      <xdr:col>11</xdr:col>
      <xdr:colOff>371475</xdr:colOff>
      <xdr:row>26</xdr:row>
      <xdr:rowOff>152400</xdr:rowOff>
    </xdr:from>
    <xdr:to>
      <xdr:col>11</xdr:col>
      <xdr:colOff>371475</xdr:colOff>
      <xdr:row>28</xdr:row>
      <xdr:rowOff>133350</xdr:rowOff>
    </xdr:to>
    <xdr:sp macro="" textlink="">
      <xdr:nvSpPr>
        <xdr:cNvPr id="14861" name="Line 135"/>
        <xdr:cNvSpPr>
          <a:spLocks noChangeShapeType="1"/>
        </xdr:cNvSpPr>
      </xdr:nvSpPr>
      <xdr:spPr bwMode="auto">
        <a:xfrm>
          <a:off x="7077075" y="4362450"/>
          <a:ext cx="0" cy="304800"/>
        </a:xfrm>
        <a:prstGeom prst="line">
          <a:avLst/>
        </a:prstGeom>
        <a:noFill/>
        <a:ln w="9525">
          <a:solidFill>
            <a:srgbClr val="000000"/>
          </a:solidFill>
          <a:round/>
          <a:headEnd/>
          <a:tailEnd type="triangle" w="med" len="med"/>
        </a:ln>
      </xdr:spPr>
    </xdr:sp>
    <xdr:clientData/>
  </xdr:twoCellAnchor>
  <xdr:twoCellAnchor>
    <xdr:from>
      <xdr:col>11</xdr:col>
      <xdr:colOff>371475</xdr:colOff>
      <xdr:row>34</xdr:row>
      <xdr:rowOff>152400</xdr:rowOff>
    </xdr:from>
    <xdr:to>
      <xdr:col>11</xdr:col>
      <xdr:colOff>371475</xdr:colOff>
      <xdr:row>36</xdr:row>
      <xdr:rowOff>133350</xdr:rowOff>
    </xdr:to>
    <xdr:sp macro="" textlink="">
      <xdr:nvSpPr>
        <xdr:cNvPr id="14862" name="Line 136"/>
        <xdr:cNvSpPr>
          <a:spLocks noChangeShapeType="1"/>
        </xdr:cNvSpPr>
      </xdr:nvSpPr>
      <xdr:spPr bwMode="auto">
        <a:xfrm>
          <a:off x="7077075" y="5657850"/>
          <a:ext cx="0" cy="304800"/>
        </a:xfrm>
        <a:prstGeom prst="line">
          <a:avLst/>
        </a:prstGeom>
        <a:noFill/>
        <a:ln w="9525">
          <a:solidFill>
            <a:srgbClr val="000000"/>
          </a:solidFill>
          <a:round/>
          <a:headEnd/>
          <a:tailEnd type="triangle" w="med" len="med"/>
        </a:ln>
      </xdr:spPr>
    </xdr:sp>
    <xdr:clientData/>
  </xdr:twoCellAnchor>
  <xdr:twoCellAnchor>
    <xdr:from>
      <xdr:col>11</xdr:col>
      <xdr:colOff>371475</xdr:colOff>
      <xdr:row>30</xdr:row>
      <xdr:rowOff>114300</xdr:rowOff>
    </xdr:from>
    <xdr:to>
      <xdr:col>11</xdr:col>
      <xdr:colOff>371475</xdr:colOff>
      <xdr:row>32</xdr:row>
      <xdr:rowOff>95250</xdr:rowOff>
    </xdr:to>
    <xdr:sp macro="" textlink="">
      <xdr:nvSpPr>
        <xdr:cNvPr id="14863" name="Line 137"/>
        <xdr:cNvSpPr>
          <a:spLocks noChangeShapeType="1"/>
        </xdr:cNvSpPr>
      </xdr:nvSpPr>
      <xdr:spPr bwMode="auto">
        <a:xfrm>
          <a:off x="7077075" y="4972050"/>
          <a:ext cx="0" cy="304800"/>
        </a:xfrm>
        <a:prstGeom prst="line">
          <a:avLst/>
        </a:prstGeom>
        <a:noFill/>
        <a:ln w="9525">
          <a:solidFill>
            <a:srgbClr val="000000"/>
          </a:solidFill>
          <a:round/>
          <a:headEnd/>
          <a:tailEnd type="triangle" w="med" len="med"/>
        </a:ln>
      </xdr:spPr>
    </xdr:sp>
    <xdr:clientData/>
  </xdr:twoCellAnchor>
  <xdr:twoCellAnchor>
    <xdr:from>
      <xdr:col>13</xdr:col>
      <xdr:colOff>371475</xdr:colOff>
      <xdr:row>30</xdr:row>
      <xdr:rowOff>114300</xdr:rowOff>
    </xdr:from>
    <xdr:to>
      <xdr:col>13</xdr:col>
      <xdr:colOff>371475</xdr:colOff>
      <xdr:row>32</xdr:row>
      <xdr:rowOff>95250</xdr:rowOff>
    </xdr:to>
    <xdr:sp macro="" textlink="">
      <xdr:nvSpPr>
        <xdr:cNvPr id="14864" name="Line 138"/>
        <xdr:cNvSpPr>
          <a:spLocks noChangeShapeType="1"/>
        </xdr:cNvSpPr>
      </xdr:nvSpPr>
      <xdr:spPr bwMode="auto">
        <a:xfrm>
          <a:off x="8296275" y="4972050"/>
          <a:ext cx="0" cy="304800"/>
        </a:xfrm>
        <a:prstGeom prst="line">
          <a:avLst/>
        </a:prstGeom>
        <a:noFill/>
        <a:ln w="9525">
          <a:solidFill>
            <a:srgbClr val="000000"/>
          </a:solidFill>
          <a:round/>
          <a:headEnd/>
          <a:tailEnd type="triangle" w="med" len="med"/>
        </a:ln>
      </xdr:spPr>
    </xdr:sp>
    <xdr:clientData/>
  </xdr:twoCellAnchor>
  <xdr:twoCellAnchor>
    <xdr:from>
      <xdr:col>13</xdr:col>
      <xdr:colOff>371475</xdr:colOff>
      <xdr:row>26</xdr:row>
      <xdr:rowOff>152400</xdr:rowOff>
    </xdr:from>
    <xdr:to>
      <xdr:col>13</xdr:col>
      <xdr:colOff>371475</xdr:colOff>
      <xdr:row>28</xdr:row>
      <xdr:rowOff>133350</xdr:rowOff>
    </xdr:to>
    <xdr:sp macro="" textlink="">
      <xdr:nvSpPr>
        <xdr:cNvPr id="14865" name="Line 139"/>
        <xdr:cNvSpPr>
          <a:spLocks noChangeShapeType="1"/>
        </xdr:cNvSpPr>
      </xdr:nvSpPr>
      <xdr:spPr bwMode="auto">
        <a:xfrm>
          <a:off x="8296275" y="4362450"/>
          <a:ext cx="0" cy="304800"/>
        </a:xfrm>
        <a:prstGeom prst="line">
          <a:avLst/>
        </a:prstGeom>
        <a:noFill/>
        <a:ln w="9525">
          <a:solidFill>
            <a:srgbClr val="000000"/>
          </a:solidFill>
          <a:round/>
          <a:headEnd/>
          <a:tailEnd type="triangle" w="med" len="med"/>
        </a:ln>
      </xdr:spPr>
    </xdr:sp>
    <xdr:clientData/>
  </xdr:twoCellAnchor>
  <xdr:twoCellAnchor>
    <xdr:from>
      <xdr:col>12</xdr:col>
      <xdr:colOff>142875</xdr:colOff>
      <xdr:row>34</xdr:row>
      <xdr:rowOff>76200</xdr:rowOff>
    </xdr:from>
    <xdr:to>
      <xdr:col>13</xdr:col>
      <xdr:colOff>66675</xdr:colOff>
      <xdr:row>36</xdr:row>
      <xdr:rowOff>133350</xdr:rowOff>
    </xdr:to>
    <xdr:sp macro="" textlink="">
      <xdr:nvSpPr>
        <xdr:cNvPr id="14866" name="Line 140"/>
        <xdr:cNvSpPr>
          <a:spLocks noChangeShapeType="1"/>
        </xdr:cNvSpPr>
      </xdr:nvSpPr>
      <xdr:spPr bwMode="auto">
        <a:xfrm flipH="1">
          <a:off x="7458075" y="5581650"/>
          <a:ext cx="533400" cy="381000"/>
        </a:xfrm>
        <a:prstGeom prst="line">
          <a:avLst/>
        </a:prstGeom>
        <a:noFill/>
        <a:ln w="9525">
          <a:solidFill>
            <a:srgbClr val="000000"/>
          </a:solidFill>
          <a:round/>
          <a:headEnd/>
          <a:tailEnd type="triangle" w="med" len="med"/>
        </a:ln>
      </xdr:spPr>
    </xdr:sp>
    <xdr:clientData/>
  </xdr:twoCellAnchor>
  <xdr:oneCellAnchor>
    <xdr:from>
      <xdr:col>5</xdr:col>
      <xdr:colOff>523875</xdr:colOff>
      <xdr:row>9</xdr:row>
      <xdr:rowOff>9525</xdr:rowOff>
    </xdr:from>
    <xdr:ext cx="2128166" cy="819141"/>
    <xdr:sp macro="" textlink="">
      <xdr:nvSpPr>
        <xdr:cNvPr id="9357" name="Text Box 141"/>
        <xdr:cNvSpPr txBox="1">
          <a:spLocks noChangeArrowheads="1"/>
        </xdr:cNvSpPr>
      </xdr:nvSpPr>
      <xdr:spPr bwMode="auto">
        <a:xfrm>
          <a:off x="3571875" y="1466850"/>
          <a:ext cx="2261773" cy="800091"/>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2400" b="0" i="0" u="none" strike="noStrike" baseline="0">
              <a:solidFill>
                <a:srgbClr val="000000"/>
              </a:solidFill>
              <a:latin typeface="Times New Roman"/>
              <a:cs typeface="Times New Roman"/>
            </a:rPr>
            <a:t>6-Carbon Sugars</a:t>
          </a:r>
        </a:p>
        <a:p>
          <a:pPr algn="l" rtl="0">
            <a:defRPr sz="1000"/>
          </a:pPr>
          <a:endParaRPr lang="en-US" sz="2400" b="0" i="0" u="none" strike="noStrike" baseline="0">
            <a:solidFill>
              <a:srgbClr val="000000"/>
            </a:solidFill>
            <a:latin typeface="Times New Roman"/>
            <a:cs typeface="Times New Roman"/>
          </a:endParaRPr>
        </a:p>
      </xdr:txBody>
    </xdr:sp>
    <xdr:clientData/>
  </xdr:oneCellAnchor>
  <xdr:oneCellAnchor>
    <xdr:from>
      <xdr:col>10</xdr:col>
      <xdr:colOff>447675</xdr:colOff>
      <xdr:row>20</xdr:row>
      <xdr:rowOff>133350</xdr:rowOff>
    </xdr:from>
    <xdr:ext cx="2128166" cy="819141"/>
    <xdr:sp macro="" textlink="">
      <xdr:nvSpPr>
        <xdr:cNvPr id="9358" name="Text Box 142"/>
        <xdr:cNvSpPr txBox="1">
          <a:spLocks noChangeArrowheads="1"/>
        </xdr:cNvSpPr>
      </xdr:nvSpPr>
      <xdr:spPr bwMode="auto">
        <a:xfrm>
          <a:off x="6543675" y="3371850"/>
          <a:ext cx="2261773" cy="800091"/>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2400" b="0" i="0" u="none" strike="noStrike" baseline="0">
              <a:solidFill>
                <a:srgbClr val="000000"/>
              </a:solidFill>
              <a:latin typeface="Times New Roman"/>
              <a:cs typeface="Times New Roman"/>
            </a:rPr>
            <a:t>5-Carbon Sugars</a:t>
          </a:r>
        </a:p>
        <a:p>
          <a:pPr algn="l" rtl="0">
            <a:defRPr sz="1000"/>
          </a:pPr>
          <a:endParaRPr lang="en-US" sz="2400" b="0" i="0" u="none" strike="noStrike" baseline="0">
            <a:solidFill>
              <a:srgbClr val="000000"/>
            </a:solidFill>
            <a:latin typeface="Times New Roman"/>
            <a:cs typeface="Times New Roman"/>
          </a:endParaRPr>
        </a:p>
      </xdr:txBody>
    </xdr:sp>
    <xdr:clientData/>
  </xdr:oneCellAnchor>
  <xdr:oneCellAnchor>
    <xdr:from>
      <xdr:col>1</xdr:col>
      <xdr:colOff>371475</xdr:colOff>
      <xdr:row>1</xdr:row>
      <xdr:rowOff>85725</xdr:rowOff>
    </xdr:from>
    <xdr:ext cx="6320627" cy="965956"/>
    <xdr:sp macro="" textlink="">
      <xdr:nvSpPr>
        <xdr:cNvPr id="9359" name="Text Box 143"/>
        <xdr:cNvSpPr txBox="1">
          <a:spLocks noChangeArrowheads="1"/>
        </xdr:cNvSpPr>
      </xdr:nvSpPr>
      <xdr:spPr bwMode="auto">
        <a:xfrm>
          <a:off x="981075" y="247650"/>
          <a:ext cx="6596678" cy="918136"/>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2800" b="0" i="0" u="none" strike="noStrike" baseline="0">
              <a:solidFill>
                <a:srgbClr val="000000"/>
              </a:solidFill>
              <a:latin typeface="Times New Roman"/>
              <a:cs typeface="Times New Roman"/>
            </a:rPr>
            <a:t>Pretreatment Mass Balances for Corn Stover</a:t>
          </a:r>
        </a:p>
        <a:p>
          <a:pPr algn="l" rtl="0">
            <a:defRPr sz="1000"/>
          </a:pPr>
          <a:r>
            <a:rPr lang="en-US" sz="1400" b="0" i="0" u="none" strike="noStrike" baseline="0">
              <a:solidFill>
                <a:srgbClr val="000000"/>
              </a:solidFill>
              <a:latin typeface="Times New Roman"/>
              <a:cs typeface="Times New Roman"/>
            </a:rPr>
            <a:t>(FY06 Work, Dotted lines identify constituent mass closure assumptions)</a:t>
          </a:r>
        </a:p>
        <a:p>
          <a:pPr algn="l" rtl="0">
            <a:defRPr sz="1000"/>
          </a:pPr>
          <a:endParaRPr lang="en-US" sz="1400" b="0" i="0" u="none" strike="noStrike" baseline="0">
            <a:solidFill>
              <a:srgbClr val="000000"/>
            </a:solidFill>
            <a:latin typeface="Times New Roman"/>
            <a:cs typeface="Times New Roman"/>
          </a:endParaRPr>
        </a:p>
      </xdr:txBody>
    </xdr:sp>
    <xdr:clientData/>
  </xdr:oneCellAnchor>
  <xdr:twoCellAnchor>
    <xdr:from>
      <xdr:col>1</xdr:col>
      <xdr:colOff>66675</xdr:colOff>
      <xdr:row>12</xdr:row>
      <xdr:rowOff>133350</xdr:rowOff>
    </xdr:from>
    <xdr:to>
      <xdr:col>6</xdr:col>
      <xdr:colOff>295275</xdr:colOff>
      <xdr:row>34</xdr:row>
      <xdr:rowOff>76200</xdr:rowOff>
    </xdr:to>
    <xdr:sp macro="" textlink="">
      <xdr:nvSpPr>
        <xdr:cNvPr id="14870" name="Rectangle 144"/>
        <xdr:cNvSpPr>
          <a:spLocks noChangeArrowheads="1"/>
        </xdr:cNvSpPr>
      </xdr:nvSpPr>
      <xdr:spPr bwMode="auto">
        <a:xfrm>
          <a:off x="676275" y="2076450"/>
          <a:ext cx="3276600" cy="3505200"/>
        </a:xfrm>
        <a:prstGeom prst="rect">
          <a:avLst/>
        </a:prstGeom>
        <a:noFill/>
        <a:ln w="9525">
          <a:solidFill>
            <a:srgbClr val="000000"/>
          </a:solidFill>
          <a:prstDash val="dash"/>
          <a:miter lim="800000"/>
          <a:headEnd/>
          <a:tailEnd/>
        </a:ln>
      </xdr:spPr>
    </xdr:sp>
    <xdr:clientData/>
  </xdr:twoCellAnchor>
  <xdr:twoCellAnchor>
    <xdr:from>
      <xdr:col>6</xdr:col>
      <xdr:colOff>523875</xdr:colOff>
      <xdr:row>12</xdr:row>
      <xdr:rowOff>133350</xdr:rowOff>
    </xdr:from>
    <xdr:to>
      <xdr:col>8</xdr:col>
      <xdr:colOff>295275</xdr:colOff>
      <xdr:row>23</xdr:row>
      <xdr:rowOff>28575</xdr:rowOff>
    </xdr:to>
    <xdr:sp macro="" textlink="">
      <xdr:nvSpPr>
        <xdr:cNvPr id="14871" name="Rectangle 145"/>
        <xdr:cNvSpPr>
          <a:spLocks noChangeArrowheads="1"/>
        </xdr:cNvSpPr>
      </xdr:nvSpPr>
      <xdr:spPr bwMode="auto">
        <a:xfrm>
          <a:off x="4181475" y="2076450"/>
          <a:ext cx="990600" cy="1676400"/>
        </a:xfrm>
        <a:prstGeom prst="rect">
          <a:avLst/>
        </a:prstGeom>
        <a:noFill/>
        <a:ln w="9525">
          <a:solidFill>
            <a:srgbClr val="000000"/>
          </a:solidFill>
          <a:prstDash val="dash"/>
          <a:miter lim="800000"/>
          <a:headEnd/>
          <a:tailEnd/>
        </a:ln>
      </xdr:spPr>
    </xdr:sp>
    <xdr:clientData/>
  </xdr:twoCellAnchor>
  <xdr:twoCellAnchor>
    <xdr:from>
      <xdr:col>8</xdr:col>
      <xdr:colOff>523875</xdr:colOff>
      <xdr:row>12</xdr:row>
      <xdr:rowOff>133350</xdr:rowOff>
    </xdr:from>
    <xdr:to>
      <xdr:col>10</xdr:col>
      <xdr:colOff>295275</xdr:colOff>
      <xdr:row>22</xdr:row>
      <xdr:rowOff>114300</xdr:rowOff>
    </xdr:to>
    <xdr:sp macro="" textlink="">
      <xdr:nvSpPr>
        <xdr:cNvPr id="14872" name="Rectangle 146"/>
        <xdr:cNvSpPr>
          <a:spLocks noChangeArrowheads="1"/>
        </xdr:cNvSpPr>
      </xdr:nvSpPr>
      <xdr:spPr bwMode="auto">
        <a:xfrm>
          <a:off x="5400675" y="2076450"/>
          <a:ext cx="990600" cy="1600200"/>
        </a:xfrm>
        <a:prstGeom prst="rect">
          <a:avLst/>
        </a:prstGeom>
        <a:noFill/>
        <a:ln w="9525">
          <a:solidFill>
            <a:srgbClr val="000000"/>
          </a:solidFill>
          <a:prstDash val="dash"/>
          <a:miter lim="800000"/>
          <a:headEnd/>
          <a:tailEnd/>
        </a:ln>
      </xdr:spPr>
    </xdr:sp>
    <xdr:clientData/>
  </xdr:twoCellAnchor>
  <xdr:twoCellAnchor>
    <xdr:from>
      <xdr:col>12</xdr:col>
      <xdr:colOff>523875</xdr:colOff>
      <xdr:row>24</xdr:row>
      <xdr:rowOff>95250</xdr:rowOff>
    </xdr:from>
    <xdr:to>
      <xdr:col>14</xdr:col>
      <xdr:colOff>295275</xdr:colOff>
      <xdr:row>34</xdr:row>
      <xdr:rowOff>152400</xdr:rowOff>
    </xdr:to>
    <xdr:sp macro="" textlink="">
      <xdr:nvSpPr>
        <xdr:cNvPr id="14873" name="Rectangle 147"/>
        <xdr:cNvSpPr>
          <a:spLocks noChangeArrowheads="1"/>
        </xdr:cNvSpPr>
      </xdr:nvSpPr>
      <xdr:spPr bwMode="auto">
        <a:xfrm>
          <a:off x="7839075" y="3981450"/>
          <a:ext cx="990600" cy="1676400"/>
        </a:xfrm>
        <a:prstGeom prst="rect">
          <a:avLst/>
        </a:prstGeom>
        <a:noFill/>
        <a:ln w="9525">
          <a:solidFill>
            <a:srgbClr val="000000"/>
          </a:solidFill>
          <a:prstDash val="dash"/>
          <a:miter lim="800000"/>
          <a:headEnd/>
          <a:tailEnd/>
        </a:ln>
      </xdr:spPr>
    </xdr:sp>
    <xdr:clientData/>
  </xdr:twoCellAnchor>
  <xdr:twoCellAnchor>
    <xdr:from>
      <xdr:col>10</xdr:col>
      <xdr:colOff>523875</xdr:colOff>
      <xdr:row>24</xdr:row>
      <xdr:rowOff>95250</xdr:rowOff>
    </xdr:from>
    <xdr:to>
      <xdr:col>12</xdr:col>
      <xdr:colOff>295275</xdr:colOff>
      <xdr:row>39</xdr:row>
      <xdr:rowOff>28575</xdr:rowOff>
    </xdr:to>
    <xdr:sp macro="" textlink="">
      <xdr:nvSpPr>
        <xdr:cNvPr id="14874" name="Rectangle 148"/>
        <xdr:cNvSpPr>
          <a:spLocks noChangeArrowheads="1"/>
        </xdr:cNvSpPr>
      </xdr:nvSpPr>
      <xdr:spPr bwMode="auto">
        <a:xfrm>
          <a:off x="6619875" y="3981450"/>
          <a:ext cx="990600" cy="2362200"/>
        </a:xfrm>
        <a:prstGeom prst="rect">
          <a:avLst/>
        </a:prstGeom>
        <a:noFill/>
        <a:ln w="9525">
          <a:solidFill>
            <a:srgbClr val="000000"/>
          </a:solidFill>
          <a:prstDash val="dash"/>
          <a:miter lim="800000"/>
          <a:headEnd/>
          <a:tailEnd/>
        </a:ln>
      </xdr:spPr>
    </xdr:sp>
    <xdr:clientData/>
  </xdr:twoCellAnchor>
  <xdr:twoCellAnchor>
    <xdr:from>
      <xdr:col>5</xdr:col>
      <xdr:colOff>523875</xdr:colOff>
      <xdr:row>22</xdr:row>
      <xdr:rowOff>38100</xdr:rowOff>
    </xdr:from>
    <xdr:to>
      <xdr:col>7</xdr:col>
      <xdr:colOff>447675</xdr:colOff>
      <xdr:row>28</xdr:row>
      <xdr:rowOff>57150</xdr:rowOff>
    </xdr:to>
    <xdr:sp macro="" textlink="">
      <xdr:nvSpPr>
        <xdr:cNvPr id="14875" name="Line 149"/>
        <xdr:cNvSpPr>
          <a:spLocks noChangeShapeType="1"/>
        </xdr:cNvSpPr>
      </xdr:nvSpPr>
      <xdr:spPr bwMode="auto">
        <a:xfrm flipH="1">
          <a:off x="3571875" y="3600450"/>
          <a:ext cx="1143000" cy="990600"/>
        </a:xfrm>
        <a:prstGeom prst="line">
          <a:avLst/>
        </a:prstGeom>
        <a:noFill/>
        <a:ln w="9525">
          <a:solidFill>
            <a:srgbClr val="000000"/>
          </a:solidFill>
          <a:round/>
          <a:headEnd/>
          <a:tailEnd type="triangle" w="med" len="med"/>
        </a:ln>
      </xdr:spPr>
    </xdr:sp>
    <xdr:clientData/>
  </xdr:twoCellAnchor>
  <xdr:oneCellAnchor>
    <xdr:from>
      <xdr:col>4</xdr:col>
      <xdr:colOff>447675</xdr:colOff>
      <xdr:row>20</xdr:row>
      <xdr:rowOff>57150</xdr:rowOff>
    </xdr:from>
    <xdr:ext cx="948405" cy="554693"/>
    <xdr:sp macro="" textlink="">
      <xdr:nvSpPr>
        <xdr:cNvPr id="9366" name="Text Box 150"/>
        <xdr:cNvSpPr txBox="1">
          <a:spLocks noChangeArrowheads="1"/>
        </xdr:cNvSpPr>
      </xdr:nvSpPr>
      <xdr:spPr bwMode="auto">
        <a:xfrm>
          <a:off x="2886075" y="3295650"/>
          <a:ext cx="1062214"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Cellobiose</a:t>
          </a:r>
        </a:p>
        <a:p>
          <a:pPr algn="l" rtl="0">
            <a:defRPr sz="1000"/>
          </a:pPr>
          <a:endParaRPr lang="en-US" sz="1600" b="0" i="0" u="none" strike="noStrike" baseline="0">
            <a:solidFill>
              <a:srgbClr val="000000"/>
            </a:solidFill>
            <a:latin typeface="Times New Roman"/>
            <a:cs typeface="Times New Roman"/>
          </a:endParaRPr>
        </a:p>
      </xdr:txBody>
    </xdr:sp>
    <xdr:clientData/>
  </xdr:oneCellAnchor>
  <xdr:twoCellAnchor>
    <xdr:from>
      <xdr:col>5</xdr:col>
      <xdr:colOff>447675</xdr:colOff>
      <xdr:row>26</xdr:row>
      <xdr:rowOff>76200</xdr:rowOff>
    </xdr:from>
    <xdr:to>
      <xdr:col>5</xdr:col>
      <xdr:colOff>447675</xdr:colOff>
      <xdr:row>28</xdr:row>
      <xdr:rowOff>57150</xdr:rowOff>
    </xdr:to>
    <xdr:sp macro="" textlink="">
      <xdr:nvSpPr>
        <xdr:cNvPr id="14877" name="Line 151"/>
        <xdr:cNvSpPr>
          <a:spLocks noChangeShapeType="1"/>
        </xdr:cNvSpPr>
      </xdr:nvSpPr>
      <xdr:spPr bwMode="auto">
        <a:xfrm>
          <a:off x="3495675" y="4286250"/>
          <a:ext cx="0" cy="304800"/>
        </a:xfrm>
        <a:prstGeom prst="line">
          <a:avLst/>
        </a:prstGeom>
        <a:noFill/>
        <a:ln w="9525">
          <a:solidFill>
            <a:srgbClr val="000000"/>
          </a:solidFill>
          <a:round/>
          <a:headEnd/>
          <a:tailEnd type="triangle" w="med" len="med"/>
        </a:ln>
      </xdr:spPr>
    </xdr:sp>
    <xdr:clientData/>
  </xdr:twoCellAnchor>
  <xdr:oneCellAnchor>
    <xdr:from>
      <xdr:col>11</xdr:col>
      <xdr:colOff>142875</xdr:colOff>
      <xdr:row>40</xdr:row>
      <xdr:rowOff>19050</xdr:rowOff>
    </xdr:from>
    <xdr:ext cx="364043" cy="554693"/>
    <xdr:sp macro="" textlink="">
      <xdr:nvSpPr>
        <xdr:cNvPr id="9368" name="Text Box 152"/>
        <xdr:cNvSpPr txBox="1">
          <a:spLocks noChangeArrowheads="1"/>
        </xdr:cNvSpPr>
      </xdr:nvSpPr>
      <xdr:spPr bwMode="auto">
        <a:xfrm>
          <a:off x="6848475" y="6496050"/>
          <a:ext cx="469424" cy="564257"/>
        </a:xfrm>
        <a:prstGeom prst="rect">
          <a:avLst/>
        </a:prstGeom>
        <a:noFill/>
        <a:ln w="9525">
          <a:noFill/>
          <a:miter lim="800000"/>
          <a:headEnd/>
          <a:tailEnd/>
        </a:ln>
      </xdr:spPr>
      <xdr:txBody>
        <a:bodyPr wrap="none" lIns="91440" tIns="45720" rIns="91440" bIns="45720" anchor="t" upright="1">
          <a:spAutoFit/>
        </a:bodyPr>
        <a:lstStyle/>
        <a:p>
          <a:pPr algn="l" rtl="0">
            <a:defRPr sz="1000"/>
          </a:pPr>
          <a:r>
            <a:rPr lang="en-US" sz="1600" b="0" i="0" u="none" strike="noStrike" baseline="0">
              <a:solidFill>
                <a:srgbClr val="000000"/>
              </a:solidFill>
              <a:latin typeface="Times New Roman"/>
              <a:cs typeface="Times New Roman"/>
            </a:rPr>
            <a:t>Tar</a:t>
          </a:r>
        </a:p>
        <a:p>
          <a:pPr algn="l" rtl="0">
            <a:defRPr sz="1000"/>
          </a:pPr>
          <a:endParaRPr lang="en-US" sz="1600" b="0" i="0" u="none" strike="noStrike" baseline="0">
            <a:solidFill>
              <a:srgbClr val="000000"/>
            </a:solidFill>
            <a:latin typeface="Times New Roman"/>
            <a:cs typeface="Times New Roman"/>
          </a:endParaRPr>
        </a:p>
      </xdr:txBody>
    </xdr:sp>
    <xdr:clientData/>
  </xdr:oneCellAnchor>
  <xdr:twoCellAnchor>
    <xdr:from>
      <xdr:col>11</xdr:col>
      <xdr:colOff>371475</xdr:colOff>
      <xdr:row>38</xdr:row>
      <xdr:rowOff>114300</xdr:rowOff>
    </xdr:from>
    <xdr:to>
      <xdr:col>11</xdr:col>
      <xdr:colOff>371475</xdr:colOff>
      <xdr:row>40</xdr:row>
      <xdr:rowOff>95250</xdr:rowOff>
    </xdr:to>
    <xdr:sp macro="" textlink="">
      <xdr:nvSpPr>
        <xdr:cNvPr id="14879" name="Line 153"/>
        <xdr:cNvSpPr>
          <a:spLocks noChangeShapeType="1"/>
        </xdr:cNvSpPr>
      </xdr:nvSpPr>
      <xdr:spPr bwMode="auto">
        <a:xfrm>
          <a:off x="7077075" y="6267450"/>
          <a:ext cx="0" cy="304800"/>
        </a:xfrm>
        <a:prstGeom prst="line">
          <a:avLst/>
        </a:prstGeom>
        <a:noFill/>
        <a:ln w="9525">
          <a:solidFill>
            <a:srgbClr val="000000"/>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5</xdr:row>
      <xdr:rowOff>85725</xdr:rowOff>
    </xdr:from>
    <xdr:to>
      <xdr:col>1</xdr:col>
      <xdr:colOff>371475</xdr:colOff>
      <xdr:row>5</xdr:row>
      <xdr:rowOff>85725</xdr:rowOff>
    </xdr:to>
    <xdr:sp macro="" textlink="">
      <xdr:nvSpPr>
        <xdr:cNvPr id="14177" name="Line 1"/>
        <xdr:cNvSpPr>
          <a:spLocks noChangeShapeType="1"/>
        </xdr:cNvSpPr>
      </xdr:nvSpPr>
      <xdr:spPr bwMode="auto">
        <a:xfrm>
          <a:off x="923925" y="7905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6</xdr:row>
      <xdr:rowOff>85725</xdr:rowOff>
    </xdr:from>
    <xdr:to>
      <xdr:col>1</xdr:col>
      <xdr:colOff>371475</xdr:colOff>
      <xdr:row>6</xdr:row>
      <xdr:rowOff>85725</xdr:rowOff>
    </xdr:to>
    <xdr:sp macro="" textlink="">
      <xdr:nvSpPr>
        <xdr:cNvPr id="14178" name="Line 2"/>
        <xdr:cNvSpPr>
          <a:spLocks noChangeShapeType="1"/>
        </xdr:cNvSpPr>
      </xdr:nvSpPr>
      <xdr:spPr bwMode="auto">
        <a:xfrm>
          <a:off x="923925" y="9525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7</xdr:row>
      <xdr:rowOff>85725</xdr:rowOff>
    </xdr:from>
    <xdr:to>
      <xdr:col>1</xdr:col>
      <xdr:colOff>371475</xdr:colOff>
      <xdr:row>7</xdr:row>
      <xdr:rowOff>85725</xdr:rowOff>
    </xdr:to>
    <xdr:sp macro="" textlink="">
      <xdr:nvSpPr>
        <xdr:cNvPr id="14179" name="Line 3"/>
        <xdr:cNvSpPr>
          <a:spLocks noChangeShapeType="1"/>
        </xdr:cNvSpPr>
      </xdr:nvSpPr>
      <xdr:spPr bwMode="auto">
        <a:xfrm>
          <a:off x="923925" y="11144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8</xdr:row>
      <xdr:rowOff>85725</xdr:rowOff>
    </xdr:from>
    <xdr:to>
      <xdr:col>1</xdr:col>
      <xdr:colOff>371475</xdr:colOff>
      <xdr:row>8</xdr:row>
      <xdr:rowOff>85725</xdr:rowOff>
    </xdr:to>
    <xdr:sp macro="" textlink="">
      <xdr:nvSpPr>
        <xdr:cNvPr id="14180" name="Line 4"/>
        <xdr:cNvSpPr>
          <a:spLocks noChangeShapeType="1"/>
        </xdr:cNvSpPr>
      </xdr:nvSpPr>
      <xdr:spPr bwMode="auto">
        <a:xfrm>
          <a:off x="923925" y="12763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12</xdr:row>
      <xdr:rowOff>85725</xdr:rowOff>
    </xdr:from>
    <xdr:to>
      <xdr:col>1</xdr:col>
      <xdr:colOff>371475</xdr:colOff>
      <xdr:row>12</xdr:row>
      <xdr:rowOff>85725</xdr:rowOff>
    </xdr:to>
    <xdr:sp macro="" textlink="">
      <xdr:nvSpPr>
        <xdr:cNvPr id="14181" name="Line 5"/>
        <xdr:cNvSpPr>
          <a:spLocks noChangeShapeType="1"/>
        </xdr:cNvSpPr>
      </xdr:nvSpPr>
      <xdr:spPr bwMode="auto">
        <a:xfrm>
          <a:off x="923925" y="19240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13</xdr:row>
      <xdr:rowOff>85725</xdr:rowOff>
    </xdr:from>
    <xdr:to>
      <xdr:col>1</xdr:col>
      <xdr:colOff>371475</xdr:colOff>
      <xdr:row>13</xdr:row>
      <xdr:rowOff>85725</xdr:rowOff>
    </xdr:to>
    <xdr:sp macro="" textlink="">
      <xdr:nvSpPr>
        <xdr:cNvPr id="14182" name="Line 6"/>
        <xdr:cNvSpPr>
          <a:spLocks noChangeShapeType="1"/>
        </xdr:cNvSpPr>
      </xdr:nvSpPr>
      <xdr:spPr bwMode="auto">
        <a:xfrm>
          <a:off x="923925" y="20859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14</xdr:row>
      <xdr:rowOff>85725</xdr:rowOff>
    </xdr:from>
    <xdr:to>
      <xdr:col>1</xdr:col>
      <xdr:colOff>371475</xdr:colOff>
      <xdr:row>14</xdr:row>
      <xdr:rowOff>85725</xdr:rowOff>
    </xdr:to>
    <xdr:sp macro="" textlink="">
      <xdr:nvSpPr>
        <xdr:cNvPr id="14183" name="Line 7"/>
        <xdr:cNvSpPr>
          <a:spLocks noChangeShapeType="1"/>
        </xdr:cNvSpPr>
      </xdr:nvSpPr>
      <xdr:spPr bwMode="auto">
        <a:xfrm>
          <a:off x="923925" y="22479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17</xdr:row>
      <xdr:rowOff>85725</xdr:rowOff>
    </xdr:from>
    <xdr:to>
      <xdr:col>1</xdr:col>
      <xdr:colOff>371475</xdr:colOff>
      <xdr:row>17</xdr:row>
      <xdr:rowOff>85725</xdr:rowOff>
    </xdr:to>
    <xdr:sp macro="" textlink="">
      <xdr:nvSpPr>
        <xdr:cNvPr id="14184" name="Line 8"/>
        <xdr:cNvSpPr>
          <a:spLocks noChangeShapeType="1"/>
        </xdr:cNvSpPr>
      </xdr:nvSpPr>
      <xdr:spPr bwMode="auto">
        <a:xfrm>
          <a:off x="923925" y="27336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18</xdr:row>
      <xdr:rowOff>85725</xdr:rowOff>
    </xdr:from>
    <xdr:to>
      <xdr:col>1</xdr:col>
      <xdr:colOff>371475</xdr:colOff>
      <xdr:row>18</xdr:row>
      <xdr:rowOff>85725</xdr:rowOff>
    </xdr:to>
    <xdr:sp macro="" textlink="">
      <xdr:nvSpPr>
        <xdr:cNvPr id="14185" name="Line 9"/>
        <xdr:cNvSpPr>
          <a:spLocks noChangeShapeType="1"/>
        </xdr:cNvSpPr>
      </xdr:nvSpPr>
      <xdr:spPr bwMode="auto">
        <a:xfrm>
          <a:off x="923925" y="28956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19</xdr:row>
      <xdr:rowOff>85725</xdr:rowOff>
    </xdr:from>
    <xdr:to>
      <xdr:col>1</xdr:col>
      <xdr:colOff>371475</xdr:colOff>
      <xdr:row>19</xdr:row>
      <xdr:rowOff>85725</xdr:rowOff>
    </xdr:to>
    <xdr:sp macro="" textlink="">
      <xdr:nvSpPr>
        <xdr:cNvPr id="14186" name="Line 10"/>
        <xdr:cNvSpPr>
          <a:spLocks noChangeShapeType="1"/>
        </xdr:cNvSpPr>
      </xdr:nvSpPr>
      <xdr:spPr bwMode="auto">
        <a:xfrm>
          <a:off x="923925" y="30575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20</xdr:row>
      <xdr:rowOff>85725</xdr:rowOff>
    </xdr:from>
    <xdr:to>
      <xdr:col>1</xdr:col>
      <xdr:colOff>371475</xdr:colOff>
      <xdr:row>20</xdr:row>
      <xdr:rowOff>85725</xdr:rowOff>
    </xdr:to>
    <xdr:sp macro="" textlink="">
      <xdr:nvSpPr>
        <xdr:cNvPr id="14187" name="Line 11"/>
        <xdr:cNvSpPr>
          <a:spLocks noChangeShapeType="1"/>
        </xdr:cNvSpPr>
      </xdr:nvSpPr>
      <xdr:spPr bwMode="auto">
        <a:xfrm>
          <a:off x="923925" y="32194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4</xdr:row>
      <xdr:rowOff>85725</xdr:rowOff>
    </xdr:from>
    <xdr:to>
      <xdr:col>1</xdr:col>
      <xdr:colOff>371475</xdr:colOff>
      <xdr:row>4</xdr:row>
      <xdr:rowOff>85725</xdr:rowOff>
    </xdr:to>
    <xdr:sp macro="" textlink="">
      <xdr:nvSpPr>
        <xdr:cNvPr id="14188" name="Line 12"/>
        <xdr:cNvSpPr>
          <a:spLocks noChangeShapeType="1"/>
        </xdr:cNvSpPr>
      </xdr:nvSpPr>
      <xdr:spPr bwMode="auto">
        <a:xfrm>
          <a:off x="923925" y="6191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16</xdr:row>
      <xdr:rowOff>85725</xdr:rowOff>
    </xdr:from>
    <xdr:to>
      <xdr:col>1</xdr:col>
      <xdr:colOff>371475</xdr:colOff>
      <xdr:row>16</xdr:row>
      <xdr:rowOff>85725</xdr:rowOff>
    </xdr:to>
    <xdr:sp macro="" textlink="">
      <xdr:nvSpPr>
        <xdr:cNvPr id="14189" name="Line 13"/>
        <xdr:cNvSpPr>
          <a:spLocks noChangeShapeType="1"/>
        </xdr:cNvSpPr>
      </xdr:nvSpPr>
      <xdr:spPr bwMode="auto">
        <a:xfrm>
          <a:off x="923925" y="25717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23</xdr:row>
      <xdr:rowOff>85725</xdr:rowOff>
    </xdr:from>
    <xdr:to>
      <xdr:col>1</xdr:col>
      <xdr:colOff>371475</xdr:colOff>
      <xdr:row>23</xdr:row>
      <xdr:rowOff>85725</xdr:rowOff>
    </xdr:to>
    <xdr:sp macro="" textlink="">
      <xdr:nvSpPr>
        <xdr:cNvPr id="14190" name="Line 14"/>
        <xdr:cNvSpPr>
          <a:spLocks noChangeShapeType="1"/>
        </xdr:cNvSpPr>
      </xdr:nvSpPr>
      <xdr:spPr bwMode="auto">
        <a:xfrm>
          <a:off x="923925" y="37052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25</xdr:row>
      <xdr:rowOff>85725</xdr:rowOff>
    </xdr:from>
    <xdr:to>
      <xdr:col>1</xdr:col>
      <xdr:colOff>371475</xdr:colOff>
      <xdr:row>25</xdr:row>
      <xdr:rowOff>85725</xdr:rowOff>
    </xdr:to>
    <xdr:sp macro="" textlink="">
      <xdr:nvSpPr>
        <xdr:cNvPr id="14191" name="Line 15"/>
        <xdr:cNvSpPr>
          <a:spLocks noChangeShapeType="1"/>
        </xdr:cNvSpPr>
      </xdr:nvSpPr>
      <xdr:spPr bwMode="auto">
        <a:xfrm>
          <a:off x="923925" y="40290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26</xdr:row>
      <xdr:rowOff>85725</xdr:rowOff>
    </xdr:from>
    <xdr:to>
      <xdr:col>1</xdr:col>
      <xdr:colOff>371475</xdr:colOff>
      <xdr:row>26</xdr:row>
      <xdr:rowOff>85725</xdr:rowOff>
    </xdr:to>
    <xdr:sp macro="" textlink="">
      <xdr:nvSpPr>
        <xdr:cNvPr id="14192" name="Line 16"/>
        <xdr:cNvSpPr>
          <a:spLocks noChangeShapeType="1"/>
        </xdr:cNvSpPr>
      </xdr:nvSpPr>
      <xdr:spPr bwMode="auto">
        <a:xfrm>
          <a:off x="923925" y="41910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24</xdr:row>
      <xdr:rowOff>85725</xdr:rowOff>
    </xdr:from>
    <xdr:to>
      <xdr:col>1</xdr:col>
      <xdr:colOff>371475</xdr:colOff>
      <xdr:row>24</xdr:row>
      <xdr:rowOff>85725</xdr:rowOff>
    </xdr:to>
    <xdr:sp macro="" textlink="">
      <xdr:nvSpPr>
        <xdr:cNvPr id="14193" name="Line 17"/>
        <xdr:cNvSpPr>
          <a:spLocks noChangeShapeType="1"/>
        </xdr:cNvSpPr>
      </xdr:nvSpPr>
      <xdr:spPr bwMode="auto">
        <a:xfrm>
          <a:off x="923925" y="38671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29</xdr:row>
      <xdr:rowOff>85725</xdr:rowOff>
    </xdr:from>
    <xdr:to>
      <xdr:col>1</xdr:col>
      <xdr:colOff>371475</xdr:colOff>
      <xdr:row>29</xdr:row>
      <xdr:rowOff>85725</xdr:rowOff>
    </xdr:to>
    <xdr:sp macro="" textlink="">
      <xdr:nvSpPr>
        <xdr:cNvPr id="14194" name="Line 18"/>
        <xdr:cNvSpPr>
          <a:spLocks noChangeShapeType="1"/>
        </xdr:cNvSpPr>
      </xdr:nvSpPr>
      <xdr:spPr bwMode="auto">
        <a:xfrm>
          <a:off x="923925" y="46767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31</xdr:row>
      <xdr:rowOff>85725</xdr:rowOff>
    </xdr:from>
    <xdr:to>
      <xdr:col>1</xdr:col>
      <xdr:colOff>371475</xdr:colOff>
      <xdr:row>31</xdr:row>
      <xdr:rowOff>85725</xdr:rowOff>
    </xdr:to>
    <xdr:sp macro="" textlink="">
      <xdr:nvSpPr>
        <xdr:cNvPr id="14195" name="Line 19"/>
        <xdr:cNvSpPr>
          <a:spLocks noChangeShapeType="1"/>
        </xdr:cNvSpPr>
      </xdr:nvSpPr>
      <xdr:spPr bwMode="auto">
        <a:xfrm>
          <a:off x="923925" y="50006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32</xdr:row>
      <xdr:rowOff>85725</xdr:rowOff>
    </xdr:from>
    <xdr:to>
      <xdr:col>1</xdr:col>
      <xdr:colOff>371475</xdr:colOff>
      <xdr:row>32</xdr:row>
      <xdr:rowOff>85725</xdr:rowOff>
    </xdr:to>
    <xdr:sp macro="" textlink="">
      <xdr:nvSpPr>
        <xdr:cNvPr id="14196" name="Line 20"/>
        <xdr:cNvSpPr>
          <a:spLocks noChangeShapeType="1"/>
        </xdr:cNvSpPr>
      </xdr:nvSpPr>
      <xdr:spPr bwMode="auto">
        <a:xfrm>
          <a:off x="923925" y="51625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30</xdr:row>
      <xdr:rowOff>85725</xdr:rowOff>
    </xdr:from>
    <xdr:to>
      <xdr:col>1</xdr:col>
      <xdr:colOff>371475</xdr:colOff>
      <xdr:row>30</xdr:row>
      <xdr:rowOff>85725</xdr:rowOff>
    </xdr:to>
    <xdr:sp macro="" textlink="">
      <xdr:nvSpPr>
        <xdr:cNvPr id="14197" name="Line 21"/>
        <xdr:cNvSpPr>
          <a:spLocks noChangeShapeType="1"/>
        </xdr:cNvSpPr>
      </xdr:nvSpPr>
      <xdr:spPr bwMode="auto">
        <a:xfrm>
          <a:off x="923925" y="48387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11</xdr:row>
      <xdr:rowOff>85725</xdr:rowOff>
    </xdr:from>
    <xdr:to>
      <xdr:col>1</xdr:col>
      <xdr:colOff>371475</xdr:colOff>
      <xdr:row>11</xdr:row>
      <xdr:rowOff>85725</xdr:rowOff>
    </xdr:to>
    <xdr:sp macro="" textlink="">
      <xdr:nvSpPr>
        <xdr:cNvPr id="14198" name="Line 22"/>
        <xdr:cNvSpPr>
          <a:spLocks noChangeShapeType="1"/>
        </xdr:cNvSpPr>
      </xdr:nvSpPr>
      <xdr:spPr bwMode="auto">
        <a:xfrm>
          <a:off x="923925" y="17621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36</xdr:row>
      <xdr:rowOff>85725</xdr:rowOff>
    </xdr:from>
    <xdr:to>
      <xdr:col>1</xdr:col>
      <xdr:colOff>371475</xdr:colOff>
      <xdr:row>36</xdr:row>
      <xdr:rowOff>85725</xdr:rowOff>
    </xdr:to>
    <xdr:sp macro="" textlink="">
      <xdr:nvSpPr>
        <xdr:cNvPr id="14199" name="Line 23"/>
        <xdr:cNvSpPr>
          <a:spLocks noChangeShapeType="1"/>
        </xdr:cNvSpPr>
      </xdr:nvSpPr>
      <xdr:spPr bwMode="auto">
        <a:xfrm>
          <a:off x="923925" y="58102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37</xdr:row>
      <xdr:rowOff>85725</xdr:rowOff>
    </xdr:from>
    <xdr:to>
      <xdr:col>1</xdr:col>
      <xdr:colOff>371475</xdr:colOff>
      <xdr:row>37</xdr:row>
      <xdr:rowOff>85725</xdr:rowOff>
    </xdr:to>
    <xdr:sp macro="" textlink="">
      <xdr:nvSpPr>
        <xdr:cNvPr id="14200" name="Line 24"/>
        <xdr:cNvSpPr>
          <a:spLocks noChangeShapeType="1"/>
        </xdr:cNvSpPr>
      </xdr:nvSpPr>
      <xdr:spPr bwMode="auto">
        <a:xfrm>
          <a:off x="923925" y="597217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38</xdr:row>
      <xdr:rowOff>85725</xdr:rowOff>
    </xdr:from>
    <xdr:to>
      <xdr:col>1</xdr:col>
      <xdr:colOff>371475</xdr:colOff>
      <xdr:row>38</xdr:row>
      <xdr:rowOff>85725</xdr:rowOff>
    </xdr:to>
    <xdr:sp macro="" textlink="">
      <xdr:nvSpPr>
        <xdr:cNvPr id="14201" name="Line 25"/>
        <xdr:cNvSpPr>
          <a:spLocks noChangeShapeType="1"/>
        </xdr:cNvSpPr>
      </xdr:nvSpPr>
      <xdr:spPr bwMode="auto">
        <a:xfrm>
          <a:off x="923925" y="61341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39</xdr:row>
      <xdr:rowOff>85725</xdr:rowOff>
    </xdr:from>
    <xdr:to>
      <xdr:col>1</xdr:col>
      <xdr:colOff>371475</xdr:colOff>
      <xdr:row>39</xdr:row>
      <xdr:rowOff>85725</xdr:rowOff>
    </xdr:to>
    <xdr:sp macro="" textlink="">
      <xdr:nvSpPr>
        <xdr:cNvPr id="14202" name="Line 26"/>
        <xdr:cNvSpPr>
          <a:spLocks noChangeShapeType="1"/>
        </xdr:cNvSpPr>
      </xdr:nvSpPr>
      <xdr:spPr bwMode="auto">
        <a:xfrm>
          <a:off x="923925" y="62960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35</xdr:row>
      <xdr:rowOff>85725</xdr:rowOff>
    </xdr:from>
    <xdr:to>
      <xdr:col>1</xdr:col>
      <xdr:colOff>371475</xdr:colOff>
      <xdr:row>35</xdr:row>
      <xdr:rowOff>85725</xdr:rowOff>
    </xdr:to>
    <xdr:sp macro="" textlink="">
      <xdr:nvSpPr>
        <xdr:cNvPr id="14203" name="Line 27"/>
        <xdr:cNvSpPr>
          <a:spLocks noChangeShapeType="1"/>
        </xdr:cNvSpPr>
      </xdr:nvSpPr>
      <xdr:spPr bwMode="auto">
        <a:xfrm>
          <a:off x="923925" y="5648325"/>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50</xdr:row>
      <xdr:rowOff>85725</xdr:rowOff>
    </xdr:from>
    <xdr:to>
      <xdr:col>1</xdr:col>
      <xdr:colOff>371475</xdr:colOff>
      <xdr:row>50</xdr:row>
      <xdr:rowOff>85725</xdr:rowOff>
    </xdr:to>
    <xdr:sp macro="" textlink="">
      <xdr:nvSpPr>
        <xdr:cNvPr id="14204" name="Line 28"/>
        <xdr:cNvSpPr>
          <a:spLocks noChangeShapeType="1"/>
        </xdr:cNvSpPr>
      </xdr:nvSpPr>
      <xdr:spPr bwMode="auto">
        <a:xfrm>
          <a:off x="923925" y="80772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48</xdr:row>
      <xdr:rowOff>85725</xdr:rowOff>
    </xdr:from>
    <xdr:to>
      <xdr:col>1</xdr:col>
      <xdr:colOff>371475</xdr:colOff>
      <xdr:row>48</xdr:row>
      <xdr:rowOff>85725</xdr:rowOff>
    </xdr:to>
    <xdr:sp macro="" textlink="">
      <xdr:nvSpPr>
        <xdr:cNvPr id="14205" name="Line 29"/>
        <xdr:cNvSpPr>
          <a:spLocks noChangeShapeType="1"/>
        </xdr:cNvSpPr>
      </xdr:nvSpPr>
      <xdr:spPr bwMode="auto">
        <a:xfrm>
          <a:off x="923925" y="77533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54</xdr:row>
      <xdr:rowOff>85725</xdr:rowOff>
    </xdr:from>
    <xdr:to>
      <xdr:col>1</xdr:col>
      <xdr:colOff>371475</xdr:colOff>
      <xdr:row>54</xdr:row>
      <xdr:rowOff>85725</xdr:rowOff>
    </xdr:to>
    <xdr:sp macro="" textlink="">
      <xdr:nvSpPr>
        <xdr:cNvPr id="14206" name="Line 30"/>
        <xdr:cNvSpPr>
          <a:spLocks noChangeShapeType="1"/>
        </xdr:cNvSpPr>
      </xdr:nvSpPr>
      <xdr:spPr bwMode="auto">
        <a:xfrm>
          <a:off x="923925" y="87249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53</xdr:row>
      <xdr:rowOff>85725</xdr:rowOff>
    </xdr:from>
    <xdr:to>
      <xdr:col>1</xdr:col>
      <xdr:colOff>371475</xdr:colOff>
      <xdr:row>53</xdr:row>
      <xdr:rowOff>85725</xdr:rowOff>
    </xdr:to>
    <xdr:sp macro="" textlink="">
      <xdr:nvSpPr>
        <xdr:cNvPr id="14207" name="Line 31"/>
        <xdr:cNvSpPr>
          <a:spLocks noChangeShapeType="1"/>
        </xdr:cNvSpPr>
      </xdr:nvSpPr>
      <xdr:spPr bwMode="auto">
        <a:xfrm>
          <a:off x="923925" y="8562975"/>
          <a:ext cx="361950" cy="0"/>
        </a:xfrm>
        <a:prstGeom prst="line">
          <a:avLst/>
        </a:prstGeom>
        <a:noFill/>
        <a:ln w="9525">
          <a:solidFill>
            <a:srgbClr val="000000"/>
          </a:solidFill>
          <a:round/>
          <a:headEnd/>
          <a:tailEnd type="triangle" w="med" len="med"/>
        </a:ln>
      </xdr:spPr>
    </xdr:sp>
    <xdr:clientData/>
  </xdr:twoCellAnchor>
  <xdr:twoCellAnchor>
    <xdr:from>
      <xdr:col>1</xdr:col>
      <xdr:colOff>28575</xdr:colOff>
      <xdr:row>58</xdr:row>
      <xdr:rowOff>409575</xdr:rowOff>
    </xdr:from>
    <xdr:to>
      <xdr:col>2</xdr:col>
      <xdr:colOff>9525</xdr:colOff>
      <xdr:row>58</xdr:row>
      <xdr:rowOff>409575</xdr:rowOff>
    </xdr:to>
    <xdr:sp macro="" textlink="">
      <xdr:nvSpPr>
        <xdr:cNvPr id="14208" name="Line 32"/>
        <xdr:cNvSpPr>
          <a:spLocks noChangeShapeType="1"/>
        </xdr:cNvSpPr>
      </xdr:nvSpPr>
      <xdr:spPr bwMode="auto">
        <a:xfrm>
          <a:off x="942975" y="1002030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57</xdr:row>
      <xdr:rowOff>419100</xdr:rowOff>
    </xdr:from>
    <xdr:to>
      <xdr:col>1</xdr:col>
      <xdr:colOff>371475</xdr:colOff>
      <xdr:row>57</xdr:row>
      <xdr:rowOff>419100</xdr:rowOff>
    </xdr:to>
    <xdr:sp macro="" textlink="">
      <xdr:nvSpPr>
        <xdr:cNvPr id="14209" name="Line 33"/>
        <xdr:cNvSpPr>
          <a:spLocks noChangeShapeType="1"/>
        </xdr:cNvSpPr>
      </xdr:nvSpPr>
      <xdr:spPr bwMode="auto">
        <a:xfrm>
          <a:off x="923925" y="9544050"/>
          <a:ext cx="361950" cy="0"/>
        </a:xfrm>
        <a:prstGeom prst="line">
          <a:avLst/>
        </a:prstGeom>
        <a:noFill/>
        <a:ln w="9525">
          <a:solidFill>
            <a:srgbClr val="000000"/>
          </a:solidFill>
          <a:round/>
          <a:headEnd/>
          <a:tailEnd type="triangle" w="med" len="med"/>
        </a:ln>
      </xdr:spPr>
    </xdr:sp>
    <xdr:clientData/>
  </xdr:twoCellAnchor>
  <xdr:twoCellAnchor>
    <xdr:from>
      <xdr:col>1</xdr:col>
      <xdr:colOff>9525</xdr:colOff>
      <xdr:row>49</xdr:row>
      <xdr:rowOff>85725</xdr:rowOff>
    </xdr:from>
    <xdr:to>
      <xdr:col>1</xdr:col>
      <xdr:colOff>371475</xdr:colOff>
      <xdr:row>49</xdr:row>
      <xdr:rowOff>85725</xdr:rowOff>
    </xdr:to>
    <xdr:sp macro="" textlink="">
      <xdr:nvSpPr>
        <xdr:cNvPr id="14210" name="Line 34"/>
        <xdr:cNvSpPr>
          <a:spLocks noChangeShapeType="1"/>
        </xdr:cNvSpPr>
      </xdr:nvSpPr>
      <xdr:spPr bwMode="auto">
        <a:xfrm>
          <a:off x="923925" y="7915275"/>
          <a:ext cx="361950" cy="0"/>
        </a:xfrm>
        <a:prstGeom prst="line">
          <a:avLst/>
        </a:prstGeom>
        <a:noFill/>
        <a:ln w="9525">
          <a:solidFill>
            <a:srgbClr val="000000"/>
          </a:solidFill>
          <a:round/>
          <a:headEnd/>
          <a:tailEnd type="triangle" w="med" len="med"/>
        </a:ln>
      </xdr:spPr>
    </xdr:sp>
    <xdr:clientData/>
  </xdr:twoCellAnchor>
  <xdr:twoCellAnchor>
    <xdr:from>
      <xdr:col>0</xdr:col>
      <xdr:colOff>895350</xdr:colOff>
      <xdr:row>61</xdr:row>
      <xdr:rowOff>104775</xdr:rowOff>
    </xdr:from>
    <xdr:to>
      <xdr:col>1</xdr:col>
      <xdr:colOff>352425</xdr:colOff>
      <xdr:row>61</xdr:row>
      <xdr:rowOff>104775</xdr:rowOff>
    </xdr:to>
    <xdr:sp macro="" textlink="">
      <xdr:nvSpPr>
        <xdr:cNvPr id="14211" name="Line 36"/>
        <xdr:cNvSpPr>
          <a:spLocks noChangeShapeType="1"/>
        </xdr:cNvSpPr>
      </xdr:nvSpPr>
      <xdr:spPr bwMode="auto">
        <a:xfrm flipV="1">
          <a:off x="895350" y="10525125"/>
          <a:ext cx="371475" cy="0"/>
        </a:xfrm>
        <a:prstGeom prst="line">
          <a:avLst/>
        </a:prstGeom>
        <a:noFill/>
        <a:ln w="9525">
          <a:solidFill>
            <a:srgbClr val="000000"/>
          </a:solidFill>
          <a:round/>
          <a:headEnd/>
          <a:tailEnd type="triangle" w="med" len="med"/>
        </a:ln>
      </xdr:spPr>
    </xdr:sp>
    <xdr:clientData/>
  </xdr:twoCellAnchor>
  <xdr:twoCellAnchor>
    <xdr:from>
      <xdr:col>1</xdr:col>
      <xdr:colOff>0</xdr:colOff>
      <xdr:row>62</xdr:row>
      <xdr:rowOff>104775</xdr:rowOff>
    </xdr:from>
    <xdr:to>
      <xdr:col>1</xdr:col>
      <xdr:colOff>361950</xdr:colOff>
      <xdr:row>62</xdr:row>
      <xdr:rowOff>104775</xdr:rowOff>
    </xdr:to>
    <xdr:sp macro="" textlink="">
      <xdr:nvSpPr>
        <xdr:cNvPr id="14212" name="Line 37"/>
        <xdr:cNvSpPr>
          <a:spLocks noChangeShapeType="1"/>
        </xdr:cNvSpPr>
      </xdr:nvSpPr>
      <xdr:spPr bwMode="auto">
        <a:xfrm>
          <a:off x="914400" y="10687050"/>
          <a:ext cx="361950" cy="0"/>
        </a:xfrm>
        <a:prstGeom prst="line">
          <a:avLst/>
        </a:prstGeom>
        <a:noFill/>
        <a:ln w="9525">
          <a:solidFill>
            <a:srgbClr val="000000"/>
          </a:solidFill>
          <a:round/>
          <a:headEnd/>
          <a:tailEnd type="triangle" w="med" len="med"/>
        </a:ln>
      </xdr:spPr>
    </xdr:sp>
    <xdr:clientData/>
  </xdr:twoCellAnchor>
  <xdr:twoCellAnchor>
    <xdr:from>
      <xdr:col>1</xdr:col>
      <xdr:colOff>0</xdr:colOff>
      <xdr:row>42</xdr:row>
      <xdr:rowOff>85725</xdr:rowOff>
    </xdr:from>
    <xdr:to>
      <xdr:col>1</xdr:col>
      <xdr:colOff>361950</xdr:colOff>
      <xdr:row>42</xdr:row>
      <xdr:rowOff>85725</xdr:rowOff>
    </xdr:to>
    <xdr:sp macro="" textlink="">
      <xdr:nvSpPr>
        <xdr:cNvPr id="14213" name="Line 39"/>
        <xdr:cNvSpPr>
          <a:spLocks noChangeShapeType="1"/>
        </xdr:cNvSpPr>
      </xdr:nvSpPr>
      <xdr:spPr bwMode="auto">
        <a:xfrm>
          <a:off x="914400" y="6781800"/>
          <a:ext cx="361950" cy="0"/>
        </a:xfrm>
        <a:prstGeom prst="line">
          <a:avLst/>
        </a:prstGeom>
        <a:noFill/>
        <a:ln w="9525">
          <a:solidFill>
            <a:srgbClr val="000000"/>
          </a:solidFill>
          <a:round/>
          <a:headEnd/>
          <a:tailEnd type="triangle" w="med" len="med"/>
        </a:ln>
      </xdr:spPr>
    </xdr:sp>
    <xdr:clientData/>
  </xdr:twoCellAnchor>
  <xdr:twoCellAnchor>
    <xdr:from>
      <xdr:col>0</xdr:col>
      <xdr:colOff>904875</xdr:colOff>
      <xdr:row>43</xdr:row>
      <xdr:rowOff>104775</xdr:rowOff>
    </xdr:from>
    <xdr:to>
      <xdr:col>1</xdr:col>
      <xdr:colOff>352425</xdr:colOff>
      <xdr:row>43</xdr:row>
      <xdr:rowOff>104775</xdr:rowOff>
    </xdr:to>
    <xdr:sp macro="" textlink="">
      <xdr:nvSpPr>
        <xdr:cNvPr id="14214" name="Line 40"/>
        <xdr:cNvSpPr>
          <a:spLocks noChangeShapeType="1"/>
        </xdr:cNvSpPr>
      </xdr:nvSpPr>
      <xdr:spPr bwMode="auto">
        <a:xfrm>
          <a:off x="904875" y="6962775"/>
          <a:ext cx="361950" cy="0"/>
        </a:xfrm>
        <a:prstGeom prst="line">
          <a:avLst/>
        </a:prstGeom>
        <a:noFill/>
        <a:ln w="9525">
          <a:solidFill>
            <a:srgbClr val="000000"/>
          </a:solidFill>
          <a:round/>
          <a:headEnd/>
          <a:tailEnd type="triangle" w="med" len="med"/>
        </a:ln>
      </xdr:spPr>
    </xdr:sp>
    <xdr:clientData/>
  </xdr:twoCellAnchor>
  <xdr:twoCellAnchor>
    <xdr:from>
      <xdr:col>1</xdr:col>
      <xdr:colOff>0</xdr:colOff>
      <xdr:row>45</xdr:row>
      <xdr:rowOff>85725</xdr:rowOff>
    </xdr:from>
    <xdr:to>
      <xdr:col>1</xdr:col>
      <xdr:colOff>361950</xdr:colOff>
      <xdr:row>45</xdr:row>
      <xdr:rowOff>85725</xdr:rowOff>
    </xdr:to>
    <xdr:sp macro="" textlink="">
      <xdr:nvSpPr>
        <xdr:cNvPr id="14215" name="Line 41"/>
        <xdr:cNvSpPr>
          <a:spLocks noChangeShapeType="1"/>
        </xdr:cNvSpPr>
      </xdr:nvSpPr>
      <xdr:spPr bwMode="auto">
        <a:xfrm>
          <a:off x="914400" y="7267575"/>
          <a:ext cx="361950" cy="0"/>
        </a:xfrm>
        <a:prstGeom prst="line">
          <a:avLst/>
        </a:prstGeom>
        <a:noFill/>
        <a:ln w="9525">
          <a:solidFill>
            <a:srgbClr val="000000"/>
          </a:solidFill>
          <a:round/>
          <a:headEnd/>
          <a:tailEnd type="triangle" w="med" len="med"/>
        </a:ln>
      </xdr:spPr>
    </xdr:sp>
    <xdr:clientData/>
  </xdr:twoCellAnchor>
  <xdr:twoCellAnchor>
    <xdr:from>
      <xdr:col>1</xdr:col>
      <xdr:colOff>0</xdr:colOff>
      <xdr:row>44</xdr:row>
      <xdr:rowOff>104775</xdr:rowOff>
    </xdr:from>
    <xdr:to>
      <xdr:col>1</xdr:col>
      <xdr:colOff>361950</xdr:colOff>
      <xdr:row>44</xdr:row>
      <xdr:rowOff>104775</xdr:rowOff>
    </xdr:to>
    <xdr:sp macro="" textlink="">
      <xdr:nvSpPr>
        <xdr:cNvPr id="14216" name="Line 42"/>
        <xdr:cNvSpPr>
          <a:spLocks noChangeShapeType="1"/>
        </xdr:cNvSpPr>
      </xdr:nvSpPr>
      <xdr:spPr bwMode="auto">
        <a:xfrm>
          <a:off x="914400" y="7124700"/>
          <a:ext cx="361950" cy="0"/>
        </a:xfrm>
        <a:prstGeom prst="line">
          <a:avLst/>
        </a:prstGeom>
        <a:noFill/>
        <a:ln w="9525">
          <a:solidFill>
            <a:srgbClr val="000000"/>
          </a:solidFill>
          <a:round/>
          <a:headEnd/>
          <a:tailEnd type="triangle" w="med" len="med"/>
        </a:ln>
      </xdr:spPr>
    </xdr:sp>
    <xdr:clientData/>
  </xdr:twoCellAnchor>
  <xdr:twoCellAnchor>
    <xdr:from>
      <xdr:col>0</xdr:col>
      <xdr:colOff>904875</xdr:colOff>
      <xdr:row>44</xdr:row>
      <xdr:rowOff>104775</xdr:rowOff>
    </xdr:from>
    <xdr:to>
      <xdr:col>1</xdr:col>
      <xdr:colOff>352425</xdr:colOff>
      <xdr:row>44</xdr:row>
      <xdr:rowOff>104775</xdr:rowOff>
    </xdr:to>
    <xdr:sp macro="" textlink="">
      <xdr:nvSpPr>
        <xdr:cNvPr id="14217" name="Line 43"/>
        <xdr:cNvSpPr>
          <a:spLocks noChangeShapeType="1"/>
        </xdr:cNvSpPr>
      </xdr:nvSpPr>
      <xdr:spPr bwMode="auto">
        <a:xfrm>
          <a:off x="904875" y="7124700"/>
          <a:ext cx="361950" cy="0"/>
        </a:xfrm>
        <a:prstGeom prst="line">
          <a:avLst/>
        </a:prstGeom>
        <a:noFill/>
        <a:ln w="9525">
          <a:solidFill>
            <a:srgbClr val="000000"/>
          </a:solidFill>
          <a:round/>
          <a:headEnd/>
          <a:tailEnd type="triangle" w="med" len="me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Y2000/EPD/Run%20Analysis/2000-083%20Sunds%20pretreted%20liqu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rankvicari/Documents/Uncertainty%20Publication%20stuff%20from%20NREL%20Nov%202009/Copies%20of%20Excel%20Files%20KV/Excel%20files%20for%20Uncertainty%20Propagation/EPD/00_03/P980302SD/98_08%20mass%20bals/P980302sd-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SRS Recov."/>
    </sheetNames>
    <sheetDataSet>
      <sheetData sheetId="0" refreshError="1"/>
      <sheetData sheetId="1" refreshError="1">
        <row r="10">
          <cell r="K10">
            <v>0.94422272220782499</v>
          </cell>
        </row>
        <row r="11">
          <cell r="K11">
            <v>0.87990403467060008</v>
          </cell>
        </row>
        <row r="12">
          <cell r="K12">
            <v>0.93860821120217552</v>
          </cell>
        </row>
        <row r="13">
          <cell r="K13">
            <v>0.9236699582972151</v>
          </cell>
        </row>
        <row r="14">
          <cell r="K14">
            <v>0.9219015588245475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arbon_Bal"/>
      <sheetName val="Mass_Bal"/>
      <sheetName val="Yield_Info"/>
      <sheetName val="P980302sd-2"/>
    </sheetNames>
    <sheetDataSet>
      <sheetData sheetId="0" refreshError="1">
        <row r="8">
          <cell r="C8" t="str">
            <v>SUNDS Summary</v>
          </cell>
        </row>
        <row r="31">
          <cell r="C31" t="str">
            <v>Analytical Data</v>
          </cell>
        </row>
        <row r="78">
          <cell r="C78" t="str">
            <v>Estimate</v>
          </cell>
        </row>
        <row r="83">
          <cell r="C83" t="str">
            <v>Estimate</v>
          </cell>
        </row>
      </sheetData>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3:AW174"/>
  <sheetViews>
    <sheetView tabSelected="1" topLeftCell="A112" zoomScale="85" zoomScaleNormal="85" zoomScalePageLayoutView="75" workbookViewId="0">
      <selection activeCell="AG138" sqref="AG138:AN139"/>
    </sheetView>
  </sheetViews>
  <sheetFormatPr defaultColWidth="8.85546875" defaultRowHeight="12.75" x14ac:dyDescent="0.2"/>
  <cols>
    <col min="1" max="1" width="18" style="272" customWidth="1"/>
    <col min="2" max="2" width="12.28515625" style="272" customWidth="1"/>
    <col min="3" max="3" width="22" style="272" customWidth="1"/>
    <col min="4" max="4" width="19.28515625" style="272" customWidth="1"/>
    <col min="5" max="5" width="23.42578125" style="272" customWidth="1"/>
    <col min="6" max="6" width="16.140625" style="272" customWidth="1"/>
    <col min="7" max="7" width="14.28515625" style="272" customWidth="1"/>
    <col min="8" max="8" width="19.7109375" style="272" customWidth="1"/>
    <col min="9" max="9" width="16.140625" style="272" customWidth="1"/>
    <col min="10" max="10" width="14.42578125" style="272" bestFit="1" customWidth="1"/>
    <col min="11" max="11" width="18.85546875" style="272" customWidth="1"/>
    <col min="12" max="12" width="15" style="272" customWidth="1"/>
    <col min="13" max="13" width="13.7109375" style="272" bestFit="1" customWidth="1"/>
    <col min="14" max="14" width="13.7109375" style="272" customWidth="1"/>
    <col min="15" max="15" width="10.28515625" style="272" customWidth="1"/>
    <col min="16" max="16" width="10" style="272" customWidth="1"/>
    <col min="17" max="17" width="11.85546875" style="272" customWidth="1"/>
    <col min="18" max="18" width="11.42578125" style="272" customWidth="1"/>
    <col min="19" max="19" width="13.85546875" style="272" customWidth="1"/>
    <col min="20" max="20" width="24.140625" style="272" customWidth="1"/>
    <col min="21" max="21" width="15.5703125" style="272" customWidth="1"/>
    <col min="22" max="23" width="13.140625" style="272" bestFit="1" customWidth="1"/>
    <col min="24" max="24" width="12.42578125" style="272" bestFit="1" customWidth="1"/>
    <col min="25" max="25" width="11.28515625" style="272" customWidth="1"/>
    <col min="26" max="26" width="13.85546875" style="272" bestFit="1" customWidth="1"/>
    <col min="27" max="27" width="8.85546875" style="272"/>
    <col min="28" max="28" width="12.42578125" style="272" bestFit="1" customWidth="1"/>
    <col min="29" max="29" width="13.85546875" style="272" bestFit="1" customWidth="1"/>
    <col min="30" max="30" width="12.42578125" style="272" bestFit="1" customWidth="1"/>
    <col min="31" max="31" width="13.85546875" style="272" bestFit="1" customWidth="1"/>
    <col min="32" max="32" width="8.85546875" style="272"/>
    <col min="33" max="38" width="13.85546875" style="272" bestFit="1" customWidth="1"/>
    <col min="39" max="39" width="12.7109375" style="272" bestFit="1" customWidth="1"/>
    <col min="40" max="42" width="8.85546875" style="272"/>
    <col min="43" max="43" width="13.85546875" style="272" bestFit="1" customWidth="1"/>
    <col min="44" max="45" width="13.28515625" style="272" bestFit="1" customWidth="1"/>
    <col min="46" max="46" width="12.7109375" style="272" bestFit="1" customWidth="1"/>
    <col min="47" max="47" width="13.28515625" style="272" bestFit="1" customWidth="1"/>
    <col min="48" max="48" width="13.85546875" style="272" bestFit="1" customWidth="1"/>
    <col min="49" max="16384" width="8.85546875" style="272"/>
  </cols>
  <sheetData>
    <row r="3" spans="1:34" x14ac:dyDescent="0.2">
      <c r="A3" s="303" t="s">
        <v>547</v>
      </c>
    </row>
    <row r="4" spans="1:34" s="266" customFormat="1" ht="30.75" customHeight="1" x14ac:dyDescent="0.2">
      <c r="A4" s="513" t="s">
        <v>549</v>
      </c>
      <c r="B4" s="514"/>
      <c r="C4" s="514"/>
      <c r="D4" s="515"/>
      <c r="F4" s="513" t="s">
        <v>550</v>
      </c>
      <c r="G4" s="512"/>
      <c r="H4" s="512"/>
      <c r="I4" s="485"/>
      <c r="K4" s="502" t="s">
        <v>548</v>
      </c>
      <c r="L4" s="503"/>
      <c r="M4" s="504"/>
      <c r="N4" s="269"/>
      <c r="O4" s="502" t="s">
        <v>552</v>
      </c>
      <c r="P4" s="503"/>
      <c r="Q4" s="504"/>
      <c r="S4" s="497" t="s">
        <v>611</v>
      </c>
      <c r="T4" s="498"/>
      <c r="U4" s="542"/>
      <c r="W4" s="478" t="s">
        <v>138</v>
      </c>
      <c r="X4" s="501"/>
      <c r="Y4" s="541" t="s">
        <v>556</v>
      </c>
      <c r="Z4" s="492"/>
    </row>
    <row r="5" spans="1:34" s="266" customFormat="1" ht="12.75" customHeight="1" x14ac:dyDescent="0.2">
      <c r="A5" s="521" t="s">
        <v>143</v>
      </c>
      <c r="B5" s="535" t="s">
        <v>139</v>
      </c>
      <c r="C5" s="516" t="s">
        <v>140</v>
      </c>
      <c r="D5" s="517"/>
      <c r="F5" s="521" t="s">
        <v>143</v>
      </c>
      <c r="G5" s="535" t="s">
        <v>139</v>
      </c>
      <c r="H5" s="516" t="s">
        <v>140</v>
      </c>
      <c r="I5" s="496"/>
      <c r="K5" s="346" t="s">
        <v>143</v>
      </c>
      <c r="L5" s="326" t="s">
        <v>139</v>
      </c>
      <c r="M5" s="327" t="s">
        <v>140</v>
      </c>
      <c r="N5" s="268"/>
      <c r="O5" s="550" t="s">
        <v>143</v>
      </c>
      <c r="P5" s="551" t="s">
        <v>139</v>
      </c>
      <c r="Q5" s="552" t="s">
        <v>140</v>
      </c>
      <c r="S5" s="346" t="s">
        <v>143</v>
      </c>
      <c r="T5" s="364" t="s">
        <v>139</v>
      </c>
      <c r="U5" s="365" t="s">
        <v>140</v>
      </c>
      <c r="W5" s="331" t="s">
        <v>240</v>
      </c>
      <c r="X5" s="332">
        <f>Carbon_Balance!AG10</f>
        <v>30.026399999999999</v>
      </c>
      <c r="Y5" s="336"/>
      <c r="Z5" s="541" t="s">
        <v>557</v>
      </c>
      <c r="AA5" s="492"/>
      <c r="AB5" s="492"/>
      <c r="AC5" s="492"/>
    </row>
    <row r="6" spans="1:34" s="266" customFormat="1" ht="12.75" customHeight="1" x14ac:dyDescent="0.2">
      <c r="A6" s="493"/>
      <c r="B6" s="492"/>
      <c r="C6" s="529" t="s">
        <v>554</v>
      </c>
      <c r="D6" s="530" t="s">
        <v>553</v>
      </c>
      <c r="F6" s="493"/>
      <c r="G6" s="492"/>
      <c r="H6" s="529" t="s">
        <v>554</v>
      </c>
      <c r="I6" s="530" t="s">
        <v>553</v>
      </c>
      <c r="K6" s="267" t="s">
        <v>141</v>
      </c>
      <c r="L6" s="321">
        <f>'FLow Rate Uncertainties'!I236</f>
        <v>35.179537259615387</v>
      </c>
      <c r="M6" s="273">
        <f>'FLow Rate Uncertainties'!I237</f>
        <v>1.1995747942249466</v>
      </c>
      <c r="N6" s="268"/>
      <c r="O6" s="493"/>
      <c r="P6" s="492"/>
      <c r="Q6" s="553"/>
      <c r="S6" s="333" t="s">
        <v>240</v>
      </c>
      <c r="T6" s="275">
        <f>Carbon_Balance!I28</f>
        <v>15.9</v>
      </c>
      <c r="U6" s="372">
        <f>'Concentration Uncertainties'!D17</f>
        <v>0.11779000000000001</v>
      </c>
      <c r="W6" s="355" t="s">
        <v>496</v>
      </c>
      <c r="X6" s="285">
        <f>Carbon_Balance!AG26</f>
        <v>28.525116666666666</v>
      </c>
      <c r="Y6" s="398"/>
      <c r="Z6" s="541" t="s">
        <v>636</v>
      </c>
      <c r="AA6" s="492"/>
      <c r="AB6" s="492"/>
      <c r="AC6" s="492"/>
    </row>
    <row r="7" spans="1:34" s="266" customFormat="1" ht="12.75" customHeight="1" x14ac:dyDescent="0.2">
      <c r="A7" s="493"/>
      <c r="B7" s="492"/>
      <c r="C7" s="500"/>
      <c r="D7" s="531"/>
      <c r="F7" s="493"/>
      <c r="G7" s="492"/>
      <c r="H7" s="500"/>
      <c r="I7" s="531"/>
      <c r="K7" s="320" t="s">
        <v>49</v>
      </c>
      <c r="L7" s="275">
        <f>'FLow Rate Uncertainties'!H236</f>
        <v>39.389194586338142</v>
      </c>
      <c r="M7" s="276">
        <f>'FLow Rate Uncertainties'!H237</f>
        <v>1.411433869724215</v>
      </c>
      <c r="N7" s="268"/>
      <c r="O7" s="493"/>
      <c r="P7" s="492"/>
      <c r="Q7" s="554"/>
      <c r="S7" s="333" t="s">
        <v>496</v>
      </c>
      <c r="T7" s="275">
        <f>Carbon_Balance!I29</f>
        <v>0</v>
      </c>
      <c r="U7" s="372">
        <f>'Concentration Uncertainties'!C17</f>
        <v>5.5350000000000003E-2</v>
      </c>
      <c r="W7" s="333" t="s">
        <v>241</v>
      </c>
      <c r="X7" s="285">
        <f>Carbon_Balance!AG11</f>
        <v>30.026399999999999</v>
      </c>
      <c r="Y7" s="404"/>
      <c r="Z7" s="519" t="s">
        <v>637</v>
      </c>
      <c r="AA7" s="500"/>
      <c r="AB7" s="500"/>
      <c r="AC7" s="500"/>
    </row>
    <row r="8" spans="1:34" ht="28.5" customHeight="1" x14ac:dyDescent="0.2">
      <c r="A8" s="270" t="s">
        <v>13</v>
      </c>
      <c r="B8" s="271">
        <f>'Flow Rates &amp; Concentrations'!B38</f>
        <v>0.37555453642772113</v>
      </c>
      <c r="C8" s="288">
        <f>D8*Carbon_Balance!$AF$10/Carbon_Balance!$AF$25</f>
        <v>5.5555404797000179E-3</v>
      </c>
      <c r="D8" s="289">
        <f>0.5/100</f>
        <v>5.0000000000000001E-3</v>
      </c>
      <c r="F8" s="270" t="s">
        <v>13</v>
      </c>
      <c r="G8" s="271">
        <f>'Flow Rates &amp; Concentrations'!B54</f>
        <v>0.58444285846444199</v>
      </c>
      <c r="H8" s="288">
        <f>I8*Carbon_Balance!$AF$10/Carbon_Balance!$AF$25</f>
        <v>5.5555404797000179E-3</v>
      </c>
      <c r="I8" s="289">
        <f>D8</f>
        <v>5.0000000000000001E-3</v>
      </c>
      <c r="K8" s="320" t="s">
        <v>161</v>
      </c>
      <c r="L8" s="275">
        <f>'FLow Rate Uncertainties'!G236</f>
        <v>19.182254106570515</v>
      </c>
      <c r="M8" s="276">
        <f>'FLow Rate Uncertainties'!G237</f>
        <v>1.9319151524814315</v>
      </c>
      <c r="O8" s="267" t="s">
        <v>142</v>
      </c>
      <c r="P8" s="269">
        <f>Carbon_Balance!G12</f>
        <v>0.92</v>
      </c>
      <c r="Q8" s="308">
        <v>8.4000000000000003E-4</v>
      </c>
      <c r="S8" s="333" t="s">
        <v>241</v>
      </c>
      <c r="T8" s="275">
        <f>Carbon_Balance!I30</f>
        <v>0</v>
      </c>
      <c r="U8" s="372">
        <f>'Concentration Uncertainties'!H17</f>
        <v>0</v>
      </c>
      <c r="W8" s="333" t="s">
        <v>366</v>
      </c>
      <c r="X8" s="285">
        <f>Carbon_Balance!AG14</f>
        <v>30.026399999999999</v>
      </c>
      <c r="Y8" s="405"/>
      <c r="Z8" s="519" t="s">
        <v>638</v>
      </c>
      <c r="AA8" s="500"/>
      <c r="AB8" s="500"/>
      <c r="AC8" s="500"/>
    </row>
    <row r="9" spans="1:34" ht="15" x14ac:dyDescent="0.2">
      <c r="A9" s="270" t="s">
        <v>14</v>
      </c>
      <c r="B9" s="271">
        <f>'Flow Rates &amp; Concentrations'!B39</f>
        <v>0.21931745140277606</v>
      </c>
      <c r="C9" s="288">
        <f>D9*Carbon_Balance!$AF$12/Carbon_Balance!$AF$28</f>
        <v>3.4090795554835652E-3</v>
      </c>
      <c r="D9" s="289">
        <f>0.3/100</f>
        <v>3.0000000000000001E-3</v>
      </c>
      <c r="F9" s="270" t="s">
        <v>14</v>
      </c>
      <c r="G9" s="271">
        <f>'Flow Rates &amp; Concentrations'!B55</f>
        <v>2.8408996295696379E-2</v>
      </c>
      <c r="H9" s="288">
        <f>I9*Carbon_Balance!$AF$12/Carbon_Balance!$AF$28</f>
        <v>3.4090795554835652E-3</v>
      </c>
      <c r="I9" s="289">
        <f>D9</f>
        <v>3.0000000000000001E-3</v>
      </c>
      <c r="K9" s="320" t="s">
        <v>164</v>
      </c>
      <c r="L9" s="275">
        <f>'FLow Rate Uncertainties'!F236</f>
        <v>22.844154814369659</v>
      </c>
      <c r="M9" s="276">
        <f>'FLow Rate Uncertainties'!F237</f>
        <v>0.39490886733564368</v>
      </c>
      <c r="O9" s="329" t="s">
        <v>546</v>
      </c>
      <c r="P9" s="330">
        <f>Carbon_Balance!G16</f>
        <v>0.185</v>
      </c>
      <c r="Q9" s="308">
        <v>0.01</v>
      </c>
      <c r="R9" s="328"/>
      <c r="S9" s="334" t="s">
        <v>366</v>
      </c>
      <c r="T9" s="313">
        <f>Carbon_Balance!I31</f>
        <v>6</v>
      </c>
      <c r="U9" s="373">
        <f>'Concentration Uncertainties'!F17</f>
        <v>0.47643000000000002</v>
      </c>
      <c r="W9" s="367" t="s">
        <v>431</v>
      </c>
      <c r="X9" s="285">
        <f>Carbon_Balance!AG12</f>
        <v>30.026400000000002</v>
      </c>
      <c r="Y9" s="393"/>
      <c r="Z9" s="519" t="s">
        <v>639</v>
      </c>
      <c r="AA9" s="500"/>
      <c r="AB9" s="500"/>
      <c r="AC9" s="500"/>
      <c r="AF9" s="395"/>
      <c r="AG9" s="395"/>
      <c r="AH9" s="395"/>
    </row>
    <row r="10" spans="1:34" ht="15" x14ac:dyDescent="0.2">
      <c r="A10" s="270" t="s">
        <v>15</v>
      </c>
      <c r="B10" s="271">
        <f>'Flow Rates &amp; Concentrations'!B40</f>
        <v>1.6666621439100054E-2</v>
      </c>
      <c r="C10" s="288">
        <f>D10*Carbon_Balance!$AF$14/Carbon_Balance!$AF$30</f>
        <v>1.1111080959400035E-3</v>
      </c>
      <c r="D10" s="289">
        <f>0.1/100</f>
        <v>1E-3</v>
      </c>
      <c r="F10" s="270" t="s">
        <v>15</v>
      </c>
      <c r="G10" s="271">
        <f>'Flow Rates &amp; Concentrations'!B56</f>
        <v>0</v>
      </c>
      <c r="H10" s="288">
        <f>I10*Carbon_Balance!$AF$14/Carbon_Balance!$AF$30</f>
        <v>1.1111080959400035E-3</v>
      </c>
      <c r="I10" s="289">
        <f>D10</f>
        <v>1E-3</v>
      </c>
      <c r="K10" s="320" t="s">
        <v>162</v>
      </c>
      <c r="L10" s="275">
        <f>'FLow Rate Uncertainties'!K236</f>
        <v>14.146196686299609</v>
      </c>
      <c r="M10" s="276">
        <f>'FLow Rate Uncertainties'!K237</f>
        <v>0.3600202986452738</v>
      </c>
      <c r="O10" s="274"/>
      <c r="P10" s="275"/>
      <c r="Q10" s="276"/>
      <c r="S10" s="374" t="s">
        <v>431</v>
      </c>
      <c r="T10" s="313">
        <f>Carbon_Balance!I32</f>
        <v>55.1</v>
      </c>
      <c r="U10" s="373">
        <f>'Concentration Uncertainties'!E17</f>
        <v>0.36895</v>
      </c>
      <c r="W10" s="333" t="s">
        <v>433</v>
      </c>
      <c r="X10" s="285">
        <f>Carbon_Balance!AG13</f>
        <v>30.026400000000002</v>
      </c>
      <c r="Y10" s="406"/>
      <c r="Z10" s="541" t="s">
        <v>640</v>
      </c>
      <c r="AA10" s="492"/>
      <c r="AB10" s="492"/>
      <c r="AC10" s="492"/>
    </row>
    <row r="11" spans="1:34" ht="15" x14ac:dyDescent="0.2">
      <c r="A11" s="270" t="s">
        <v>16</v>
      </c>
      <c r="B11" s="271">
        <f>'Flow Rates &amp; Concentrations'!B41</f>
        <v>2.9545356147524231E-2</v>
      </c>
      <c r="C11" s="288">
        <f>D11*Carbon_Balance!$AF$13/Carbon_Balance!$AF$29</f>
        <v>2.2727197036557104E-3</v>
      </c>
      <c r="D11" s="289">
        <f>0.2/100</f>
        <v>2E-3</v>
      </c>
      <c r="F11" s="270" t="s">
        <v>16</v>
      </c>
      <c r="G11" s="271">
        <f>'Flow Rates &amp; Concentrations'!B57</f>
        <v>2.2727197036557104E-3</v>
      </c>
      <c r="H11" s="288">
        <f>I11*Carbon_Balance!$AF$13/Carbon_Balance!$AF$29</f>
        <v>2.2727197036557104E-3</v>
      </c>
      <c r="I11" s="289">
        <f>D11</f>
        <v>2E-3</v>
      </c>
      <c r="K11" s="320" t="s">
        <v>163</v>
      </c>
      <c r="L11" s="275">
        <f>'FLow Rate Uncertainties'!J236</f>
        <v>7.0025238775800256</v>
      </c>
      <c r="M11" s="276">
        <f>'FLow Rate Uncertainties'!J237</f>
        <v>9.8126928999286364E-2</v>
      </c>
      <c r="O11" s="274"/>
      <c r="P11" s="275"/>
      <c r="Q11" s="276"/>
      <c r="S11" s="334" t="s">
        <v>433</v>
      </c>
      <c r="T11" s="313">
        <f>Carbon_Balance!I33</f>
        <v>10.8</v>
      </c>
      <c r="U11" s="373">
        <f>'Concentration Uncertainties'!G17</f>
        <v>0.15595999999999999</v>
      </c>
      <c r="W11" s="333" t="s">
        <v>354</v>
      </c>
      <c r="X11" s="285">
        <f>Carbon_Balance!AG15</f>
        <v>28.525116666666666</v>
      </c>
      <c r="Y11" s="392"/>
      <c r="Z11" s="519" t="s">
        <v>623</v>
      </c>
      <c r="AA11" s="500"/>
      <c r="AB11" s="500"/>
      <c r="AC11" s="500"/>
    </row>
    <row r="12" spans="1:34" ht="25.5" x14ac:dyDescent="0.2">
      <c r="A12" s="270" t="s">
        <v>128</v>
      </c>
      <c r="B12" s="271">
        <f>'Flow Rates &amp; Concentrations'!B42</f>
        <v>0</v>
      </c>
      <c r="C12" s="288">
        <f>D12*Carbon_Balance!$AF$11/Carbon_Balance!$AF$27</f>
        <v>0</v>
      </c>
      <c r="D12" s="289"/>
      <c r="F12" s="270" t="s">
        <v>128</v>
      </c>
      <c r="G12" s="271">
        <f>'Flow Rates &amp; Concentrations'!B58</f>
        <v>0</v>
      </c>
      <c r="H12" s="288">
        <f>I12*Carbon_Balance!$AF$11/Carbon_Balance!$AF$27</f>
        <v>0</v>
      </c>
      <c r="I12" s="289">
        <f>D12</f>
        <v>0</v>
      </c>
      <c r="K12" s="267" t="s">
        <v>72</v>
      </c>
      <c r="L12" s="298">
        <f>'Flow Rates &amp; Concentrations'!B67</f>
        <v>1.069</v>
      </c>
      <c r="M12" s="348">
        <v>8.3699999999999996E-4</v>
      </c>
      <c r="O12" s="274"/>
      <c r="P12" s="275"/>
      <c r="Q12" s="276"/>
      <c r="S12" s="333" t="s">
        <v>354</v>
      </c>
      <c r="T12" s="275">
        <f>Carbon_Balance!I34</f>
        <v>0</v>
      </c>
      <c r="U12" s="372"/>
      <c r="W12" s="333" t="s">
        <v>355</v>
      </c>
      <c r="X12" s="285">
        <f>Carbon_Balance!AG16</f>
        <v>30.026399999999999</v>
      </c>
      <c r="Y12" s="401"/>
      <c r="Z12" s="519" t="s">
        <v>641</v>
      </c>
      <c r="AA12" s="500"/>
      <c r="AB12" s="500"/>
      <c r="AC12" s="500"/>
    </row>
    <row r="13" spans="1:34" ht="15" x14ac:dyDescent="0.2">
      <c r="A13" s="277" t="s">
        <v>130</v>
      </c>
      <c r="B13" s="271">
        <f>'Flow Rates &amp; Concentrations'!B43</f>
        <v>0.161</v>
      </c>
      <c r="C13" s="288">
        <f t="shared" ref="C13:C20" si="0">D13</f>
        <v>2E-3</v>
      </c>
      <c r="D13" s="289">
        <f>0.2/100</f>
        <v>2E-3</v>
      </c>
      <c r="F13" s="277" t="s">
        <v>129</v>
      </c>
      <c r="G13" s="271">
        <f>'Flow Rates &amp; Concentrations'!B59</f>
        <v>7.0000000000000007E-2</v>
      </c>
      <c r="H13" s="288">
        <f>I13/100</f>
        <v>0</v>
      </c>
      <c r="I13" s="289"/>
      <c r="K13" s="274"/>
      <c r="L13" s="275"/>
      <c r="M13" s="347"/>
      <c r="O13" s="274"/>
      <c r="P13" s="275"/>
      <c r="Q13" s="276"/>
      <c r="S13" s="333" t="s">
        <v>355</v>
      </c>
      <c r="T13" s="275">
        <f>Carbon_Balance!I35</f>
        <v>0</v>
      </c>
      <c r="U13" s="372"/>
      <c r="W13" s="334" t="s">
        <v>353</v>
      </c>
      <c r="X13" s="337">
        <f>Carbon_Balance!AG31</f>
        <v>21.5227</v>
      </c>
    </row>
    <row r="14" spans="1:34" ht="15" x14ac:dyDescent="0.2">
      <c r="A14" s="277" t="s">
        <v>134</v>
      </c>
      <c r="B14" s="271">
        <f>'Flow Rates &amp; Concentrations'!B44</f>
        <v>6.6000000000000003E-2</v>
      </c>
      <c r="C14" s="288">
        <f t="shared" si="0"/>
        <v>0</v>
      </c>
      <c r="D14" s="289"/>
      <c r="F14" s="277" t="s">
        <v>130</v>
      </c>
      <c r="G14" s="271">
        <f>'Flow Rates &amp; Concentrations'!B60</f>
        <v>0.316</v>
      </c>
      <c r="H14" s="288">
        <f>I14</f>
        <v>2E-3</v>
      </c>
      <c r="I14" s="289">
        <f>D13</f>
        <v>2E-3</v>
      </c>
      <c r="K14" s="274"/>
      <c r="L14" s="275"/>
      <c r="M14" s="347"/>
      <c r="O14" s="274"/>
      <c r="P14" s="275"/>
      <c r="Q14" s="276"/>
      <c r="S14" s="333"/>
      <c r="T14" s="275"/>
      <c r="U14" s="372"/>
      <c r="W14" s="333" t="s">
        <v>251</v>
      </c>
      <c r="X14" s="285">
        <f>Carbon_Balance!AG18</f>
        <v>30.026399999999999</v>
      </c>
    </row>
    <row r="15" spans="1:34" ht="15" x14ac:dyDescent="0.2">
      <c r="A15" s="277" t="s">
        <v>135</v>
      </c>
      <c r="B15" s="271">
        <f>'Flow Rates &amp; Concentrations'!B45</f>
        <v>0</v>
      </c>
      <c r="C15" s="288">
        <f t="shared" si="0"/>
        <v>0</v>
      </c>
      <c r="D15" s="289"/>
      <c r="F15" s="277" t="s">
        <v>131</v>
      </c>
      <c r="G15" s="271">
        <f>'Flow Rates &amp; Concentrations'!B61</f>
        <v>6.9999999999999993E-3</v>
      </c>
      <c r="H15" s="288">
        <f>I15</f>
        <v>0</v>
      </c>
      <c r="I15" s="289"/>
      <c r="K15" s="274"/>
      <c r="L15" s="275"/>
      <c r="M15" s="345"/>
      <c r="O15" s="274"/>
      <c r="P15" s="275"/>
      <c r="Q15" s="276"/>
      <c r="S15" s="333" t="s">
        <v>353</v>
      </c>
      <c r="T15" s="275">
        <f>Carbon_Balance!I37</f>
        <v>0</v>
      </c>
      <c r="U15" s="372"/>
      <c r="W15" s="333" t="s">
        <v>256</v>
      </c>
      <c r="X15" s="285">
        <f>Carbon_Balance!AG21</f>
        <v>20.924214222222222</v>
      </c>
    </row>
    <row r="16" spans="1:34" ht="15" x14ac:dyDescent="0.2">
      <c r="A16" s="270" t="s">
        <v>131</v>
      </c>
      <c r="B16" s="271">
        <f>'Flow Rates &amp; Concentrations'!B46</f>
        <v>2.1000000000000001E-2</v>
      </c>
      <c r="C16" s="288">
        <f t="shared" si="0"/>
        <v>0</v>
      </c>
      <c r="D16" s="289"/>
      <c r="F16" s="277" t="s">
        <v>132</v>
      </c>
      <c r="G16" s="271">
        <f>'Flow Rates &amp; Concentrations'!B62</f>
        <v>0</v>
      </c>
      <c r="H16" s="288">
        <f>I16</f>
        <v>1E-3</v>
      </c>
      <c r="I16" s="289">
        <f>D17</f>
        <v>1E-3</v>
      </c>
      <c r="K16" s="489" t="s">
        <v>551</v>
      </c>
      <c r="L16" s="275"/>
      <c r="M16" s="345"/>
      <c r="O16" s="274"/>
      <c r="P16" s="275"/>
      <c r="Q16" s="276"/>
      <c r="S16" s="333" t="s">
        <v>251</v>
      </c>
      <c r="T16" s="275">
        <f>Carbon_Balance!I38</f>
        <v>9.9</v>
      </c>
      <c r="U16" s="372"/>
      <c r="W16" s="333" t="s">
        <v>367</v>
      </c>
      <c r="X16" s="285">
        <f>Carbon_Balance!AG22</f>
        <v>19.21716</v>
      </c>
    </row>
    <row r="17" spans="1:24" ht="15" x14ac:dyDescent="0.2">
      <c r="A17" s="277" t="s">
        <v>132</v>
      </c>
      <c r="B17" s="271">
        <f>'Flow Rates &amp; Concentrations'!B47</f>
        <v>0</v>
      </c>
      <c r="C17" s="288">
        <f t="shared" si="0"/>
        <v>1E-3</v>
      </c>
      <c r="D17" s="289">
        <f>0.1/100</f>
        <v>1E-3</v>
      </c>
      <c r="F17" s="278" t="s">
        <v>133</v>
      </c>
      <c r="G17" s="279">
        <f>'Flow Rates &amp; Concentrations'!B63</f>
        <v>0</v>
      </c>
      <c r="H17" s="290">
        <f>I17</f>
        <v>0</v>
      </c>
      <c r="I17" s="291"/>
      <c r="K17" s="490"/>
      <c r="L17" s="282">
        <f>L6+L7+L8+L9+-L10-L11</f>
        <v>95.446420203014057</v>
      </c>
      <c r="M17" s="349">
        <f>SQRT(SUMSQ(M6:M8,M10:M11))</f>
        <v>2.7023443380819017</v>
      </c>
      <c r="O17" s="274"/>
      <c r="P17" s="275"/>
      <c r="Q17" s="276"/>
      <c r="S17" s="333"/>
      <c r="T17" s="275"/>
      <c r="U17" s="372"/>
      <c r="W17" s="335" t="s">
        <v>369</v>
      </c>
      <c r="X17" s="287">
        <f>Carbon_Balance!AG23</f>
        <v>21.018699999999999</v>
      </c>
    </row>
    <row r="18" spans="1:24" ht="15" x14ac:dyDescent="0.2">
      <c r="A18" s="277" t="s">
        <v>133</v>
      </c>
      <c r="B18" s="271">
        <f>'Flow Rates &amp; Concentrations'!B48</f>
        <v>0</v>
      </c>
      <c r="C18" s="288">
        <f t="shared" si="0"/>
        <v>0</v>
      </c>
      <c r="D18" s="289"/>
      <c r="F18" s="275"/>
      <c r="G18" s="275"/>
      <c r="H18" s="280"/>
      <c r="K18" s="275"/>
      <c r="L18" s="275"/>
      <c r="M18" s="344"/>
      <c r="O18" s="274"/>
      <c r="P18" s="275"/>
      <c r="Q18" s="276"/>
      <c r="S18" s="333" t="s">
        <v>256</v>
      </c>
      <c r="T18" s="275">
        <f>Carbon_Balance!I40</f>
        <v>0</v>
      </c>
      <c r="U18" s="372">
        <f>'Concentration Uncertainties'!B17</f>
        <v>0.35436000000000001</v>
      </c>
    </row>
    <row r="19" spans="1:24" ht="15" x14ac:dyDescent="0.2">
      <c r="A19" s="277" t="s">
        <v>136</v>
      </c>
      <c r="B19" s="271">
        <f>'Flow Rates &amp; Concentrations'!B49</f>
        <v>0.02</v>
      </c>
      <c r="C19" s="288">
        <f t="shared" si="0"/>
        <v>0</v>
      </c>
      <c r="D19" s="289"/>
      <c r="O19" s="281"/>
      <c r="P19" s="282"/>
      <c r="Q19" s="283"/>
      <c r="S19" s="333" t="s">
        <v>367</v>
      </c>
      <c r="T19" s="275">
        <f>Carbon_Balance!I41</f>
        <v>0</v>
      </c>
      <c r="U19" s="372"/>
    </row>
    <row r="20" spans="1:24" ht="15" x14ac:dyDescent="0.2">
      <c r="A20" s="278" t="s">
        <v>137</v>
      </c>
      <c r="B20" s="279">
        <f>'Flow Rates &amp; Concentrations'!B50</f>
        <v>0.11599999999999999</v>
      </c>
      <c r="C20" s="290">
        <f t="shared" si="0"/>
        <v>0</v>
      </c>
      <c r="D20" s="291"/>
      <c r="S20" s="335" t="s">
        <v>369</v>
      </c>
      <c r="T20" s="363">
        <f>Carbon_Balance!I42</f>
        <v>0</v>
      </c>
      <c r="U20" s="375"/>
    </row>
    <row r="21" spans="1:24" x14ac:dyDescent="0.2">
      <c r="C21" s="292"/>
      <c r="D21" s="292"/>
    </row>
    <row r="22" spans="1:24" x14ac:dyDescent="0.2">
      <c r="A22" s="303"/>
    </row>
    <row r="24" spans="1:24" x14ac:dyDescent="0.2">
      <c r="D24" s="284"/>
    </row>
    <row r="25" spans="1:24" x14ac:dyDescent="0.2">
      <c r="A25" s="519" t="s">
        <v>574</v>
      </c>
      <c r="B25" s="500"/>
      <c r="C25" s="520"/>
      <c r="D25" s="508" t="s">
        <v>558</v>
      </c>
      <c r="E25" s="509"/>
      <c r="F25" s="509"/>
      <c r="G25" s="509"/>
      <c r="H25" s="509"/>
      <c r="I25" s="509"/>
      <c r="J25" s="509"/>
      <c r="K25" s="509"/>
      <c r="L25" s="510"/>
    </row>
    <row r="26" spans="1:24" ht="35.25" customHeight="1" x14ac:dyDescent="0.2">
      <c r="A26" s="500"/>
      <c r="B26" s="500"/>
      <c r="C26" s="520"/>
      <c r="D26" s="518" t="s">
        <v>44</v>
      </c>
      <c r="E26" s="505" t="s">
        <v>564</v>
      </c>
      <c r="F26" s="505" t="s">
        <v>566</v>
      </c>
      <c r="G26" s="505" t="s">
        <v>580</v>
      </c>
      <c r="H26" s="508" t="s">
        <v>581</v>
      </c>
      <c r="I26" s="509"/>
      <c r="J26" s="509"/>
      <c r="K26" s="509"/>
      <c r="L26" s="510"/>
    </row>
    <row r="27" spans="1:24" ht="35.25" customHeight="1" x14ac:dyDescent="0.2">
      <c r="A27" s="500"/>
      <c r="B27" s="500"/>
      <c r="C27" s="520"/>
      <c r="D27" s="518"/>
      <c r="E27" s="506"/>
      <c r="F27" s="506"/>
      <c r="G27" s="506"/>
      <c r="H27" s="502" t="s">
        <v>563</v>
      </c>
      <c r="I27" s="512"/>
      <c r="J27" s="485"/>
      <c r="K27" s="318"/>
      <c r="L27" s="319"/>
    </row>
    <row r="28" spans="1:24" ht="35.25" customHeight="1" x14ac:dyDescent="0.2">
      <c r="A28" s="500"/>
      <c r="B28" s="500"/>
      <c r="C28" s="520"/>
      <c r="D28" s="518"/>
      <c r="E28" s="507"/>
      <c r="F28" s="507"/>
      <c r="G28" s="507"/>
      <c r="H28" s="324" t="s">
        <v>564</v>
      </c>
      <c r="I28" s="296" t="s">
        <v>142</v>
      </c>
      <c r="J28" s="296" t="s">
        <v>565</v>
      </c>
      <c r="K28" s="296" t="s">
        <v>144</v>
      </c>
      <c r="L28" s="325" t="s">
        <v>583</v>
      </c>
    </row>
    <row r="29" spans="1:24" x14ac:dyDescent="0.2">
      <c r="C29" s="286"/>
      <c r="D29" s="294" t="s">
        <v>240</v>
      </c>
      <c r="E29" s="293">
        <f>B8</f>
        <v>0.37555453642772113</v>
      </c>
      <c r="F29" s="340">
        <f>C8</f>
        <v>5.5555404797000179E-3</v>
      </c>
      <c r="G29" s="293">
        <f>Carbon_Balance!C28</f>
        <v>404.80670419012841</v>
      </c>
      <c r="H29" s="323">
        <f t="shared" ref="H29:H36" si="1">IF(G29=0,0,($L$6*1000*$P$8/X5)^2)</f>
        <v>1161848.1431995279</v>
      </c>
      <c r="I29" s="293">
        <f t="shared" ref="I29:I36" si="2">IF(E29=0,0,(E29*$L$6*1000/X5)^2)</f>
        <v>193606.41275670382</v>
      </c>
      <c r="J29" s="293">
        <f t="shared" ref="J29:J36" si="3">(E29*$P$8/X5)^2</f>
        <v>1.3240828111197144E-4</v>
      </c>
      <c r="K29" s="293">
        <f t="shared" ref="K29:K43" si="4">(H29*F29^2+I29*$Q$8^2+J29*($M$6*1000)^2)</f>
        <v>226.52875155981948</v>
      </c>
      <c r="L29" s="293">
        <f>SQRT(K29)</f>
        <v>15.050872119575645</v>
      </c>
    </row>
    <row r="30" spans="1:24" x14ac:dyDescent="0.2">
      <c r="D30" s="294" t="s">
        <v>496</v>
      </c>
      <c r="E30" s="293">
        <f>Carbon_Balance!B29</f>
        <v>0</v>
      </c>
      <c r="F30" s="340"/>
      <c r="G30" s="293">
        <v>0</v>
      </c>
      <c r="H30" s="323">
        <f t="shared" si="1"/>
        <v>0</v>
      </c>
      <c r="I30" s="293">
        <f t="shared" si="2"/>
        <v>0</v>
      </c>
      <c r="J30" s="293">
        <f t="shared" si="3"/>
        <v>0</v>
      </c>
      <c r="K30" s="293">
        <f t="shared" si="4"/>
        <v>0</v>
      </c>
      <c r="L30" s="293">
        <f t="shared" ref="L30:L40" si="5">SQRT(K30)</f>
        <v>0</v>
      </c>
    </row>
    <row r="31" spans="1:24" x14ac:dyDescent="0.2">
      <c r="D31" s="294" t="s">
        <v>241</v>
      </c>
      <c r="E31" s="293">
        <f>Carbon_Balance!B30</f>
        <v>0</v>
      </c>
      <c r="F31" s="340">
        <f>C12</f>
        <v>0</v>
      </c>
      <c r="G31" s="293">
        <v>0</v>
      </c>
      <c r="H31" s="323">
        <f t="shared" si="1"/>
        <v>0</v>
      </c>
      <c r="I31" s="293">
        <f t="shared" si="2"/>
        <v>0</v>
      </c>
      <c r="J31" s="293">
        <f t="shared" si="3"/>
        <v>0</v>
      </c>
      <c r="K31" s="293">
        <f t="shared" si="4"/>
        <v>0</v>
      </c>
      <c r="L31" s="293">
        <f t="shared" si="5"/>
        <v>0</v>
      </c>
    </row>
    <row r="32" spans="1:24" x14ac:dyDescent="0.2">
      <c r="D32" s="294" t="s">
        <v>366</v>
      </c>
      <c r="E32" s="293">
        <f>Carbon_Balance!B31</f>
        <v>1.6666621439100054E-2</v>
      </c>
      <c r="F32" s="340">
        <f>C10</f>
        <v>1.1111080959400035E-3</v>
      </c>
      <c r="G32" s="293">
        <f>Carbon_Balance!C31</f>
        <v>17.964794564650674</v>
      </c>
      <c r="H32" s="323">
        <f t="shared" si="1"/>
        <v>1161848.1431995279</v>
      </c>
      <c r="I32" s="293">
        <f t="shared" si="2"/>
        <v>381.3018002718602</v>
      </c>
      <c r="J32" s="293">
        <f t="shared" si="3"/>
        <v>2.6077398594406356E-7</v>
      </c>
      <c r="K32" s="293">
        <f t="shared" si="4"/>
        <v>1.8098901540954544</v>
      </c>
      <c r="L32" s="293">
        <f t="shared" si="5"/>
        <v>1.3453215801790495</v>
      </c>
    </row>
    <row r="33" spans="1:12" s="303" customFormat="1" x14ac:dyDescent="0.2">
      <c r="D33" s="305" t="s">
        <v>431</v>
      </c>
      <c r="E33" s="306">
        <f>Carbon_Balance!B32</f>
        <v>0.21931745140277606</v>
      </c>
      <c r="F33" s="341">
        <f>C9</f>
        <v>3.4090795554835652E-3</v>
      </c>
      <c r="G33" s="306">
        <f>Carbon_Balance!C32</f>
        <v>236.400219042017</v>
      </c>
      <c r="H33" s="322">
        <f t="shared" si="1"/>
        <v>1161848.1431995274</v>
      </c>
      <c r="I33" s="306">
        <f t="shared" si="2"/>
        <v>66026.776421448012</v>
      </c>
      <c r="J33" s="306">
        <f t="shared" si="3"/>
        <v>4.5156004126344E-5</v>
      </c>
      <c r="K33" s="306">
        <f t="shared" si="4"/>
        <v>78.527955130649076</v>
      </c>
      <c r="L33" s="306">
        <f t="shared" si="5"/>
        <v>8.8616000321978579</v>
      </c>
    </row>
    <row r="34" spans="1:12" s="304" customFormat="1" x14ac:dyDescent="0.2">
      <c r="D34" s="311" t="s">
        <v>433</v>
      </c>
      <c r="E34" s="322">
        <f>Carbon_Balance!B33</f>
        <v>2.9545356147524231E-2</v>
      </c>
      <c r="F34" s="341">
        <f>C11</f>
        <v>2.2727197036557104E-3</v>
      </c>
      <c r="G34" s="322">
        <f>Carbon_Balance!C33</f>
        <v>31.846661632603318</v>
      </c>
      <c r="H34" s="322">
        <f t="shared" si="1"/>
        <v>1161848.1431995274</v>
      </c>
      <c r="I34" s="322">
        <f t="shared" si="2"/>
        <v>1198.263063730539</v>
      </c>
      <c r="J34" s="322">
        <f t="shared" si="3"/>
        <v>8.1949740367281114E-7</v>
      </c>
      <c r="K34" s="322">
        <f t="shared" si="4"/>
        <v>7.1813273700367652</v>
      </c>
      <c r="L34" s="322">
        <f t="shared" si="5"/>
        <v>2.6797998749975278</v>
      </c>
    </row>
    <row r="35" spans="1:12" x14ac:dyDescent="0.2">
      <c r="D35" s="294" t="s">
        <v>354</v>
      </c>
      <c r="E35" s="293">
        <f>Carbon_Balance!B34</f>
        <v>0.02</v>
      </c>
      <c r="F35" s="340">
        <f>C19</f>
        <v>0</v>
      </c>
      <c r="G35" s="293">
        <f>Carbon_Balance!C34</f>
        <v>22.692404491839877</v>
      </c>
      <c r="H35" s="293">
        <f t="shared" si="1"/>
        <v>1287363.0540531869</v>
      </c>
      <c r="I35" s="293">
        <f t="shared" si="2"/>
        <v>608.39463802135481</v>
      </c>
      <c r="J35" s="293">
        <f t="shared" si="3"/>
        <v>4.1608378106452084E-7</v>
      </c>
      <c r="K35" s="293">
        <f t="shared" si="4"/>
        <v>0.59916539227354992</v>
      </c>
      <c r="L35" s="293">
        <f t="shared" si="5"/>
        <v>0.77405774479269307</v>
      </c>
    </row>
    <row r="36" spans="1:12" x14ac:dyDescent="0.2">
      <c r="D36" s="294" t="s">
        <v>355</v>
      </c>
      <c r="E36" s="293">
        <f>Carbon_Balance!B35</f>
        <v>0</v>
      </c>
      <c r="F36" s="340"/>
      <c r="G36" s="293">
        <v>0</v>
      </c>
      <c r="H36" s="293">
        <f t="shared" si="1"/>
        <v>0</v>
      </c>
      <c r="I36" s="293">
        <f t="shared" si="2"/>
        <v>0</v>
      </c>
      <c r="J36" s="293">
        <f t="shared" si="3"/>
        <v>0</v>
      </c>
      <c r="K36" s="293">
        <f t="shared" si="4"/>
        <v>0</v>
      </c>
      <c r="L36" s="293">
        <f t="shared" si="5"/>
        <v>0</v>
      </c>
    </row>
    <row r="37" spans="1:12" x14ac:dyDescent="0.2">
      <c r="D37" s="294"/>
      <c r="E37" s="293"/>
      <c r="F37" s="340"/>
      <c r="G37" s="293"/>
      <c r="H37" s="293"/>
      <c r="I37" s="293"/>
      <c r="J37" s="293"/>
      <c r="K37" s="293">
        <f t="shared" si="4"/>
        <v>0</v>
      </c>
      <c r="L37" s="293">
        <f t="shared" si="5"/>
        <v>0</v>
      </c>
    </row>
    <row r="38" spans="1:12" x14ac:dyDescent="0.2">
      <c r="D38" s="294" t="s">
        <v>353</v>
      </c>
      <c r="E38" s="293">
        <f>Carbon_Balance!B37</f>
        <v>2.1000000000000001E-2</v>
      </c>
      <c r="F38" s="340">
        <f>C16</f>
        <v>0</v>
      </c>
      <c r="G38" s="293">
        <f>Carbon_Balance!C37</f>
        <v>31.579154095711477</v>
      </c>
      <c r="H38" s="293">
        <f>IF(G38=0,0,($L$6*1000*$P$8/X13)^2)</f>
        <v>2261321.9351489581</v>
      </c>
      <c r="I38" s="293">
        <f>IF(E38=0,0,(E38*$L$6*1000/X13)^2)</f>
        <v>1178.2171235830469</v>
      </c>
      <c r="J38" s="293">
        <f>(E38*$P$8/X13)^2</f>
        <v>8.0578789663526032E-7</v>
      </c>
      <c r="K38" s="293">
        <f t="shared" si="4"/>
        <v>1.1603437652425055</v>
      </c>
      <c r="L38" s="293">
        <f>SQRT(K38)</f>
        <v>1.0771925386125294</v>
      </c>
    </row>
    <row r="39" spans="1:12" x14ac:dyDescent="0.2">
      <c r="D39" s="294" t="s">
        <v>251</v>
      </c>
      <c r="E39" s="293">
        <f>Carbon_Balance!B38</f>
        <v>0</v>
      </c>
      <c r="F39" s="340"/>
      <c r="G39" s="293">
        <v>0</v>
      </c>
      <c r="H39" s="293">
        <f>IF(G39=0,0,($L$6*1000*$P$8/X14)^2)</f>
        <v>0</v>
      </c>
      <c r="I39" s="293">
        <f>IF(E39=0,0,(E39*$L$6*1000/X14)^2)</f>
        <v>0</v>
      </c>
      <c r="J39" s="293">
        <f>(E39*$P$8/X14)^2</f>
        <v>0</v>
      </c>
      <c r="K39" s="293">
        <f t="shared" si="4"/>
        <v>0</v>
      </c>
      <c r="L39" s="293">
        <f>SQRT(K39)</f>
        <v>0</v>
      </c>
    </row>
    <row r="40" spans="1:12" x14ac:dyDescent="0.2">
      <c r="D40" s="294"/>
      <c r="E40" s="293"/>
      <c r="F40" s="340"/>
      <c r="G40" s="293"/>
      <c r="H40" s="293"/>
      <c r="I40" s="293"/>
      <c r="J40" s="293"/>
      <c r="K40" s="293">
        <f t="shared" si="4"/>
        <v>0</v>
      </c>
      <c r="L40" s="293">
        <f t="shared" si="5"/>
        <v>0</v>
      </c>
    </row>
    <row r="41" spans="1:12" x14ac:dyDescent="0.2">
      <c r="D41" s="294" t="s">
        <v>256</v>
      </c>
      <c r="E41" s="293">
        <f>Carbon_Balance!B40</f>
        <v>0.161</v>
      </c>
      <c r="F41" s="340">
        <f>C13</f>
        <v>2E-3</v>
      </c>
      <c r="G41" s="293">
        <f>Carbon_Balance!C40</f>
        <v>249.03172007100713</v>
      </c>
      <c r="H41" s="293">
        <f>IF(G41=0,0,($L$6*1000*$P$8/X15)^2)</f>
        <v>2392531.0598173095</v>
      </c>
      <c r="I41" s="293">
        <f>IF(E41=0,0,(E41*$L$6*1000/X15)^2)</f>
        <v>73271.263706905069</v>
      </c>
      <c r="J41" s="293">
        <f>(E41*$P$8/X15)^2</f>
        <v>5.0110540989801723E-5</v>
      </c>
      <c r="K41" s="293">
        <f t="shared" si="4"/>
        <v>81.72987502883089</v>
      </c>
      <c r="L41" s="293">
        <f>SQRT(K41)</f>
        <v>9.0404576780620403</v>
      </c>
    </row>
    <row r="42" spans="1:12" x14ac:dyDescent="0.2">
      <c r="D42" s="294" t="s">
        <v>367</v>
      </c>
      <c r="E42" s="293">
        <f>Carbon_Balance!B41</f>
        <v>0</v>
      </c>
      <c r="F42" s="340"/>
      <c r="G42" s="293">
        <v>0</v>
      </c>
      <c r="H42" s="293">
        <f>IF(G42=0,0,($L$6*1000*$P$8/X16)^2)</f>
        <v>0</v>
      </c>
      <c r="I42" s="293">
        <f>IF(E42=0,0,(E42*$L$6*1000/X16)^2)</f>
        <v>0</v>
      </c>
      <c r="J42" s="293">
        <f>(E42*$P$8/X16)^2</f>
        <v>0</v>
      </c>
      <c r="K42" s="293">
        <f t="shared" si="4"/>
        <v>0</v>
      </c>
      <c r="L42" s="293">
        <f>SQRT(K42)</f>
        <v>0</v>
      </c>
    </row>
    <row r="43" spans="1:12" x14ac:dyDescent="0.2">
      <c r="D43" s="294" t="s">
        <v>369</v>
      </c>
      <c r="E43" s="293">
        <f>Carbon_Balance!B42</f>
        <v>0</v>
      </c>
      <c r="F43" s="340">
        <v>0</v>
      </c>
      <c r="G43" s="293">
        <f>IF(F43=0,0,($L$6*1000*$P$8/X17)^2)</f>
        <v>0</v>
      </c>
      <c r="H43" s="293"/>
      <c r="I43" s="293">
        <f>IF(E43=0,0,(E43*$L$6*1000/X17)^2)</f>
        <v>0</v>
      </c>
      <c r="J43" s="293">
        <f>(E43*$P$8/X17)^2</f>
        <v>0</v>
      </c>
      <c r="K43" s="293">
        <f t="shared" si="4"/>
        <v>0</v>
      </c>
      <c r="L43" s="293">
        <f>SQRT(K43)</f>
        <v>0</v>
      </c>
    </row>
    <row r="46" spans="1:12" x14ac:dyDescent="0.2">
      <c r="A46" s="519" t="s">
        <v>573</v>
      </c>
      <c r="B46" s="500"/>
      <c r="C46" s="520"/>
      <c r="D46" s="508" t="s">
        <v>559</v>
      </c>
      <c r="E46" s="509"/>
      <c r="F46" s="509"/>
      <c r="G46" s="509"/>
      <c r="H46" s="509"/>
      <c r="I46" s="509"/>
      <c r="J46" s="509"/>
      <c r="K46" s="509"/>
      <c r="L46" s="510"/>
    </row>
    <row r="47" spans="1:12" ht="35.25" customHeight="1" x14ac:dyDescent="0.2">
      <c r="A47" s="500"/>
      <c r="B47" s="500"/>
      <c r="C47" s="520"/>
      <c r="D47" s="518" t="s">
        <v>44</v>
      </c>
      <c r="E47" s="518" t="s">
        <v>571</v>
      </c>
      <c r="F47" s="518" t="s">
        <v>588</v>
      </c>
      <c r="G47" s="518" t="s">
        <v>589</v>
      </c>
      <c r="H47" s="508" t="s">
        <v>582</v>
      </c>
      <c r="I47" s="509"/>
      <c r="J47" s="509"/>
      <c r="K47" s="509"/>
      <c r="L47" s="510"/>
    </row>
    <row r="48" spans="1:12" ht="35.25" customHeight="1" x14ac:dyDescent="0.2">
      <c r="A48" s="500"/>
      <c r="B48" s="500"/>
      <c r="C48" s="520"/>
      <c r="D48" s="518"/>
      <c r="E48" s="518"/>
      <c r="F48" s="518"/>
      <c r="G48" s="518"/>
      <c r="H48" s="502" t="s">
        <v>563</v>
      </c>
      <c r="I48" s="512"/>
      <c r="J48" s="485"/>
      <c r="K48" s="318"/>
      <c r="L48" s="319"/>
    </row>
    <row r="49" spans="1:12" ht="34.5" customHeight="1" x14ac:dyDescent="0.2">
      <c r="A49" s="500"/>
      <c r="B49" s="500"/>
      <c r="C49" s="520"/>
      <c r="D49" s="518"/>
      <c r="E49" s="518"/>
      <c r="F49" s="518"/>
      <c r="G49" s="518"/>
      <c r="H49" s="297" t="s">
        <v>74</v>
      </c>
      <c r="I49" s="297" t="s">
        <v>546</v>
      </c>
      <c r="J49" s="297" t="s">
        <v>562</v>
      </c>
      <c r="K49" s="368" t="s">
        <v>561</v>
      </c>
      <c r="L49" s="325" t="s">
        <v>583</v>
      </c>
    </row>
    <row r="50" spans="1:12" x14ac:dyDescent="0.2">
      <c r="C50" s="286"/>
      <c r="D50" s="294" t="s">
        <v>240</v>
      </c>
      <c r="E50" s="293">
        <f>Carbon_Balance!E28</f>
        <v>0.58444285846444199</v>
      </c>
      <c r="F50" s="340">
        <f>H8</f>
        <v>5.5555404797000179E-3</v>
      </c>
      <c r="G50" s="293">
        <f>Carbon_Balance!F28</f>
        <v>343.03289795287742</v>
      </c>
      <c r="H50" s="293">
        <f>($L$17*1000*$P$9/X5)^2</f>
        <v>345824.86344416905</v>
      </c>
      <c r="I50" s="293">
        <f>($L$17*1000*E50/X5)^2</f>
        <v>3451412.5161680556</v>
      </c>
      <c r="J50" s="293">
        <f>($P$9*1000*E50/X5)^2</f>
        <v>12.966448443827026</v>
      </c>
      <c r="K50" s="293">
        <f>H50*F50^2+I50*$Q$9^2+J50*$M$17^2</f>
        <v>450.50442879235192</v>
      </c>
      <c r="L50" s="293">
        <f>SQRT(K50)</f>
        <v>21.225089606226682</v>
      </c>
    </row>
    <row r="51" spans="1:12" x14ac:dyDescent="0.2">
      <c r="D51" s="294" t="s">
        <v>496</v>
      </c>
      <c r="E51" s="293">
        <f>Carbon_Balance!E29</f>
        <v>0</v>
      </c>
      <c r="F51" s="340"/>
      <c r="G51" s="293"/>
      <c r="H51" s="293"/>
      <c r="I51" s="293"/>
      <c r="J51" s="293"/>
      <c r="K51" s="293"/>
      <c r="L51" s="293"/>
    </row>
    <row r="52" spans="1:12" x14ac:dyDescent="0.2">
      <c r="D52" s="294" t="s">
        <v>241</v>
      </c>
      <c r="E52" s="293">
        <f>Carbon_Balance!E30</f>
        <v>0</v>
      </c>
      <c r="F52" s="340"/>
      <c r="G52" s="293"/>
      <c r="H52" s="293"/>
      <c r="I52" s="293"/>
      <c r="J52" s="293"/>
      <c r="K52" s="293"/>
      <c r="L52" s="293"/>
    </row>
    <row r="53" spans="1:12" x14ac:dyDescent="0.2">
      <c r="D53" s="294" t="s">
        <v>366</v>
      </c>
      <c r="E53" s="293">
        <f>Carbon_Balance!E31</f>
        <v>0</v>
      </c>
      <c r="F53" s="340"/>
      <c r="G53" s="293"/>
      <c r="H53" s="293"/>
      <c r="I53" s="293"/>
      <c r="J53" s="293"/>
      <c r="K53" s="293"/>
      <c r="L53" s="293"/>
    </row>
    <row r="54" spans="1:12" x14ac:dyDescent="0.2">
      <c r="D54" s="295" t="s">
        <v>431</v>
      </c>
      <c r="E54" s="293">
        <f>Carbon_Balance!E32</f>
        <v>2.8408996295696379E-2</v>
      </c>
      <c r="F54" s="340">
        <f>H9</f>
        <v>3.4090795554835652E-3</v>
      </c>
      <c r="G54" s="293">
        <f>Carbon_Balance!F32</f>
        <v>16.674376606893205</v>
      </c>
      <c r="H54" s="293">
        <f>($L$17*1000*$P$9/X9)^2</f>
        <v>345824.86344416905</v>
      </c>
      <c r="I54" s="293">
        <f>($L$17*1000*E54/X9)^2</f>
        <v>8155.0107452269658</v>
      </c>
      <c r="J54" s="293">
        <f>($P$9*1000*E54/X9)^2</f>
        <v>3.0637174168980784E-2</v>
      </c>
      <c r="K54" s="293">
        <f>H54*F54^2+I54*$Q$9^2+J54*$M$17^2</f>
        <v>5.058349587299996</v>
      </c>
      <c r="L54" s="293">
        <f t="shared" ref="L54:L55" si="6">SQRT(K54)</f>
        <v>2.2490774969529164</v>
      </c>
    </row>
    <row r="55" spans="1:12" x14ac:dyDescent="0.2">
      <c r="D55" s="294" t="s">
        <v>433</v>
      </c>
      <c r="E55" s="293">
        <f>Carbon_Balance!E33</f>
        <v>2.2727197036557104E-3</v>
      </c>
      <c r="F55" s="340">
        <f>H11</f>
        <v>2.2727197036557104E-3</v>
      </c>
      <c r="G55" s="293">
        <f>Carbon_Balance!F33</f>
        <v>1.3339501285514563</v>
      </c>
      <c r="H55" s="293">
        <f>($L$17*1000*$P$9/X10)^2</f>
        <v>345824.86344416905</v>
      </c>
      <c r="I55" s="293">
        <f>($L$17*1000*E55/X10)^2</f>
        <v>52.192068769452568</v>
      </c>
      <c r="J55" s="293">
        <f>($P$9*1000*E55/X10)^2</f>
        <v>1.9607791468147703E-4</v>
      </c>
      <c r="K55" s="293">
        <f>H55*F55^2+I55*$Q$9^2+J55*$M$17^2</f>
        <v>1.7929246518208979</v>
      </c>
      <c r="L55" s="293">
        <f t="shared" si="6"/>
        <v>1.3390013636366835</v>
      </c>
    </row>
    <row r="56" spans="1:12" x14ac:dyDescent="0.2">
      <c r="D56" s="294" t="s">
        <v>354</v>
      </c>
      <c r="E56" s="293"/>
      <c r="F56" s="340"/>
      <c r="G56" s="293"/>
      <c r="H56" s="293"/>
      <c r="I56" s="293"/>
      <c r="J56" s="293"/>
      <c r="K56" s="293"/>
      <c r="L56" s="293"/>
    </row>
    <row r="57" spans="1:12" x14ac:dyDescent="0.2">
      <c r="D57" s="294" t="s">
        <v>355</v>
      </c>
      <c r="E57" s="293"/>
      <c r="F57" s="340"/>
      <c r="G57" s="293"/>
      <c r="H57" s="293"/>
      <c r="I57" s="293"/>
      <c r="J57" s="293"/>
      <c r="K57" s="293"/>
      <c r="L57" s="293"/>
    </row>
    <row r="58" spans="1:12" x14ac:dyDescent="0.2">
      <c r="D58" s="294"/>
      <c r="E58" s="293"/>
      <c r="F58" s="340"/>
      <c r="G58" s="293"/>
      <c r="H58" s="293"/>
      <c r="I58" s="293"/>
      <c r="J58" s="293"/>
      <c r="K58" s="293"/>
      <c r="L58" s="293"/>
    </row>
    <row r="59" spans="1:12" x14ac:dyDescent="0.2">
      <c r="D59" s="294" t="s">
        <v>353</v>
      </c>
      <c r="E59" s="293">
        <f>Carbon_Balance!E37</f>
        <v>6.9999999999999993E-3</v>
      </c>
      <c r="F59" s="340">
        <f>H15</f>
        <v>0</v>
      </c>
      <c r="G59" s="293">
        <f>Carbon_Balance!F37</f>
        <v>5.7318955747953053</v>
      </c>
      <c r="H59" s="293">
        <f>($L$17*1000*$P$9/X13)^2</f>
        <v>673083.96024341183</v>
      </c>
      <c r="I59" s="293">
        <f>($L$17*1000*E59/X13)^2</f>
        <v>963.65563336529362</v>
      </c>
      <c r="J59" s="293">
        <f>($P$9*1000*E59/X13)^2</f>
        <v>3.6203122718890179E-3</v>
      </c>
      <c r="K59" s="293">
        <f>H59*F59^2+I59*$Q$9^2+J59*$M$17^2</f>
        <v>0.12280349076955847</v>
      </c>
      <c r="L59" s="293">
        <f>SQRT(K59)</f>
        <v>0.35043329004185442</v>
      </c>
    </row>
    <row r="60" spans="1:12" x14ac:dyDescent="0.2">
      <c r="D60" s="294" t="s">
        <v>251</v>
      </c>
      <c r="E60" s="293"/>
      <c r="F60" s="340"/>
      <c r="G60" s="293"/>
      <c r="H60" s="293"/>
      <c r="I60" s="293"/>
      <c r="J60" s="293"/>
      <c r="K60" s="293"/>
      <c r="L60" s="293"/>
    </row>
    <row r="61" spans="1:12" x14ac:dyDescent="0.2">
      <c r="D61" s="294"/>
      <c r="E61" s="293"/>
      <c r="F61" s="340"/>
      <c r="G61" s="293"/>
      <c r="H61" s="293"/>
      <c r="I61" s="293"/>
      <c r="J61" s="293"/>
      <c r="K61" s="293"/>
      <c r="L61" s="293"/>
    </row>
    <row r="62" spans="1:12" x14ac:dyDescent="0.2">
      <c r="D62" s="294" t="s">
        <v>256</v>
      </c>
      <c r="E62" s="293">
        <f>Carbon_Balance!E40</f>
        <v>0.316</v>
      </c>
      <c r="F62" s="340">
        <f>H14</f>
        <v>2E-3</v>
      </c>
      <c r="G62" s="293">
        <f>Carbon_Balance!F40</f>
        <v>266.15517009880978</v>
      </c>
      <c r="H62" s="293">
        <f>($L$17*1000*$P$9/X15)^2</f>
        <v>712138.44243770756</v>
      </c>
      <c r="I62" s="293">
        <f>($L$17*1000*E62/X15)^2</f>
        <v>2077758.8402647101</v>
      </c>
      <c r="J62" s="293">
        <f>($P$9*1000*E62/X15)^2</f>
        <v>7.8058339172130404</v>
      </c>
      <c r="K62" s="293">
        <f>H62*F62^2+I62*$Q$9^2+J62*$M$17^2</f>
        <v>267.62782732700265</v>
      </c>
      <c r="L62" s="293">
        <f>SQRT(K62)</f>
        <v>16.359334562475414</v>
      </c>
    </row>
    <row r="63" spans="1:12" x14ac:dyDescent="0.2">
      <c r="D63" s="294" t="s">
        <v>367</v>
      </c>
      <c r="E63" s="293"/>
      <c r="F63" s="340"/>
      <c r="G63" s="293"/>
      <c r="H63" s="293"/>
      <c r="I63" s="293"/>
      <c r="J63" s="293"/>
      <c r="K63" s="293"/>
      <c r="L63" s="293"/>
    </row>
    <row r="64" spans="1:12" x14ac:dyDescent="0.2">
      <c r="D64" s="294" t="s">
        <v>369</v>
      </c>
      <c r="E64" s="293"/>
      <c r="F64" s="340"/>
      <c r="G64" s="293"/>
      <c r="H64" s="293"/>
      <c r="I64" s="293"/>
      <c r="J64" s="293"/>
      <c r="K64" s="293"/>
      <c r="L64" s="293"/>
    </row>
    <row r="65" spans="1:15" x14ac:dyDescent="0.2">
      <c r="O65" s="302"/>
    </row>
    <row r="68" spans="1:15" x14ac:dyDescent="0.2">
      <c r="A68" s="519" t="s">
        <v>555</v>
      </c>
      <c r="B68" s="500"/>
      <c r="C68" s="500"/>
      <c r="D68" s="522" t="s">
        <v>560</v>
      </c>
      <c r="E68" s="523"/>
      <c r="F68" s="523"/>
      <c r="G68" s="523"/>
      <c r="H68" s="523"/>
      <c r="I68" s="523"/>
      <c r="J68" s="523"/>
      <c r="K68" s="523"/>
      <c r="L68" s="523"/>
      <c r="M68" s="523"/>
      <c r="N68" s="275"/>
    </row>
    <row r="69" spans="1:15" ht="26.25" customHeight="1" x14ac:dyDescent="0.2">
      <c r="A69" s="500"/>
      <c r="B69" s="500"/>
      <c r="C69" s="500"/>
      <c r="D69" s="505" t="s">
        <v>44</v>
      </c>
      <c r="E69" s="505" t="s">
        <v>592</v>
      </c>
      <c r="F69" s="505" t="s">
        <v>594</v>
      </c>
      <c r="G69" s="505" t="s">
        <v>595</v>
      </c>
      <c r="H69" s="502" t="s">
        <v>596</v>
      </c>
      <c r="I69" s="512"/>
      <c r="J69" s="512"/>
      <c r="K69" s="512"/>
      <c r="L69" s="512"/>
      <c r="M69" s="485"/>
    </row>
    <row r="70" spans="1:15" ht="26.25" customHeight="1" x14ac:dyDescent="0.2">
      <c r="A70" s="500"/>
      <c r="B70" s="500"/>
      <c r="C70" s="500"/>
      <c r="D70" s="506"/>
      <c r="E70" s="506"/>
      <c r="F70" s="506"/>
      <c r="G70" s="506"/>
      <c r="H70" s="502" t="s">
        <v>563</v>
      </c>
      <c r="I70" s="512"/>
      <c r="J70" s="512"/>
      <c r="K70" s="485"/>
      <c r="L70" s="342"/>
      <c r="M70" s="343"/>
    </row>
    <row r="71" spans="1:15" ht="26.25" customHeight="1" x14ac:dyDescent="0.2">
      <c r="A71" s="500"/>
      <c r="B71" s="500"/>
      <c r="C71" s="500"/>
      <c r="D71" s="507"/>
      <c r="E71" s="511"/>
      <c r="F71" s="511"/>
      <c r="G71" s="511"/>
      <c r="H71" s="324" t="s">
        <v>546</v>
      </c>
      <c r="I71" s="324" t="s">
        <v>46</v>
      </c>
      <c r="J71" s="324" t="s">
        <v>562</v>
      </c>
      <c r="K71" s="324" t="s">
        <v>577</v>
      </c>
      <c r="L71" s="324" t="s">
        <v>73</v>
      </c>
      <c r="M71" s="325" t="s">
        <v>583</v>
      </c>
    </row>
    <row r="72" spans="1:15" ht="15" x14ac:dyDescent="0.2">
      <c r="D72" s="294" t="s">
        <v>240</v>
      </c>
      <c r="E72" s="323">
        <f>Carbon_Balance!J28</f>
        <v>18.7</v>
      </c>
      <c r="F72" s="299">
        <f>'Concentration Uncertainties'!B10</f>
        <v>0.14843999999999999</v>
      </c>
      <c r="G72" s="323">
        <f>Carbon_Balance!K28</f>
        <v>45.231761142053251</v>
      </c>
      <c r="H72" s="323">
        <f>($L$17*E72/$L$12/X5)^2</f>
        <v>3092.0076516102386</v>
      </c>
      <c r="I72" s="323">
        <f>($L$17*(1-$P$9)/$L$12/X5)^2</f>
        <v>5.8731699001710371</v>
      </c>
      <c r="J72" s="323">
        <f>((1-$P$9)*E72/X5/$L$12)^2</f>
        <v>0.22544286166473471</v>
      </c>
      <c r="K72" s="323">
        <f>($L$17*(1-$P$9)*E72/$L$12^2/X5)^2</f>
        <v>1797.2163754195408</v>
      </c>
      <c r="L72" s="323">
        <f>H72*$Q$9^2+I72*F72^2+J72*$M$17^2+K72*$M$12^2</f>
        <v>2.0862054891226807</v>
      </c>
      <c r="M72" s="323">
        <f>SQRT(L72)</f>
        <v>1.4443702742450359</v>
      </c>
    </row>
    <row r="73" spans="1:15" ht="15" x14ac:dyDescent="0.2">
      <c r="D73" s="294" t="s">
        <v>496</v>
      </c>
      <c r="E73" s="323">
        <f>Carbon_Balance!J29</f>
        <v>2.8</v>
      </c>
      <c r="F73" s="299">
        <v>0</v>
      </c>
      <c r="G73" s="323">
        <f>Carbon_Balance!K29</f>
        <v>7.1291172756022636</v>
      </c>
      <c r="H73" s="323">
        <f>($L$17*E73/$L$12/X6)^2</f>
        <v>76.811294176611057</v>
      </c>
      <c r="I73" s="323">
        <f>($L$17*(1-$P$9)/$L$12/X6)^2</f>
        <v>6.5076507492932985</v>
      </c>
      <c r="J73" s="323">
        <f>((1-$P$9)*E73/X6/$L$12)^2</f>
        <v>5.6004253282908069E-3</v>
      </c>
      <c r="K73" s="323">
        <f>($L$17*(1-$P$9)*E73/$L$12^2/X6)^2</f>
        <v>44.646240005092459</v>
      </c>
      <c r="L73" s="323">
        <f>H73*$Q$9^2+I73*F73^2+J73*$M$17^2+K73*$M$12^2</f>
        <v>4.8610436780119198E-2</v>
      </c>
      <c r="M73" s="323">
        <f t="shared" ref="M73:M86" si="7">SQRT(L73)</f>
        <v>0.22047774667779785</v>
      </c>
    </row>
    <row r="74" spans="1:15" ht="15" x14ac:dyDescent="0.2">
      <c r="D74" s="294" t="s">
        <v>241</v>
      </c>
      <c r="E74" s="323"/>
      <c r="F74" s="299">
        <v>0</v>
      </c>
      <c r="G74" s="323"/>
      <c r="H74" s="323"/>
      <c r="I74" s="323"/>
      <c r="J74" s="323"/>
      <c r="K74" s="323"/>
      <c r="L74" s="323"/>
      <c r="M74" s="323"/>
    </row>
    <row r="75" spans="1:15" s="303" customFormat="1" ht="15" x14ac:dyDescent="0.2">
      <c r="D75" s="311" t="s">
        <v>366</v>
      </c>
      <c r="E75" s="322">
        <f>Carbon_Balance!J31</f>
        <v>6.6</v>
      </c>
      <c r="F75" s="309">
        <f>'Concentration Uncertainties'!D10</f>
        <v>5.9450000000000003E-2</v>
      </c>
      <c r="G75" s="322">
        <f>Carbon_Balance!K31</f>
        <v>15.964150991312909</v>
      </c>
      <c r="H75" s="322">
        <f>($L$17*E75/$L$12/X8)^2</f>
        <v>385.16358289954525</v>
      </c>
      <c r="I75" s="322">
        <f>($L$17*(1-$P$9)/$L$12/X8)^2</f>
        <v>5.8731699001710371</v>
      </c>
      <c r="J75" s="322">
        <f>((1-$P$9)*E75/X8/$L$12)^2</f>
        <v>2.8082847819828533E-2</v>
      </c>
      <c r="K75" s="322">
        <f>($L$17*(1-$P$9)*E75/$L$12^2/X8)^2</f>
        <v>223.87470420451038</v>
      </c>
      <c r="L75" s="322">
        <f>H75*$Q$9^2+I75*F75^2+J75*$M$17^2+K75*$M$12^2</f>
        <v>0.26451038470016613</v>
      </c>
      <c r="M75" s="322">
        <f t="shared" si="7"/>
        <v>0.5143057307673774</v>
      </c>
    </row>
    <row r="76" spans="1:15" s="303" customFormat="1" ht="15" x14ac:dyDescent="0.2">
      <c r="D76" s="305" t="s">
        <v>431</v>
      </c>
      <c r="E76" s="322">
        <f>Carbon_Balance!J32</f>
        <v>63.5</v>
      </c>
      <c r="F76" s="309">
        <f>'Concentration Uncertainties'!C10</f>
        <v>0.40349000000000002</v>
      </c>
      <c r="G76" s="322">
        <f>Carbon_Balance!K32</f>
        <v>153.59448302248026</v>
      </c>
      <c r="H76" s="322">
        <f>($L$17*E76/$L$12/X9)^2</f>
        <v>35653.715728803742</v>
      </c>
      <c r="I76" s="322">
        <f>($L$17*(1-$P$9)/$L$12/X9)^2</f>
        <v>5.8731699001710371</v>
      </c>
      <c r="J76" s="322">
        <f>((1-$P$9)*E76/X9/$L$12)^2</f>
        <v>2.5995652690886963</v>
      </c>
      <c r="K76" s="322">
        <f>($L$17*(1-$P$9)*E76/$L$12^2/X9)^2</f>
        <v>20723.5715341744</v>
      </c>
      <c r="L76" s="322">
        <f>H76*$Q$9^2+I76*F76^2+J76*$M$17^2+K76*$M$12^2</f>
        <v>23.519820576740155</v>
      </c>
      <c r="M76" s="322">
        <f t="shared" si="7"/>
        <v>4.8497237629312613</v>
      </c>
    </row>
    <row r="77" spans="1:15" s="303" customFormat="1" ht="15" x14ac:dyDescent="0.2">
      <c r="D77" s="311" t="s">
        <v>433</v>
      </c>
      <c r="E77" s="322">
        <f>Carbon_Balance!J33</f>
        <v>10.4</v>
      </c>
      <c r="F77" s="309">
        <f>'Concentration Uncertainties'!E10</f>
        <v>0.1163</v>
      </c>
      <c r="G77" s="322">
        <f>Carbon_Balance!K33</f>
        <v>25.155631865099132</v>
      </c>
      <c r="H77" s="322">
        <f>($L$17*E77/$L$12/X10)^2</f>
        <v>956.36577425194685</v>
      </c>
      <c r="I77" s="322">
        <f>($L$17*(1-$P$9)/$L$12/X10)^2</f>
        <v>5.8731699001710371</v>
      </c>
      <c r="J77" s="322">
        <f>((1-$P$9)*E77/X10/$L$12)^2</f>
        <v>6.9730046377241825E-2</v>
      </c>
      <c r="K77" s="322">
        <f>($L$17*(1-$P$9)*E77/$L$12^2/X10)^2</f>
        <v>555.88356305692923</v>
      </c>
      <c r="L77" s="322">
        <f>H77*$Q$9^2+I77*F77^2+J77*$M$17^2+K77*$M$12^2</f>
        <v>0.68467985126219311</v>
      </c>
      <c r="M77" s="322">
        <f t="shared" si="7"/>
        <v>0.8274538363329963</v>
      </c>
    </row>
    <row r="78" spans="1:15" ht="15" x14ac:dyDescent="0.2">
      <c r="D78" s="294" t="s">
        <v>354</v>
      </c>
      <c r="E78" s="323"/>
      <c r="F78" s="299"/>
      <c r="G78" s="323"/>
      <c r="H78" s="323"/>
      <c r="I78" s="323"/>
      <c r="J78" s="323"/>
      <c r="K78" s="323"/>
      <c r="L78" s="323"/>
      <c r="M78" s="323"/>
    </row>
    <row r="79" spans="1:15" ht="15" x14ac:dyDescent="0.2">
      <c r="D79" s="294" t="s">
        <v>355</v>
      </c>
      <c r="E79" s="323"/>
      <c r="F79" s="299"/>
      <c r="G79" s="323"/>
      <c r="H79" s="323"/>
      <c r="I79" s="323"/>
      <c r="J79" s="323"/>
      <c r="K79" s="323"/>
      <c r="L79" s="323"/>
      <c r="M79" s="323"/>
    </row>
    <row r="80" spans="1:15" ht="15" x14ac:dyDescent="0.2">
      <c r="D80" s="294"/>
      <c r="E80" s="323"/>
      <c r="F80" s="299"/>
      <c r="G80" s="323"/>
      <c r="H80" s="323"/>
      <c r="I80" s="323"/>
      <c r="J80" s="323"/>
      <c r="K80" s="323"/>
      <c r="L80" s="323"/>
      <c r="M80" s="323"/>
    </row>
    <row r="81" spans="1:23" ht="15" x14ac:dyDescent="0.2">
      <c r="D81" s="294" t="s">
        <v>353</v>
      </c>
      <c r="E81" s="323"/>
      <c r="F81" s="299"/>
      <c r="G81" s="323"/>
      <c r="H81" s="323"/>
      <c r="I81" s="323"/>
      <c r="J81" s="323"/>
      <c r="K81" s="323"/>
      <c r="L81" s="323"/>
      <c r="M81" s="323"/>
    </row>
    <row r="82" spans="1:23" ht="15" x14ac:dyDescent="0.2">
      <c r="D82" s="294" t="s">
        <v>251</v>
      </c>
      <c r="E82" s="323">
        <f>Carbon_Balance!I38</f>
        <v>9.9</v>
      </c>
      <c r="F82" s="299">
        <f>'Concentration Uncertainties'!G10</f>
        <v>0.61436784855112103</v>
      </c>
      <c r="G82" s="323">
        <f>Carbon_Balance!K38</f>
        <v>23.946226486969369</v>
      </c>
      <c r="H82" s="323">
        <f>($L$17*E82/$L$12/X14)^2</f>
        <v>866.61806152397673</v>
      </c>
      <c r="I82" s="323">
        <f>($L$17*(1-$P$9)/$L$12/X14)^2</f>
        <v>5.8731699001710371</v>
      </c>
      <c r="J82" s="323">
        <f>((1-$P$9)*E82/X14/$L$12)^2</f>
        <v>6.3186407594614219E-2</v>
      </c>
      <c r="K82" s="323">
        <f>($L$17*(1-$P$9)*E82/$L$12^2/X14)^2</f>
        <v>503.71808446014825</v>
      </c>
      <c r="L82" s="323">
        <f>H82*$Q$9^2+I82*F82^2+J82*$M$17^2+K82*$M$12^2</f>
        <v>2.7652592287694051</v>
      </c>
      <c r="M82" s="323">
        <f t="shared" si="7"/>
        <v>1.6629068611228366</v>
      </c>
    </row>
    <row r="83" spans="1:23" ht="15" x14ac:dyDescent="0.2">
      <c r="D83" s="294"/>
      <c r="E83" s="323"/>
      <c r="F83" s="299"/>
      <c r="G83" s="323"/>
      <c r="H83" s="323"/>
      <c r="I83" s="323"/>
      <c r="J83" s="323"/>
      <c r="K83" s="323"/>
      <c r="L83" s="323"/>
      <c r="M83" s="323"/>
    </row>
    <row r="84" spans="1:23" ht="15" x14ac:dyDescent="0.2">
      <c r="D84" s="294" t="s">
        <v>256</v>
      </c>
      <c r="E84" s="323">
        <f>Carbon_Balance!J40</f>
        <v>5.9</v>
      </c>
      <c r="F84" s="299"/>
      <c r="G84" s="323">
        <f>Carbon_Balance!K40</f>
        <v>20.478965339890472</v>
      </c>
      <c r="H84" s="323">
        <f>($L$17*E84/$L$12/X15)^2</f>
        <v>633.82532299794241</v>
      </c>
      <c r="I84" s="323">
        <f>($L$17*(1-$P$9)/$L$12/X15)^2</f>
        <v>12.094301211384888</v>
      </c>
      <c r="J84" s="323">
        <f>((1-$P$9)*E84/X15/$L$12)^2</f>
        <v>4.6213143922142833E-2</v>
      </c>
      <c r="K84" s="323">
        <f>($L$17*(1-$P$9)*E84/$L$12^2/X15)^2</f>
        <v>368.40828936961276</v>
      </c>
      <c r="L84" s="323">
        <f>H84*$Q$9^2+I84*F84^2+J84*$M$17^2+K84*$M$12^2</f>
        <v>0.40111973276205881</v>
      </c>
      <c r="M84" s="323">
        <f t="shared" si="7"/>
        <v>0.63334013986329563</v>
      </c>
    </row>
    <row r="85" spans="1:23" ht="15" x14ac:dyDescent="0.2">
      <c r="D85" s="294" t="s">
        <v>367</v>
      </c>
      <c r="E85" s="323">
        <f>Carbon_Balance!J41</f>
        <v>0.9</v>
      </c>
      <c r="F85" s="299">
        <f>'Concentration Uncertainties'!I10</f>
        <v>2.7857554331515488E-2</v>
      </c>
      <c r="G85" s="323">
        <f>Carbon_Balance!K41</f>
        <v>3.4014058977796977</v>
      </c>
      <c r="H85" s="323">
        <f>($L$17*E85/$L$12/X16)^2</f>
        <v>17.485195211043724</v>
      </c>
      <c r="I85" s="323">
        <f>($L$17*(1-$P$9)/$L$12/X16)^2</f>
        <v>14.338399739574713</v>
      </c>
      <c r="J85" s="323">
        <f>((1-$P$9)*E85/X16/$L$12)^2</f>
        <v>1.2748715039858861E-3</v>
      </c>
      <c r="K85" s="323">
        <f>($L$17*(1-$P$9)*E85/$L$12^2/X16)^2</f>
        <v>10.16319579426977</v>
      </c>
      <c r="L85" s="323">
        <f>H85*$Q$9^2+I85*F85^2+J85*$M$17^2+K85*$M$12^2</f>
        <v>2.2192818481242577E-2</v>
      </c>
      <c r="M85" s="323">
        <f t="shared" si="7"/>
        <v>0.14897254270919383</v>
      </c>
    </row>
    <row r="86" spans="1:23" ht="15" x14ac:dyDescent="0.2">
      <c r="D86" s="294" t="s">
        <v>369</v>
      </c>
      <c r="E86" s="323">
        <f>Carbon_Balance!J42</f>
        <v>2</v>
      </c>
      <c r="F86" s="299">
        <f>'Concentration Uncertainties'!H10</f>
        <v>3.2064253722144359E-2</v>
      </c>
      <c r="G86" s="323">
        <f>Carbon_Balance!K42</f>
        <v>6.9108155396624165</v>
      </c>
      <c r="H86" s="323">
        <f>($L$17*E86/$L$12/X17)^2</f>
        <v>72.179217036310632</v>
      </c>
      <c r="I86" s="323">
        <f>($L$17*(1-$P$9)/$L$12/X17)^2</f>
        <v>11.985810108985859</v>
      </c>
      <c r="J86" s="323">
        <f>((1-$P$9)*E86/X17/$L$12)^2</f>
        <v>5.262693717110193E-3</v>
      </c>
      <c r="K86" s="323">
        <f>($L$17*(1-$P$9)*E86/$L$12^2/X17)^2</f>
        <v>41.95386475032263</v>
      </c>
      <c r="L86" s="323">
        <f>H86*$Q$9^2+I86*F86^2+J86*$M$17^2+K86*$M$12^2</f>
        <v>5.8001809623479991E-2</v>
      </c>
      <c r="M86" s="323">
        <f t="shared" si="7"/>
        <v>0.24083564857279743</v>
      </c>
    </row>
    <row r="92" spans="1:23" x14ac:dyDescent="0.2">
      <c r="A92" s="519" t="s">
        <v>579</v>
      </c>
      <c r="B92" s="500"/>
      <c r="C92" s="520"/>
      <c r="D92" s="502" t="s">
        <v>603</v>
      </c>
      <c r="E92" s="512"/>
      <c r="F92" s="512"/>
      <c r="G92" s="512"/>
      <c r="H92" s="512"/>
      <c r="I92" s="512"/>
      <c r="J92" s="512"/>
      <c r="K92" s="512"/>
      <c r="L92" s="512"/>
      <c r="M92" s="512"/>
      <c r="N92" s="512"/>
      <c r="O92" s="512"/>
      <c r="P92" s="512"/>
      <c r="Q92" s="512"/>
      <c r="R92" s="512"/>
      <c r="S92" s="512"/>
      <c r="T92" s="485"/>
      <c r="U92" s="269"/>
    </row>
    <row r="93" spans="1:23" ht="12.75" customHeight="1" x14ac:dyDescent="0.2">
      <c r="A93" s="500"/>
      <c r="B93" s="500"/>
      <c r="C93" s="520"/>
      <c r="D93" s="505" t="s">
        <v>44</v>
      </c>
      <c r="E93" s="508" t="s">
        <v>600</v>
      </c>
      <c r="F93" s="533"/>
      <c r="G93" s="527"/>
      <c r="H93" s="508" t="s">
        <v>601</v>
      </c>
      <c r="I93" s="533"/>
      <c r="J93" s="527"/>
      <c r="K93" s="502" t="s">
        <v>62</v>
      </c>
      <c r="L93" s="533"/>
      <c r="M93" s="533"/>
      <c r="N93" s="533"/>
      <c r="O93" s="533"/>
      <c r="P93" s="533"/>
      <c r="Q93" s="527"/>
      <c r="R93" s="505" t="s">
        <v>73</v>
      </c>
      <c r="S93" s="505" t="s">
        <v>604</v>
      </c>
      <c r="T93" s="505" t="s">
        <v>605</v>
      </c>
      <c r="U93" s="350"/>
      <c r="W93" s="351"/>
    </row>
    <row r="94" spans="1:23" ht="16.5" customHeight="1" x14ac:dyDescent="0.2">
      <c r="A94" s="500"/>
      <c r="B94" s="500"/>
      <c r="C94" s="520"/>
      <c r="D94" s="532"/>
      <c r="E94" s="524" t="s">
        <v>564</v>
      </c>
      <c r="F94" s="505" t="s">
        <v>599</v>
      </c>
      <c r="G94" s="524" t="s">
        <v>48</v>
      </c>
      <c r="H94" s="524" t="s">
        <v>46</v>
      </c>
      <c r="I94" s="524" t="s">
        <v>165</v>
      </c>
      <c r="J94" s="524" t="s">
        <v>597</v>
      </c>
      <c r="K94" s="528" t="s">
        <v>546</v>
      </c>
      <c r="L94" s="524" t="s">
        <v>46</v>
      </c>
      <c r="M94" s="524" t="s">
        <v>562</v>
      </c>
      <c r="N94" s="524" t="s">
        <v>577</v>
      </c>
      <c r="O94" s="524" t="s">
        <v>565</v>
      </c>
      <c r="P94" s="524" t="s">
        <v>142</v>
      </c>
      <c r="Q94" s="524" t="s">
        <v>564</v>
      </c>
      <c r="R94" s="555"/>
      <c r="S94" s="555"/>
      <c r="T94" s="555"/>
      <c r="W94" s="350"/>
    </row>
    <row r="95" spans="1:23" ht="16.5" customHeight="1" x14ac:dyDescent="0.2">
      <c r="A95" s="500"/>
      <c r="B95" s="500"/>
      <c r="C95" s="520"/>
      <c r="D95" s="525"/>
      <c r="E95" s="525"/>
      <c r="F95" s="511"/>
      <c r="G95" s="525"/>
      <c r="H95" s="525"/>
      <c r="I95" s="525"/>
      <c r="J95" s="525"/>
      <c r="K95" s="525"/>
      <c r="L95" s="525"/>
      <c r="M95" s="525"/>
      <c r="N95" s="525"/>
      <c r="O95" s="525"/>
      <c r="P95" s="525"/>
      <c r="Q95" s="525"/>
      <c r="R95" s="511"/>
      <c r="S95" s="511"/>
      <c r="T95" s="511"/>
      <c r="W95" s="330"/>
    </row>
    <row r="96" spans="1:23" ht="15" x14ac:dyDescent="0.2">
      <c r="A96" s="500"/>
      <c r="B96" s="500"/>
      <c r="C96" s="520"/>
      <c r="D96" s="294" t="s">
        <v>240</v>
      </c>
      <c r="E96" s="323">
        <f>Carbon_Balance!B28</f>
        <v>0.37555453642772113</v>
      </c>
      <c r="F96" s="340">
        <f>C8</f>
        <v>5.5555404797000179E-3</v>
      </c>
      <c r="G96" s="323">
        <f>Carbon_Balance!C28</f>
        <v>404.80670419012841</v>
      </c>
      <c r="H96" s="323">
        <f>Carbon_Balance!J28</f>
        <v>18.7</v>
      </c>
      <c r="I96" s="301">
        <f>'Concentration Uncertainties'!B10</f>
        <v>0.14843999999999999</v>
      </c>
      <c r="J96" s="323">
        <f>Carbon_Balance!K28</f>
        <v>45.231761142053251</v>
      </c>
      <c r="K96" s="323">
        <f>($L$17*H96/$L$6/$P$8/E96/$L$12/1000)^2</f>
        <v>1.8868838489355944E-2</v>
      </c>
      <c r="L96" s="323">
        <f>($L$17*(1-$P$9)/($L$6*$L$12*$P$8*E96*1000))^2</f>
        <v>3.5840756800573221E-5</v>
      </c>
      <c r="M96" s="323">
        <f>((1-$P$9)*H96/($L$6*$L$12*1000*$P$8*E96))^2</f>
        <v>1.3757549866071003E-6</v>
      </c>
      <c r="N96" s="323">
        <f>($L$17*(1-$P$9)*H96/($L$6*($L$12*1000)^2*$P$8*E96))^2</f>
        <v>1.096743260016088E-8</v>
      </c>
      <c r="O96" s="323">
        <f>($L$17*(1-$P$9)*H96/($L$6^2*$L$12*1000*$P$8*E96))^2</f>
        <v>1.012698436302086E-5</v>
      </c>
      <c r="P96" s="323">
        <f>($L$17*(1-$P$9)*H96/($L$6*$L$12*1000*$P$8^2*E96))^2</f>
        <v>1.4807601896966506E-2</v>
      </c>
      <c r="Q96" s="323">
        <f>($L$17*(1-$P$9)*H96/($L$6*$L$12*1000*$P$8*E96^2))^2</f>
        <v>8.8861647319750853E-2</v>
      </c>
      <c r="R96" s="323">
        <f>K96*$Q$9^2+L96*I96^2+M96*$M$17^2+N96*$M$12^2+O96*$M$6^2+P96*$Q$8^2+Q96*F96^2</f>
        <v>3.0048893896763567E-5</v>
      </c>
      <c r="S96" s="323">
        <f>SQRT(R96)</f>
        <v>5.4816871396280512E-3</v>
      </c>
      <c r="T96" s="323">
        <f>J96/G96</f>
        <v>0.11173668981729347</v>
      </c>
    </row>
    <row r="97" spans="4:20" ht="15" x14ac:dyDescent="0.2">
      <c r="D97" s="294" t="s">
        <v>496</v>
      </c>
      <c r="E97" s="323">
        <f>Carbon_Balance!B29</f>
        <v>0</v>
      </c>
      <c r="F97" s="340"/>
      <c r="G97" s="323">
        <f>Carbon_Balance!C29</f>
        <v>0</v>
      </c>
      <c r="H97" s="323">
        <f>Carbon_Balance!J29</f>
        <v>2.8</v>
      </c>
      <c r="I97" s="301">
        <f>F73</f>
        <v>0</v>
      </c>
      <c r="J97" s="323">
        <f>Carbon_Balance!K29</f>
        <v>7.1291172756022636</v>
      </c>
      <c r="K97" s="323"/>
      <c r="L97" s="323"/>
      <c r="M97" s="323"/>
      <c r="N97" s="323"/>
      <c r="O97" s="323"/>
      <c r="P97" s="323"/>
      <c r="Q97" s="323"/>
      <c r="R97" s="323"/>
      <c r="S97" s="323"/>
      <c r="T97" s="323"/>
    </row>
    <row r="98" spans="4:20" ht="15" x14ac:dyDescent="0.2">
      <c r="D98" s="294" t="s">
        <v>241</v>
      </c>
      <c r="E98" s="323">
        <f>Carbon_Balance!B30</f>
        <v>0</v>
      </c>
      <c r="F98" s="340">
        <f>C12</f>
        <v>0</v>
      </c>
      <c r="G98" s="323">
        <f>Carbon_Balance!C30</f>
        <v>0</v>
      </c>
      <c r="H98" s="323">
        <f>Carbon_Balance!J30</f>
        <v>0</v>
      </c>
      <c r="I98" s="301">
        <f>F74</f>
        <v>0</v>
      </c>
      <c r="J98" s="323">
        <f>Carbon_Balance!K30</f>
        <v>0</v>
      </c>
      <c r="K98" s="323"/>
      <c r="L98" s="323"/>
      <c r="M98" s="323"/>
      <c r="N98" s="323"/>
      <c r="O98" s="323"/>
      <c r="P98" s="323"/>
      <c r="Q98" s="323"/>
      <c r="R98" s="323"/>
      <c r="S98" s="323"/>
      <c r="T98" s="323"/>
    </row>
    <row r="99" spans="4:20" s="312" customFormat="1" ht="15" x14ac:dyDescent="0.2">
      <c r="D99" s="311" t="s">
        <v>366</v>
      </c>
      <c r="E99" s="322">
        <f>Carbon_Balance!B31</f>
        <v>1.6666621439100054E-2</v>
      </c>
      <c r="F99" s="341">
        <f>C10</f>
        <v>1.1111080959400035E-3</v>
      </c>
      <c r="G99" s="322">
        <f>Carbon_Balance!C31</f>
        <v>17.964794564650674</v>
      </c>
      <c r="H99" s="322">
        <f>Carbon_Balance!J31</f>
        <v>6.6</v>
      </c>
      <c r="I99" s="307">
        <f>'Concentration Uncertainties'!D10</f>
        <v>5.9450000000000003E-2</v>
      </c>
      <c r="J99" s="322">
        <f>Carbon_Balance!K31</f>
        <v>15.964150991312909</v>
      </c>
      <c r="K99" s="322">
        <f>($L$17*H99/$L$6/$P$8/E99/$L$12/1000)^2</f>
        <v>1.1934403235310611</v>
      </c>
      <c r="L99" s="322">
        <f>($L$17*(1-$P$9)/($L$6*$L$12*$P$8*E99*1000))^2</f>
        <v>1.8198184088554163E-2</v>
      </c>
      <c r="M99" s="322">
        <f>((1-$P$9)*H99/($L$6*$L$12*1000*$P$8*E99))^2</f>
        <v>8.701550321934474E-5</v>
      </c>
      <c r="N99" s="322">
        <f>($L$17*(1-$P$9)*H99/($L$6*($L$12*1000)^2*$P$8*E99))^2</f>
        <v>6.9368214254548354E-7</v>
      </c>
      <c r="O99" s="322">
        <f>($L$17*(1-$P$9)*H99/($L$6^2*$L$12*1000*$P$8*E99))^2</f>
        <v>6.4052440225270853E-4</v>
      </c>
      <c r="P99" s="322">
        <f>($L$17*(1-$P$9)*H99/($L$6*$L$12*1000*$P$8^2*E99))^2</f>
        <v>0.93657006013400179</v>
      </c>
      <c r="Q99" s="322">
        <f>($L$17*(1-$P$9)*H99/($L$6*$L$12*1000*$P$8*E99^2))^2</f>
        <v>2853.7819243631443</v>
      </c>
      <c r="R99" s="322">
        <f>K99*$Q$9^2+L99*I99^2+M99*$M$17^2+N99*$M$12^2+O99*$M$6^2+P99*$Q$8^2+Q99*F99^2</f>
        <v>5.2646378705602393E-3</v>
      </c>
      <c r="S99" s="322">
        <f>SQRT(R99)</f>
        <v>7.2557824323502426E-2</v>
      </c>
      <c r="T99" s="322">
        <f>J99/G99</f>
        <v>0.88863532137047474</v>
      </c>
    </row>
    <row r="100" spans="4:20" s="303" customFormat="1" ht="15" x14ac:dyDescent="0.2">
      <c r="D100" s="305" t="s">
        <v>431</v>
      </c>
      <c r="E100" s="322">
        <f>Carbon_Balance!B32</f>
        <v>0.21931745140277606</v>
      </c>
      <c r="F100" s="341">
        <f>C9</f>
        <v>3.4090795554835652E-3</v>
      </c>
      <c r="G100" s="322">
        <f>Carbon_Balance!C32</f>
        <v>236.400219042017</v>
      </c>
      <c r="H100" s="322">
        <f>Carbon_Balance!J32</f>
        <v>63.5</v>
      </c>
      <c r="I100" s="307">
        <f>'Concentration Uncertainties'!C10</f>
        <v>0.40349000000000002</v>
      </c>
      <c r="J100" s="322">
        <f>Carbon_Balance!K32</f>
        <v>153.59448302248026</v>
      </c>
      <c r="K100" s="322">
        <f>($L$17*H100/$L$6/$P$8/E100/$L$12/1000)^2</f>
        <v>0.63798291449625588</v>
      </c>
      <c r="L100" s="322">
        <f>($L$17*(1-$P$9)/($L$6*$L$12*$P$8*E100*1000))^2</f>
        <v>1.0509373213002059E-4</v>
      </c>
      <c r="M100" s="322">
        <f>((1-$P$9)*H100/($L$6*$L$12*1000*$P$8*E100))^2</f>
        <v>4.6516280081758973E-5</v>
      </c>
      <c r="N100" s="322">
        <f>($L$17*(1-$P$9)*H100/($L$6*($L$12*1000)^2*$P$8*E100))^2</f>
        <v>3.7082487185096061E-7</v>
      </c>
      <c r="O100" s="322">
        <f>($L$17*(1-$P$9)*H100/($L$6^2*$L$12*1000*$P$8*E100))^2</f>
        <v>3.4240809271978605E-4</v>
      </c>
      <c r="P100" s="322">
        <f>($L$17*(1-$P$9)*H100/($L$6*$L$12*1000*$P$8^2*E100))^2</f>
        <v>0.50066658953364318</v>
      </c>
      <c r="Q100" s="322">
        <f>($L$17*(1-$P$9)*H100/($L$6*$L$12*1000*$P$8*E100^2))^2</f>
        <v>8.8100400918974024</v>
      </c>
      <c r="R100" s="322">
        <f>K100*$Q$9^2+L100*I100^2+M100*$M$17^2+N100*$M$12^2+O100*$M$6^2+P100*$Q$8^2+Q100*F100^2</f>
        <v>1.01606108808285E-3</v>
      </c>
      <c r="S100" s="322">
        <f>SQRT(R100)</f>
        <v>3.1875713138420136E-2</v>
      </c>
      <c r="T100" s="322">
        <f>J100/G100</f>
        <v>0.64972225340950673</v>
      </c>
    </row>
    <row r="101" spans="4:20" s="303" customFormat="1" ht="15" x14ac:dyDescent="0.2">
      <c r="D101" s="311" t="s">
        <v>433</v>
      </c>
      <c r="E101" s="322">
        <f>Carbon_Balance!B33</f>
        <v>2.9545356147524231E-2</v>
      </c>
      <c r="F101" s="341">
        <f>C11</f>
        <v>2.2727197036557104E-3</v>
      </c>
      <c r="G101" s="322">
        <f>Carbon_Balance!C33</f>
        <v>31.846661632603318</v>
      </c>
      <c r="H101" s="322">
        <f>Carbon_Balance!J33</f>
        <v>10.4</v>
      </c>
      <c r="I101" s="307">
        <f>'Concentration Uncertainties'!E10</f>
        <v>0.1163</v>
      </c>
      <c r="J101" s="322">
        <f>Carbon_Balance!K33</f>
        <v>25.155631865099132</v>
      </c>
      <c r="K101" s="322">
        <f>($L$17*H101/$L$6/$P$8/E101/$L$12/1000)^2</f>
        <v>0.94296635702929321</v>
      </c>
      <c r="L101" s="322">
        <f>($L$17*(1-$P$9)/($L$6*$L$12*$P$8*E101*1000))^2</f>
        <v>5.790882290105233E-3</v>
      </c>
      <c r="M101" s="322">
        <f>((1-$P$9)*H101/($L$6*$L$12*1000*$P$8*E101))^2</f>
        <v>6.8753075003402669E-5</v>
      </c>
      <c r="N101" s="322">
        <f>($L$17*(1-$P$9)*H101/($L$6*($L$12*1000)^2*$P$8*E101))^2</f>
        <v>5.4809520844496999E-7</v>
      </c>
      <c r="O101" s="322">
        <f>($L$17*(1-$P$9)*H101/($L$6^2*$L$12*1000*$P$8*E101))^2</f>
        <v>5.0609397912210077E-4</v>
      </c>
      <c r="P101" s="322">
        <f>($L$17*(1-$P$9)*H101/($L$6*$L$12*1000*$P$8^2*E101))^2</f>
        <v>0.74000688622138733</v>
      </c>
      <c r="Q101" s="322">
        <f>($L$17*(1-$P$9)*H101/($L$6*$L$12*1000*$P$8*E101^2))^2</f>
        <v>717.51825849864122</v>
      </c>
      <c r="R101" s="322">
        <f>K101*$Q$9^2+L101*I101^2+M101*$M$17^2+N101*$M$12^2+O101*$M$6^2+P101*$Q$8^2+Q101*F101^2</f>
        <v>5.1096487540118404E-3</v>
      </c>
      <c r="S101" s="322">
        <f>SQRT(R101)</f>
        <v>7.1481807154071306E-2</v>
      </c>
      <c r="T101" s="322">
        <f>J101/G101</f>
        <v>0.78989855060179426</v>
      </c>
    </row>
    <row r="102" spans="4:20" ht="15" x14ac:dyDescent="0.2">
      <c r="D102" s="294" t="s">
        <v>354</v>
      </c>
      <c r="E102" s="323">
        <f>Carbon_Balance!B34</f>
        <v>0.02</v>
      </c>
      <c r="F102" s="340">
        <f>C19</f>
        <v>0</v>
      </c>
      <c r="G102" s="323">
        <f>Carbon_Balance!C34</f>
        <v>22.692404491839877</v>
      </c>
      <c r="H102" s="323">
        <f>Carbon_Balance!J34</f>
        <v>0</v>
      </c>
      <c r="I102" s="301">
        <f>F78</f>
        <v>0</v>
      </c>
      <c r="J102" s="323">
        <f>Carbon_Balance!K34</f>
        <v>0</v>
      </c>
      <c r="K102" s="323">
        <f>($L$17*H102/$L$6/$P$8/E102/$L$12/1000)^2</f>
        <v>0</v>
      </c>
      <c r="L102" s="323">
        <f>($L$17*(1-$P$9)/($L$6*$L$12*$P$8*E102*1000))^2</f>
        <v>1.2637559251068195E-2</v>
      </c>
      <c r="M102" s="323">
        <f>((1-$P$9)*H102/($L$6*$L$12*1000*$P$8*E102))^2</f>
        <v>0</v>
      </c>
      <c r="N102" s="323">
        <f>($L$17*(1-$P$9)*H102/($L$6*($L$12*1000)^2*$P$8*E102))^2</f>
        <v>0</v>
      </c>
      <c r="O102" s="323">
        <f>($L$17*(1-$P$9)*H102/($L$6^2*$L$12*1000*$P$8*E102))^2</f>
        <v>0</v>
      </c>
      <c r="P102" s="323">
        <f>($L$17*(1-$P$9)*H102/($L$6*$L$12*1000*$P$8^2*E102))^2</f>
        <v>0</v>
      </c>
      <c r="Q102" s="323">
        <f>($L$17*(1-$P$9)*H102/($L$6*$L$12*1000*$P$8*E102^2))^2</f>
        <v>0</v>
      </c>
      <c r="R102" s="323"/>
      <c r="S102" s="323">
        <f t="shared" ref="S102:S105" si="8">SQRT(R102)</f>
        <v>0</v>
      </c>
      <c r="T102" s="323">
        <f>J102/G102</f>
        <v>0</v>
      </c>
    </row>
    <row r="103" spans="4:20" ht="15" x14ac:dyDescent="0.2">
      <c r="D103" s="294" t="s">
        <v>355</v>
      </c>
      <c r="E103" s="323">
        <f>Carbon_Balance!B35</f>
        <v>0</v>
      </c>
      <c r="F103" s="340"/>
      <c r="G103" s="323">
        <f>Carbon_Balance!C35</f>
        <v>0</v>
      </c>
      <c r="H103" s="323">
        <f>Carbon_Balance!J35</f>
        <v>0</v>
      </c>
      <c r="I103" s="301">
        <f>F79</f>
        <v>0</v>
      </c>
      <c r="J103" s="323">
        <f>Carbon_Balance!K35</f>
        <v>0</v>
      </c>
      <c r="K103" s="323"/>
      <c r="L103" s="323"/>
      <c r="M103" s="323"/>
      <c r="N103" s="323"/>
      <c r="O103" s="323"/>
      <c r="P103" s="323"/>
      <c r="Q103" s="323"/>
      <c r="R103" s="323"/>
      <c r="S103" s="323"/>
      <c r="T103" s="323"/>
    </row>
    <row r="104" spans="4:20" ht="15" x14ac:dyDescent="0.2">
      <c r="D104" s="294"/>
      <c r="E104" s="323"/>
      <c r="F104" s="340"/>
      <c r="G104" s="323"/>
      <c r="H104" s="323"/>
      <c r="I104" s="301">
        <f>F80</f>
        <v>0</v>
      </c>
      <c r="J104" s="323"/>
      <c r="K104" s="323"/>
      <c r="L104" s="323"/>
      <c r="M104" s="323"/>
      <c r="N104" s="323"/>
      <c r="O104" s="323"/>
      <c r="P104" s="323"/>
      <c r="Q104" s="323"/>
      <c r="R104" s="323"/>
      <c r="S104" s="323"/>
      <c r="T104" s="323"/>
    </row>
    <row r="105" spans="4:20" ht="15" x14ac:dyDescent="0.2">
      <c r="D105" s="294" t="s">
        <v>353</v>
      </c>
      <c r="E105" s="323">
        <f>Carbon_Balance!B37</f>
        <v>2.1000000000000001E-2</v>
      </c>
      <c r="F105" s="340">
        <f>C16</f>
        <v>0</v>
      </c>
      <c r="G105" s="323">
        <f>Carbon_Balance!C37</f>
        <v>31.579154095711477</v>
      </c>
      <c r="H105" s="323">
        <f>Carbon_Balance!J37</f>
        <v>0</v>
      </c>
      <c r="I105" s="301">
        <f>F81</f>
        <v>0</v>
      </c>
      <c r="J105" s="323">
        <f>Carbon_Balance!K37</f>
        <v>0</v>
      </c>
      <c r="K105" s="323">
        <f>($L$17*H105/$L$6/$P$8/E105/$L$12/1000)^2</f>
        <v>0</v>
      </c>
      <c r="L105" s="323">
        <f>($L$17*(1-$P$9)/($L$6*$L$12*$P$8*E105*1000))^2</f>
        <v>1.1462638776479085E-2</v>
      </c>
      <c r="M105" s="323">
        <f>((1-$P$9)*H105/($L$6*$L$12*1000*$P$8*E105))^2</f>
        <v>0</v>
      </c>
      <c r="N105" s="323">
        <f>($L$17*(1-$P$9)*H105/($L$6*($L$12*1000)^2*$P$8*E105))^2</f>
        <v>0</v>
      </c>
      <c r="O105" s="323">
        <f>($L$17*(1-$P$9)*H105/($L$6^2*$L$12*1000*$P$8*E105))^2</f>
        <v>0</v>
      </c>
      <c r="P105" s="323">
        <f>($L$17*(1-$P$9)*H105/($L$6*$L$12*1000*$P$8^2*E105))^2</f>
        <v>0</v>
      </c>
      <c r="Q105" s="323">
        <f>($L$17*(1-$P$9)*H105/($L$6*$L$12*1000*$P$8*E105^2))^2</f>
        <v>0</v>
      </c>
      <c r="R105" s="323"/>
      <c r="S105" s="323">
        <f t="shared" si="8"/>
        <v>0</v>
      </c>
      <c r="T105" s="323">
        <f>J105/G105</f>
        <v>0</v>
      </c>
    </row>
    <row r="106" spans="4:20" ht="15" x14ac:dyDescent="0.2">
      <c r="D106" s="294" t="s">
        <v>251</v>
      </c>
      <c r="E106" s="323">
        <f>Carbon_Balance!B38</f>
        <v>0</v>
      </c>
      <c r="F106" s="340"/>
      <c r="G106" s="323">
        <f>Carbon_Balance!C38</f>
        <v>0</v>
      </c>
      <c r="H106" s="323">
        <f>Carbon_Balance!J38</f>
        <v>0</v>
      </c>
      <c r="I106" s="301">
        <f>'Concentration Uncertainties'!G10</f>
        <v>0.61436784855112103</v>
      </c>
      <c r="J106" s="323">
        <f>Carbon_Balance!K38</f>
        <v>23.946226486969369</v>
      </c>
      <c r="K106" s="323"/>
      <c r="L106" s="323"/>
      <c r="M106" s="323"/>
      <c r="N106" s="323"/>
      <c r="O106" s="323"/>
      <c r="P106" s="323"/>
      <c r="Q106" s="323"/>
      <c r="R106" s="323"/>
      <c r="S106" s="323"/>
      <c r="T106" s="323"/>
    </row>
    <row r="107" spans="4:20" ht="15" x14ac:dyDescent="0.2">
      <c r="D107" s="294"/>
      <c r="E107" s="323"/>
      <c r="F107" s="340"/>
      <c r="G107" s="323"/>
      <c r="H107" s="323"/>
      <c r="I107" s="301">
        <f>F83</f>
        <v>0</v>
      </c>
      <c r="J107" s="323"/>
      <c r="K107" s="323"/>
      <c r="L107" s="323"/>
      <c r="M107" s="323"/>
      <c r="N107" s="323"/>
      <c r="O107" s="323"/>
      <c r="P107" s="323"/>
      <c r="Q107" s="323"/>
      <c r="R107" s="323"/>
      <c r="S107" s="323"/>
      <c r="T107" s="323"/>
    </row>
    <row r="108" spans="4:20" ht="15" x14ac:dyDescent="0.2">
      <c r="D108" s="294" t="s">
        <v>256</v>
      </c>
      <c r="E108" s="323">
        <f>Carbon_Balance!B40</f>
        <v>0.161</v>
      </c>
      <c r="F108" s="340">
        <f>C13</f>
        <v>2E-3</v>
      </c>
      <c r="G108" s="323">
        <f>Carbon_Balance!C40</f>
        <v>249.03172007100713</v>
      </c>
      <c r="H108" s="323">
        <f>Carbon_Balance!J40</f>
        <v>5.9</v>
      </c>
      <c r="I108" s="301">
        <f>F84</f>
        <v>0</v>
      </c>
      <c r="J108" s="323">
        <f>Carbon_Balance!K40</f>
        <v>20.478965339890472</v>
      </c>
      <c r="K108" s="323">
        <f>($L$17*H108/$L$6/$P$8/E108/$L$12/1000)^2</f>
        <v>1.022022012601247E-2</v>
      </c>
      <c r="L108" s="323">
        <f>($L$17*(1-$P$9)/($L$6*$L$12*$P$8*E108*1000))^2</f>
        <v>1.95016538730268E-4</v>
      </c>
      <c r="M108" s="323">
        <f>((1-$P$9)*H108/($L$6*$L$12*1000*$P$8*E108))^2</f>
        <v>7.4517140048209832E-7</v>
      </c>
      <c r="N108" s="323">
        <f>($L$17*(1-$P$9)*H108/($L$6*($L$12*1000)^2*$P$8*E108))^2</f>
        <v>5.9404597402261984E-9</v>
      </c>
      <c r="O108" s="323">
        <f>($L$17*(1-$P$9)*H108/($L$6^2*$L$12*1000*$P$8*E108))^2</f>
        <v>5.4852347939246236E-6</v>
      </c>
      <c r="P108" s="323">
        <f>($L$17*(1-$P$9)*H108/($L$6*$L$12*1000*$P$8^2*E108))^2</f>
        <v>8.0204698879969647E-3</v>
      </c>
      <c r="Q108" s="323">
        <f>($L$17*(1-$P$9)*H108/($L$6*$L$12*1000*$P$8*E108^2))^2</f>
        <v>0.26189289430194163</v>
      </c>
      <c r="R108" s="323">
        <f>K108*$Q$9^2+L108*I108^2+M108*$M$17^2+N108*$M$12^2+O108*$M$6^2+P108*$Q$8^2+Q108*F108^2</f>
        <v>1.5410131330929591E-5</v>
      </c>
      <c r="S108" s="323">
        <f>SQRT(R108)</f>
        <v>3.9255740129221341E-3</v>
      </c>
      <c r="T108" s="323">
        <f>J108/G108</f>
        <v>8.2234364899584869E-2</v>
      </c>
    </row>
    <row r="109" spans="4:20" ht="15" x14ac:dyDescent="0.2">
      <c r="D109" s="294" t="s">
        <v>367</v>
      </c>
      <c r="E109" s="323">
        <f>Carbon_Balance!B41</f>
        <v>0</v>
      </c>
      <c r="F109" s="340"/>
      <c r="G109" s="323">
        <f>Carbon_Balance!C41</f>
        <v>0</v>
      </c>
      <c r="H109" s="323">
        <f>Carbon_Balance!J41</f>
        <v>0.9</v>
      </c>
      <c r="I109" s="301">
        <f>'Concentration Uncertainties'!I10</f>
        <v>2.7857554331515488E-2</v>
      </c>
      <c r="J109" s="323">
        <f>Carbon_Balance!K41</f>
        <v>3.4014058977796977</v>
      </c>
      <c r="K109" s="323"/>
      <c r="L109" s="323"/>
      <c r="M109" s="323"/>
      <c r="N109" s="323"/>
      <c r="O109" s="323"/>
      <c r="P109" s="323"/>
      <c r="Q109" s="323"/>
      <c r="R109" s="323"/>
      <c r="S109" s="323"/>
      <c r="T109" s="323"/>
    </row>
    <row r="110" spans="4:20" ht="15" x14ac:dyDescent="0.2">
      <c r="D110" s="294" t="s">
        <v>369</v>
      </c>
      <c r="E110" s="323">
        <f>Carbon_Balance!B42</f>
        <v>0</v>
      </c>
      <c r="F110" s="340"/>
      <c r="G110" s="323">
        <f>Carbon_Balance!C42</f>
        <v>0</v>
      </c>
      <c r="H110" s="323">
        <f>Carbon_Balance!J42</f>
        <v>2</v>
      </c>
      <c r="I110" s="301">
        <f>'Concentration Uncertainties'!H10</f>
        <v>3.2064253722144359E-2</v>
      </c>
      <c r="J110" s="323">
        <f>Carbon_Balance!K42</f>
        <v>6.9108155396624165</v>
      </c>
      <c r="K110" s="323"/>
      <c r="L110" s="323"/>
      <c r="M110" s="323"/>
      <c r="N110" s="323"/>
      <c r="O110" s="323"/>
      <c r="P110" s="323"/>
      <c r="Q110" s="323"/>
      <c r="R110" s="323"/>
      <c r="S110" s="323"/>
      <c r="T110" s="323"/>
    </row>
    <row r="113" spans="3:30" x14ac:dyDescent="0.2">
      <c r="D113" s="547" t="s">
        <v>617</v>
      </c>
      <c r="E113" s="548"/>
      <c r="F113" s="548"/>
      <c r="G113" s="548"/>
      <c r="H113" s="548"/>
      <c r="I113" s="548"/>
      <c r="J113" s="548"/>
      <c r="K113" s="548"/>
      <c r="L113" s="548"/>
      <c r="M113" s="548"/>
      <c r="N113" s="548"/>
      <c r="O113" s="548"/>
      <c r="P113" s="548"/>
      <c r="Q113" s="548"/>
      <c r="R113" s="548"/>
      <c r="S113" s="548"/>
      <c r="T113" s="548"/>
      <c r="U113" s="548"/>
      <c r="V113" s="549"/>
      <c r="W113" s="549"/>
      <c r="X113" s="549"/>
      <c r="Y113" s="549"/>
    </row>
    <row r="114" spans="3:30" ht="19.5" customHeight="1" x14ac:dyDescent="0.2">
      <c r="D114" s="537" t="s">
        <v>88</v>
      </c>
      <c r="E114" s="538"/>
      <c r="F114" s="508" t="s">
        <v>62</v>
      </c>
      <c r="G114" s="533"/>
      <c r="H114" s="533"/>
      <c r="I114" s="533"/>
      <c r="J114" s="533"/>
      <c r="K114" s="533"/>
      <c r="L114" s="527"/>
      <c r="M114" s="524" t="s">
        <v>73</v>
      </c>
      <c r="N114" s="543" t="s">
        <v>618</v>
      </c>
      <c r="O114" s="496"/>
      <c r="P114" s="543" t="s">
        <v>619</v>
      </c>
      <c r="Q114" s="496"/>
      <c r="R114" s="494" t="s">
        <v>620</v>
      </c>
      <c r="S114" s="545"/>
      <c r="T114" s="559" t="s">
        <v>621</v>
      </c>
      <c r="U114" s="560"/>
      <c r="V114" s="560"/>
      <c r="W114" s="560"/>
      <c r="X114" s="560"/>
      <c r="Y114" s="561"/>
    </row>
    <row r="115" spans="3:30" ht="26.25" customHeight="1" x14ac:dyDescent="0.2">
      <c r="D115" s="539"/>
      <c r="E115" s="540"/>
      <c r="F115" s="502" t="s">
        <v>606</v>
      </c>
      <c r="G115" s="485"/>
      <c r="H115" s="324" t="s">
        <v>608</v>
      </c>
      <c r="I115" s="324" t="s">
        <v>45</v>
      </c>
      <c r="J115" s="324" t="s">
        <v>46</v>
      </c>
      <c r="K115" s="324" t="s">
        <v>597</v>
      </c>
      <c r="L115" s="324" t="s">
        <v>48</v>
      </c>
      <c r="M115" s="525"/>
      <c r="N115" s="490"/>
      <c r="O115" s="544"/>
      <c r="P115" s="490"/>
      <c r="Q115" s="544"/>
      <c r="R115" s="497"/>
      <c r="S115" s="546"/>
      <c r="T115" s="324" t="s">
        <v>612</v>
      </c>
      <c r="U115" s="324" t="s">
        <v>613</v>
      </c>
      <c r="V115" s="324" t="s">
        <v>614</v>
      </c>
      <c r="W115" s="324" t="s">
        <v>615</v>
      </c>
      <c r="X115" s="324" t="s">
        <v>616</v>
      </c>
      <c r="Y115" s="324" t="s">
        <v>653</v>
      </c>
      <c r="AD115" s="303"/>
    </row>
    <row r="116" spans="3:30" ht="15" x14ac:dyDescent="0.2">
      <c r="D116" s="526" t="s">
        <v>83</v>
      </c>
      <c r="E116" s="527"/>
      <c r="F116" s="536">
        <f>((Carbon_Balance!J28-Carbon_Balance!J29-Carbon_Balance!I28)/Carbon_Balance!J28)^2</f>
        <v>9.0235454856702993E-33</v>
      </c>
      <c r="G116" s="527"/>
      <c r="H116" s="362">
        <f>(Carbon_Balance!K28/Carbon_Balance!C28/Carbon_Balance!J28)^2</f>
        <v>3.5703302500288985E-5</v>
      </c>
      <c r="I116" s="362">
        <f>(Carbon_Balance!K28/Carbon_Balance!C28/Carbon_Balance!J28)^2</f>
        <v>3.5703302500288985E-5</v>
      </c>
      <c r="J116" s="362">
        <f>((Carbon_Balance!J29+Carbon_Balance!I28)^2/(Carbon_Balance!J28)^2)*(Carbon_Balance!K28/Carbon_Balance!C28)^2</f>
        <v>1.2485087851326054E-2</v>
      </c>
      <c r="K116" s="362"/>
      <c r="L116" s="362"/>
      <c r="M116" s="362">
        <f>F116*S96^2+H116*U7^2+I116*U6^2+J116*F72^2</f>
        <v>2.7570658559393247E-4</v>
      </c>
      <c r="N116" s="493">
        <f>SQRT(M116)</f>
        <v>1.6604414641712983E-2</v>
      </c>
      <c r="O116" s="492"/>
      <c r="P116" s="493">
        <f>Yield_Info!D6</f>
        <v>-1.0614130115983614E-17</v>
      </c>
      <c r="Q116" s="492"/>
      <c r="R116" s="493">
        <f>(N116/P116)*100</f>
        <v>-1.564368861156951E+17</v>
      </c>
      <c r="S116" s="492"/>
      <c r="T116" s="388">
        <f>F116*S96^2*100/M116</f>
        <v>9.8346421536292047E-32</v>
      </c>
      <c r="U116" s="389">
        <f>H116*U7^2*100/M116</f>
        <v>3.9673133171106524E-2</v>
      </c>
      <c r="V116" s="389">
        <f>I116*U6^2*100/M116</f>
        <v>0.17967104477777529</v>
      </c>
      <c r="W116" s="389">
        <f>J116*F72^2*100/M116</f>
        <v>99.780655822051116</v>
      </c>
      <c r="X116" s="389"/>
      <c r="Y116" s="390"/>
    </row>
    <row r="117" spans="3:30" ht="15" customHeight="1" x14ac:dyDescent="0.2">
      <c r="D117" s="526" t="s">
        <v>84</v>
      </c>
      <c r="E117" s="527"/>
      <c r="F117" s="562" t="s">
        <v>86</v>
      </c>
      <c r="G117" s="492"/>
      <c r="H117" s="492"/>
      <c r="I117" s="492"/>
      <c r="J117" s="492"/>
      <c r="K117" s="492"/>
      <c r="L117" s="492"/>
      <c r="M117" s="492"/>
      <c r="N117" s="492"/>
      <c r="O117" s="492"/>
      <c r="P117" s="491"/>
      <c r="Q117" s="492"/>
      <c r="R117" s="491"/>
      <c r="S117" s="492"/>
      <c r="T117" s="357"/>
      <c r="U117" s="275"/>
      <c r="V117" s="275"/>
      <c r="W117" s="275"/>
      <c r="X117" s="275"/>
      <c r="Y117" s="360"/>
      <c r="AD117" s="356"/>
    </row>
    <row r="118" spans="3:30" ht="15" customHeight="1" x14ac:dyDescent="0.2">
      <c r="D118" s="526" t="s">
        <v>85</v>
      </c>
      <c r="E118" s="527"/>
      <c r="F118" s="493"/>
      <c r="G118" s="492"/>
      <c r="H118" s="492"/>
      <c r="I118" s="492"/>
      <c r="J118" s="492"/>
      <c r="K118" s="492"/>
      <c r="L118" s="492"/>
      <c r="M118" s="492"/>
      <c r="N118" s="492"/>
      <c r="O118" s="492"/>
      <c r="P118" s="492"/>
      <c r="Q118" s="492"/>
      <c r="R118" s="492"/>
      <c r="S118" s="492"/>
      <c r="T118" s="357"/>
      <c r="U118" s="275"/>
      <c r="V118" s="275"/>
      <c r="W118" s="275"/>
      <c r="X118" s="275"/>
      <c r="Y118" s="360"/>
      <c r="AD118" s="356"/>
    </row>
    <row r="119" spans="3:30" ht="15" x14ac:dyDescent="0.2">
      <c r="D119" s="534" t="s">
        <v>38</v>
      </c>
      <c r="E119" s="527"/>
      <c r="F119" s="536">
        <f>((Carbon_Balance!J32-Carbon_Balance!I32)/Carbon_Balance!J32)^2</f>
        <v>1.7498914997829986E-2</v>
      </c>
      <c r="G119" s="527"/>
      <c r="H119" s="362"/>
      <c r="I119" s="354">
        <f>(Carbon_Balance!K32/Carbon_Balance!C32/Carbon_Balance!J32)^2</f>
        <v>1.0469068301209678E-4</v>
      </c>
      <c r="J119" s="362">
        <f>(Carbon_Balance!K32*Carbon_Balance!I32/Carbon_Balance!C32/Carbon_Balance!J32^2)^2</f>
        <v>7.8824963861753584E-5</v>
      </c>
      <c r="K119" s="362"/>
      <c r="L119" s="362"/>
      <c r="M119" s="354">
        <f>F119*S100^2+I119*U10^2+J119*F76^2</f>
        <v>4.4863925491023032E-5</v>
      </c>
      <c r="N119" s="562">
        <f>SQRT(M119)</f>
        <v>6.6980538584743426E-3</v>
      </c>
      <c r="O119" s="492"/>
      <c r="P119" s="493">
        <f>Yield_Info!D18</f>
        <v>8.594751068724181E-2</v>
      </c>
      <c r="Q119" s="492"/>
      <c r="R119" s="493">
        <f>(N119/P119)*100</f>
        <v>7.7931912220799342</v>
      </c>
      <c r="S119" s="492"/>
      <c r="T119" s="379">
        <f>F119*S100^2*100/M119</f>
        <v>39.630875850402546</v>
      </c>
      <c r="U119" s="380"/>
      <c r="V119" s="376">
        <f>I119*U10^2*100/M119</f>
        <v>31.764775616848745</v>
      </c>
      <c r="W119" s="376">
        <f>J119*F76^2*100/M119</f>
        <v>28.604348532748713</v>
      </c>
      <c r="X119" s="376"/>
      <c r="Y119" s="385"/>
      <c r="AD119" s="356"/>
    </row>
    <row r="120" spans="3:30" ht="15" x14ac:dyDescent="0.2">
      <c r="D120" s="526" t="s">
        <v>87</v>
      </c>
      <c r="E120" s="527"/>
      <c r="F120" s="536"/>
      <c r="G120" s="527"/>
      <c r="H120" s="362"/>
      <c r="I120" s="354">
        <f>(Carbon_Balance!K32/Carbon_Balance!C32/Carbon_Balance!J32)^2</f>
        <v>1.0469068301209678E-4</v>
      </c>
      <c r="J120" s="362">
        <f>(Carbon_Balance!K32*Carbon_Balance!I32/Carbon_Balance!C32/Carbon_Balance!J32^2)^2</f>
        <v>7.8824963861753584E-5</v>
      </c>
      <c r="K120" s="359">
        <f>(1/Carbon_Balance!C32^2)*(Carbon_Balance!I32/Carbon_Balance!J32)^2</f>
        <v>1.347286623399203E-5</v>
      </c>
      <c r="L120" s="362">
        <f>(Carbon_Balance!K32*Carbon_Balance!I32/Carbon_Balance!C32^2/Carbon_Balance!J32)^2</f>
        <v>5.6874223677423603E-6</v>
      </c>
      <c r="M120" s="354">
        <f>K120*M76^2+I120*U10^2+J120*F76^2+L120*L33^2</f>
        <v>7.9058500385909393E-4</v>
      </c>
      <c r="N120" s="562">
        <f>SQRT(M120)</f>
        <v>2.8117343470873878E-2</v>
      </c>
      <c r="O120" s="492"/>
      <c r="P120" s="493">
        <f>Yield_Info!D19</f>
        <v>0.56377474272226491</v>
      </c>
      <c r="Q120" s="492"/>
      <c r="R120" s="493">
        <f>(N120/P120)*100</f>
        <v>4.9873364910079809</v>
      </c>
      <c r="S120" s="492"/>
      <c r="T120" s="381"/>
      <c r="U120" s="380"/>
      <c r="V120" s="376">
        <f>I120*U10^2*100/M120</f>
        <v>1.8025797599967652</v>
      </c>
      <c r="W120" s="376">
        <f>J120*F76^2*100/M120</f>
        <v>1.6232326125948318</v>
      </c>
      <c r="X120" s="376">
        <f>L120*L33^2*100/M120</f>
        <v>56.492552517821778</v>
      </c>
      <c r="Y120" s="385">
        <f>K120*M76^2*100/M120</f>
        <v>40.081635109586621</v>
      </c>
      <c r="AD120" s="356"/>
    </row>
    <row r="121" spans="3:30" ht="15" x14ac:dyDescent="0.2">
      <c r="C121" s="303" t="s">
        <v>610</v>
      </c>
      <c r="D121" s="526" t="s">
        <v>89</v>
      </c>
      <c r="E121" s="527"/>
      <c r="F121" s="536"/>
      <c r="G121" s="527"/>
      <c r="H121" s="354"/>
      <c r="I121" s="362"/>
      <c r="J121" s="362"/>
      <c r="K121" s="362"/>
      <c r="L121" s="362"/>
      <c r="M121" s="354"/>
      <c r="N121" s="493"/>
      <c r="O121" s="492"/>
      <c r="P121" s="493"/>
      <c r="Q121" s="492"/>
      <c r="R121" s="493"/>
      <c r="S121" s="492"/>
      <c r="T121" s="379"/>
      <c r="U121" s="376"/>
      <c r="V121" s="376"/>
      <c r="W121" s="376"/>
      <c r="X121" s="376"/>
      <c r="Y121" s="385"/>
      <c r="AD121" s="356"/>
    </row>
    <row r="122" spans="3:30" ht="15" x14ac:dyDescent="0.2">
      <c r="D122" s="526" t="s">
        <v>90</v>
      </c>
      <c r="E122" s="527"/>
      <c r="F122" s="536">
        <f>((Carbon_Balance!J31-Carbon_Balance!I31)/Carbon_Balance!J31)^2</f>
        <v>8.2644628099173452E-3</v>
      </c>
      <c r="G122" s="527"/>
      <c r="H122" s="362"/>
      <c r="I122" s="354">
        <f>(Carbon_Balance!K31/Carbon_Balance!C31/Carbon_Balance!J31)^2</f>
        <v>1.8128391514857824E-2</v>
      </c>
      <c r="J122" s="362">
        <f>(Carbon_Balance!K31*Carbon_Balance!I31/Carbon_Balance!C31/Carbon_Balance!J31^2)^2</f>
        <v>1.4982141747816391E-2</v>
      </c>
      <c r="K122" s="362"/>
      <c r="L122" s="362"/>
      <c r="M122" s="354">
        <f>F122*S99^2+I122*U9^2+J122*F75^2</f>
        <v>4.2113436510841295E-3</v>
      </c>
      <c r="N122" s="493">
        <f>SQRT(M122)</f>
        <v>6.4894866138117041E-2</v>
      </c>
      <c r="O122" s="492"/>
      <c r="P122" s="493">
        <f>Yield_Info!D31</f>
        <v>8.0785029215497656E-2</v>
      </c>
      <c r="Q122" s="492"/>
      <c r="R122" s="493">
        <f>(N122/P122)*100</f>
        <v>80.330312148562953</v>
      </c>
      <c r="S122" s="492"/>
      <c r="T122" s="379">
        <f>F122*S99^2*100/M122</f>
        <v>1.0331477906754745</v>
      </c>
      <c r="U122" s="380"/>
      <c r="V122" s="376">
        <f>I122*U9^2*100/M122</f>
        <v>97.709500033350224</v>
      </c>
      <c r="W122" s="376">
        <f>J122*F75^2*100/M122</f>
        <v>1.2573521759743003</v>
      </c>
      <c r="X122" s="376"/>
      <c r="Y122" s="385"/>
      <c r="AD122" s="356"/>
    </row>
    <row r="123" spans="3:30" ht="15" x14ac:dyDescent="0.2">
      <c r="D123" s="526" t="s">
        <v>91</v>
      </c>
      <c r="E123" s="527"/>
      <c r="F123" s="536"/>
      <c r="G123" s="527"/>
      <c r="H123" s="356"/>
      <c r="I123" s="359">
        <f>(1/Carbon_Balance!J31*Carbon_Balance!K31/Carbon_Balance!C31)^2</f>
        <v>1.8128391514857824E-2</v>
      </c>
      <c r="J123" s="310">
        <f>(Carbon_Balance!I31/Carbon_Balance!J31^2*Carbon_Balance!K31/Carbon_Balance!C31)^2</f>
        <v>1.4982141747816384E-2</v>
      </c>
      <c r="K123" s="358">
        <f>(Carbon_Balance!I31/Carbon_Balance!J31/Carbon_Balance!C31)^2</f>
        <v>2.5607673226600474E-3</v>
      </c>
      <c r="L123" s="310">
        <f>(Carbon_Balance!I31/Carbon_Balance!J31*Carbon_Balance!K31/Carbon_Balance!C31^2)^2</f>
        <v>2.0221681338143667E-3</v>
      </c>
      <c r="M123" s="358">
        <f>I123*U9^2+K123*M75^2+J123*F75^2+L123*L32^2</f>
        <v>8.5050859921558288E-3</v>
      </c>
      <c r="N123" s="493">
        <f>SQRT(M123)</f>
        <v>9.2223023113297622E-2</v>
      </c>
      <c r="O123" s="492"/>
      <c r="P123" s="493">
        <f>Yield_Info!D32</f>
        <v>0.80785029215497717</v>
      </c>
      <c r="Q123" s="492"/>
      <c r="R123" s="493">
        <f>(N123/P123)*100</f>
        <v>11.415855636728006</v>
      </c>
      <c r="S123" s="492"/>
      <c r="T123" s="381"/>
      <c r="U123" s="380"/>
      <c r="V123" s="376">
        <f>I123*U9^2*100/M123</f>
        <v>48.381437059609546</v>
      </c>
      <c r="W123" s="376">
        <f>J123*F75^2*100/M123</f>
        <v>0.62258536931312014</v>
      </c>
      <c r="X123" s="376">
        <f>L123*L32^2*100/M123</f>
        <v>43.031924647107623</v>
      </c>
      <c r="Y123" s="385">
        <f>K123*M75^2*100/M123</f>
        <v>7.9640529239696978</v>
      </c>
      <c r="AD123" s="356"/>
    </row>
    <row r="124" spans="3:30" ht="15" x14ac:dyDescent="0.2">
      <c r="D124" s="526" t="s">
        <v>92</v>
      </c>
      <c r="E124" s="527"/>
      <c r="F124" s="536">
        <f>((Carbon_Balance!J33-Carbon_Balance!I33)/Carbon_Balance!J33)^2</f>
        <v>1.4792899408284047E-3</v>
      </c>
      <c r="G124" s="527"/>
      <c r="H124" s="362"/>
      <c r="I124" s="354">
        <f>(Carbon_Balance!K33/Carbon_Balance!C33/Carbon_Balance!J33)^2</f>
        <v>5.7686734489905273E-3</v>
      </c>
      <c r="J124" s="362">
        <f>(Carbon_Balance!K33*Carbon_Balance!I33/Carbon_Balance!C33/Carbon_Balance!J33^2)^2</f>
        <v>6.2209511010563505E-3</v>
      </c>
      <c r="K124" s="362"/>
      <c r="L124" s="362"/>
      <c r="M124" s="354">
        <f>F124*S101^2+I124*U11^2+J124*F77^2</f>
        <v>2.3201576134089055E-4</v>
      </c>
      <c r="N124" s="493">
        <f>SQRT(M124)</f>
        <v>1.5232063594302991E-2</v>
      </c>
      <c r="O124" s="492"/>
      <c r="P124" s="493">
        <f>Yield_Info!D37</f>
        <v>-3.0380713484684418E-2</v>
      </c>
      <c r="Q124" s="492"/>
      <c r="R124" s="493">
        <f>(N124/P124)*100</f>
        <v>-50.137280686254485</v>
      </c>
      <c r="S124" s="492"/>
      <c r="T124" s="382">
        <f>F124*S101^2*100/M124</f>
        <v>3.2578183306566451</v>
      </c>
      <c r="U124" s="380"/>
      <c r="V124" s="377">
        <f>I124*U11^2*100/M124</f>
        <v>60.476259211420427</v>
      </c>
      <c r="W124" s="377">
        <f>J124*F77^2*100/M124</f>
        <v>36.265922457922919</v>
      </c>
      <c r="X124" s="377"/>
      <c r="Y124" s="386"/>
      <c r="AD124" s="356"/>
    </row>
    <row r="125" spans="3:30" ht="15" x14ac:dyDescent="0.2">
      <c r="D125" s="534" t="s">
        <v>40</v>
      </c>
      <c r="E125" s="527"/>
      <c r="F125" s="536"/>
      <c r="G125" s="527"/>
      <c r="H125" s="362"/>
      <c r="I125" s="354">
        <f>(Carbon_Balance!K33/Carbon_Balance!C33/Carbon_Balance!J33)^2</f>
        <v>5.7686734489905273E-3</v>
      </c>
      <c r="J125" s="361">
        <f>((Carbon_Balance!K33*Carbon_Balance!I33)/Carbon_Balance!C33/Carbon_Balance!J33^2)^2</f>
        <v>6.2209511010563505E-3</v>
      </c>
      <c r="K125" s="359">
        <f>((Carbon_Balance!I33/Carbon_Balance!J33)/Carbon_Balance!C33)^2</f>
        <v>1.0632931234796899E-3</v>
      </c>
      <c r="L125" s="362">
        <f>((Carbon_Balance!K33*Carbon_Balance!I33/Carbon_Balance!J33)/Carbon_Balance!C33^2)^2</f>
        <v>6.634308140000269E-4</v>
      </c>
      <c r="M125" s="354">
        <f>K125*M77^2+I125*U11^2+J125*F77^2+L125*L34^2</f>
        <v>5.716786349674265E-3</v>
      </c>
      <c r="N125" s="493">
        <f>SQRT(M125)</f>
        <v>7.5609432941097135E-2</v>
      </c>
      <c r="O125" s="492"/>
      <c r="P125" s="493">
        <f>Yield_Info!D38</f>
        <v>0.82027926408647867</v>
      </c>
      <c r="Q125" s="492"/>
      <c r="R125" s="493">
        <f>(N125/P125)*100</f>
        <v>9.2175233791020155</v>
      </c>
      <c r="S125" s="492"/>
      <c r="T125" s="383"/>
      <c r="U125" s="384"/>
      <c r="V125" s="378">
        <f>100*I125*U11^2/(K125*M77^2+I125*U11^2+J125*F77^2+L125*L34^2)</f>
        <v>2.4544288461621884</v>
      </c>
      <c r="W125" s="378">
        <f>100*J125*F77^2/(K125*M77^2+I125*U11^2+J125*F77^2+L125*L34^2)</f>
        <v>1.4718523826387391</v>
      </c>
      <c r="X125" s="378">
        <f>100*L125*L34^2/(K125*M77^2+I125*U11^2+J125*F77^2+L125*L34^2)</f>
        <v>83.339022508259887</v>
      </c>
      <c r="Y125" s="387">
        <f>K125*100*M77^2/(K125*M77^2+I125*U11^2+J125*F77^2+L125*L34^2)</f>
        <v>12.734696262939195</v>
      </c>
      <c r="AD125" s="356"/>
    </row>
    <row r="126" spans="3:30" ht="15" x14ac:dyDescent="0.2">
      <c r="C126" s="303" t="s">
        <v>610</v>
      </c>
      <c r="D126" s="534" t="s">
        <v>41</v>
      </c>
      <c r="E126" s="527"/>
      <c r="F126" s="536">
        <f>(1/L38)^2</f>
        <v>0.86181356762924932</v>
      </c>
      <c r="G126" s="527"/>
      <c r="H126" s="323">
        <f>(1/L38)^2</f>
        <v>0.86181356762924932</v>
      </c>
      <c r="I126" s="322">
        <f>(1/L38)^2</f>
        <v>0.86181356762924932</v>
      </c>
      <c r="J126" s="323"/>
      <c r="K126" s="275"/>
      <c r="L126" s="275"/>
      <c r="M126" s="371"/>
      <c r="N126" s="371"/>
      <c r="O126" s="371"/>
      <c r="P126" s="371"/>
      <c r="Q126" s="371"/>
      <c r="R126" s="371"/>
      <c r="S126" s="275"/>
      <c r="T126" s="275"/>
      <c r="U126" s="275"/>
      <c r="V126" s="275"/>
    </row>
    <row r="127" spans="3:30" ht="15" x14ac:dyDescent="0.2">
      <c r="D127" s="313"/>
      <c r="E127" s="275"/>
      <c r="F127" s="275"/>
      <c r="G127" s="275"/>
      <c r="H127" s="275"/>
      <c r="I127" s="313"/>
      <c r="J127" s="275"/>
      <c r="K127" s="275"/>
      <c r="L127" s="275"/>
      <c r="M127" s="371"/>
      <c r="N127" s="371"/>
      <c r="O127" s="371"/>
      <c r="P127" s="371"/>
      <c r="Q127" s="371"/>
      <c r="R127" s="371"/>
      <c r="S127" s="275"/>
      <c r="T127" s="275"/>
      <c r="U127" s="275"/>
      <c r="V127" s="275"/>
    </row>
    <row r="129" spans="3:49" ht="12.75" customHeight="1" x14ac:dyDescent="0.2">
      <c r="X129" s="397"/>
      <c r="Y129" s="397"/>
      <c r="Z129" s="397"/>
      <c r="AA129" s="397"/>
      <c r="AB129" s="397"/>
      <c r="AC129" s="397"/>
      <c r="AD129" s="397"/>
      <c r="AE129" s="397"/>
      <c r="AF129" s="397"/>
    </row>
    <row r="130" spans="3:49" ht="12.75" customHeight="1" x14ac:dyDescent="0.2">
      <c r="J130" s="494" t="s">
        <v>652</v>
      </c>
      <c r="K130" s="495"/>
      <c r="L130" s="495"/>
      <c r="M130" s="495"/>
      <c r="N130" s="495"/>
      <c r="O130" s="495"/>
      <c r="P130" s="495"/>
      <c r="Q130" s="495"/>
      <c r="R130" s="495"/>
      <c r="S130" s="495"/>
      <c r="T130" s="496"/>
      <c r="V130" s="478" t="s">
        <v>626</v>
      </c>
      <c r="W130" s="476"/>
      <c r="X130" s="476"/>
      <c r="Y130" s="476"/>
      <c r="Z130" s="476"/>
      <c r="AA130" s="476"/>
      <c r="AB130" s="476"/>
      <c r="AC130" s="476"/>
      <c r="AD130" s="476"/>
      <c r="AE130" s="476"/>
      <c r="AG130" s="488" t="s">
        <v>627</v>
      </c>
      <c r="AH130" s="500"/>
      <c r="AI130" s="500"/>
      <c r="AJ130" s="500"/>
      <c r="AK130" s="500"/>
      <c r="AL130" s="500"/>
      <c r="AM130" s="500"/>
      <c r="AN130" s="500"/>
      <c r="AO130" s="369"/>
      <c r="AP130" s="488" t="s">
        <v>635</v>
      </c>
      <c r="AQ130" s="500"/>
      <c r="AR130" s="500"/>
      <c r="AS130" s="500"/>
      <c r="AT130" s="500"/>
      <c r="AU130" s="500"/>
      <c r="AV130" s="500"/>
      <c r="AW130" s="500"/>
    </row>
    <row r="131" spans="3:49" x14ac:dyDescent="0.2">
      <c r="F131" s="564" t="s">
        <v>624</v>
      </c>
      <c r="G131" s="500"/>
      <c r="H131" s="500"/>
      <c r="I131" s="366"/>
      <c r="J131" s="497" t="s">
        <v>651</v>
      </c>
      <c r="K131" s="498"/>
      <c r="L131" s="498"/>
      <c r="M131" s="498"/>
      <c r="N131" s="498"/>
      <c r="O131" s="498"/>
      <c r="P131" s="498"/>
      <c r="Q131" s="498"/>
      <c r="R131" s="498"/>
      <c r="S131" s="498"/>
      <c r="T131" s="499"/>
      <c r="V131" s="476"/>
      <c r="W131" s="476"/>
      <c r="X131" s="476"/>
      <c r="Y131" s="476"/>
      <c r="Z131" s="476"/>
      <c r="AA131" s="476"/>
      <c r="AB131" s="476"/>
      <c r="AC131" s="476"/>
      <c r="AD131" s="476"/>
      <c r="AE131" s="476"/>
      <c r="AG131" s="500"/>
      <c r="AH131" s="500"/>
      <c r="AI131" s="500"/>
      <c r="AJ131" s="500"/>
      <c r="AK131" s="500"/>
      <c r="AL131" s="500"/>
      <c r="AM131" s="500"/>
      <c r="AN131" s="500"/>
      <c r="AO131" s="369"/>
      <c r="AP131" s="500"/>
      <c r="AQ131" s="500"/>
      <c r="AR131" s="500"/>
      <c r="AS131" s="500"/>
      <c r="AT131" s="500"/>
      <c r="AU131" s="500"/>
      <c r="AV131" s="500"/>
      <c r="AW131" s="500"/>
    </row>
    <row r="132" spans="3:49" ht="13.5" customHeight="1" x14ac:dyDescent="0.2">
      <c r="D132" s="556" t="s">
        <v>88</v>
      </c>
      <c r="E132" s="557"/>
      <c r="F132" s="478" t="s">
        <v>619</v>
      </c>
      <c r="G132" s="478" t="s">
        <v>618</v>
      </c>
      <c r="H132" s="478" t="s">
        <v>622</v>
      </c>
      <c r="L132" s="480" t="s">
        <v>634</v>
      </c>
      <c r="M132" s="477" t="s">
        <v>625</v>
      </c>
      <c r="N132" s="477"/>
      <c r="O132" s="477"/>
      <c r="P132" s="477"/>
      <c r="Q132" s="477"/>
      <c r="R132" s="477"/>
      <c r="S132" s="477"/>
      <c r="T132" s="356"/>
      <c r="V132" s="370"/>
      <c r="W132" s="370"/>
      <c r="X132" s="475" t="s">
        <v>628</v>
      </c>
      <c r="Y132" s="476"/>
      <c r="Z132" s="476"/>
      <c r="AA132" s="476"/>
      <c r="AB132" s="476"/>
      <c r="AC132" s="476"/>
      <c r="AD132" s="476"/>
      <c r="AE132" s="370"/>
      <c r="AG132" s="370"/>
      <c r="AH132" s="370"/>
      <c r="AI132" s="370"/>
      <c r="AJ132" s="370"/>
      <c r="AK132" s="370"/>
      <c r="AL132" s="370"/>
      <c r="AM132" s="370"/>
      <c r="AN132" s="370"/>
      <c r="AO132" s="370"/>
      <c r="AP132" s="370"/>
      <c r="AR132" s="400"/>
      <c r="AS132" s="370"/>
      <c r="AT132" s="370"/>
      <c r="AU132" s="370"/>
    </row>
    <row r="133" spans="3:49" x14ac:dyDescent="0.2">
      <c r="D133" s="558"/>
      <c r="E133" s="558"/>
      <c r="F133" s="479"/>
      <c r="G133" s="479"/>
      <c r="H133" s="479"/>
      <c r="J133" s="396" t="s">
        <v>45</v>
      </c>
      <c r="K133" s="396" t="s">
        <v>46</v>
      </c>
      <c r="L133" s="481"/>
      <c r="M133" s="407" t="s">
        <v>546</v>
      </c>
      <c r="N133" s="407" t="s">
        <v>46</v>
      </c>
      <c r="O133" s="407" t="s">
        <v>562</v>
      </c>
      <c r="P133" s="407" t="s">
        <v>577</v>
      </c>
      <c r="Q133" s="407" t="s">
        <v>565</v>
      </c>
      <c r="R133" s="407" t="s">
        <v>142</v>
      </c>
      <c r="S133" s="407" t="s">
        <v>564</v>
      </c>
      <c r="V133" s="394" t="str">
        <f>J133</f>
        <v>c_PLx</v>
      </c>
      <c r="W133" s="394" t="str">
        <f>K133</f>
        <v>c_PLTx</v>
      </c>
      <c r="X133" s="394" t="str">
        <f t="shared" ref="X133:AD133" si="9">M133</f>
        <v>f_IS</v>
      </c>
      <c r="Y133" s="394" t="str">
        <f t="shared" si="9"/>
        <v>c_PLTx</v>
      </c>
      <c r="Z133" s="394" t="str">
        <f t="shared" si="9"/>
        <v>F_Sf</v>
      </c>
      <c r="AA133" s="394" t="str">
        <f t="shared" si="9"/>
        <v>rho_PL</v>
      </c>
      <c r="AB133" s="394" t="str">
        <f t="shared" si="9"/>
        <v>F_f</v>
      </c>
      <c r="AC133" s="394" t="str">
        <f t="shared" si="9"/>
        <v>f_FSC</v>
      </c>
      <c r="AD133" s="394" t="str">
        <f t="shared" si="9"/>
        <v>f_Ux</v>
      </c>
      <c r="AE133" s="370"/>
      <c r="AG133" s="399" t="s">
        <v>45</v>
      </c>
      <c r="AH133" s="399" t="s">
        <v>46</v>
      </c>
      <c r="AI133" s="399" t="s">
        <v>546</v>
      </c>
      <c r="AJ133" s="399" t="s">
        <v>562</v>
      </c>
      <c r="AK133" s="399" t="s">
        <v>577</v>
      </c>
      <c r="AL133" s="399" t="s">
        <v>565</v>
      </c>
      <c r="AM133" s="399" t="s">
        <v>142</v>
      </c>
      <c r="AN133" s="399" t="s">
        <v>564</v>
      </c>
      <c r="AO133" s="370"/>
      <c r="AP133" s="399" t="s">
        <v>45</v>
      </c>
      <c r="AQ133" s="399" t="s">
        <v>46</v>
      </c>
      <c r="AR133" s="399" t="s">
        <v>546</v>
      </c>
      <c r="AS133" s="399" t="s">
        <v>562</v>
      </c>
      <c r="AT133" s="399" t="s">
        <v>577</v>
      </c>
      <c r="AU133" s="399" t="s">
        <v>565</v>
      </c>
      <c r="AV133" s="399" t="s">
        <v>142</v>
      </c>
      <c r="AW133" s="399" t="s">
        <v>564</v>
      </c>
    </row>
    <row r="134" spans="3:49" ht="15" x14ac:dyDescent="0.2">
      <c r="D134" s="534" t="str">
        <f>D119</f>
        <v>Xylan to Oligomeric Xylose</v>
      </c>
      <c r="E134" s="533"/>
      <c r="F134" s="430">
        <f>P119</f>
        <v>8.594751068724181E-2</v>
      </c>
      <c r="G134" s="432">
        <f>N119</f>
        <v>6.6980538584743426E-3</v>
      </c>
      <c r="H134" s="435">
        <f>R119</f>
        <v>7.7931912220799342</v>
      </c>
      <c r="J134" s="439">
        <f>V119</f>
        <v>31.764775616848745</v>
      </c>
      <c r="K134" s="440">
        <f>W119+N134</f>
        <v>29.271702455285716</v>
      </c>
      <c r="L134" s="441">
        <f>T119</f>
        <v>39.630875850402546</v>
      </c>
      <c r="M134" s="446">
        <f>$L$134*K100*$Q$9^2/($K$100*$Q$9^2+$L$100*$I$100^2+$M$100*$M$17^2+$N$100*$M$12^2+$O$100*$M$6^2+$P$100*$Q$8^2+$Q$100*$F$100^2)</f>
        <v>2.4884155072590923</v>
      </c>
      <c r="N134" s="453">
        <f>$L$134*L100*$I$100^2/($K$100*$Q$9^2+$L$100*$I$100^2+$M$100*$M$17^2+$N$100*$M$12^2+$O$100*$M$6^2+$P$100*$Q$8^2+$Q$100*$F$100^2)</f>
        <v>0.66735392253700332</v>
      </c>
      <c r="O134" s="442">
        <f>$L$134*M100*$M$17^2/($K$100*$Q$9^2+$L$100*$I$100^2+$M$100*$M$17^2+$N$100*$M$12^2+$O$100*$M$6^2+$P$100*$Q$8^2+$Q$100*$F$100^2)</f>
        <v>13.249521719546523</v>
      </c>
      <c r="P134" s="455">
        <f>$L$134*N100*$M$12^2/($K$100*$Q$9^2+$L$100*$I$100^2+$M$100*$M$17^2+$N$100*$M$12^2+$O$100*$M$6^2+$P$100*$Q$8^2+$Q$100*$F$100^2)</f>
        <v>1.013289686110311E-8</v>
      </c>
      <c r="Q134" s="443">
        <f>$L$134*O100*$M$6^2/($K$100*$Q$9^2+$L$100*$I$100^2+$M$100*$M$17^2+$N$100*$M$12^2+$O$100*$M$6^2+$P$100*$Q$8^2+$Q$100*$F$100^2)</f>
        <v>19.218192303511035</v>
      </c>
      <c r="R134" s="455">
        <f>$L$134*P100*$Q$8^2/($K$100*$Q$9^2+$L$100*$I$100^2+$M$100*$M$17^2+$N$100*$M$12^2+$O$100*$M$6^2+$P$100*$Q$8^2+$Q$100*$F$100^K1240)</f>
        <v>1.5889781721369169E-6</v>
      </c>
      <c r="S134" s="447">
        <f>$L$134*Q100*$F$100^2/($K$100*$Q$9^2+$L$100*$I$100^2+$M$100*$M$17^2+$N$100*$M$12^2+$O$100*$M$6^2+$P$100*$Q$8^2+$Q$100*$F$100^2)</f>
        <v>3.9936132816404539</v>
      </c>
      <c r="V134" s="462">
        <f>J134*$G$134/100</f>
        <v>2.1276217788400546E-3</v>
      </c>
      <c r="W134" s="462">
        <f>K134*$G$134/100</f>
        <v>1.9606343957473938E-3</v>
      </c>
      <c r="X134" s="463">
        <f t="shared" ref="X134:AD134" si="10">M134*$G$134/100</f>
        <v>1.6667541089884154E-4</v>
      </c>
      <c r="Y134" s="463">
        <f t="shared" si="10"/>
        <v>4.469972515816963E-5</v>
      </c>
      <c r="Z134" s="463">
        <f t="shared" si="10"/>
        <v>8.8746010076548197E-4</v>
      </c>
      <c r="AA134" s="463">
        <f t="shared" si="10"/>
        <v>6.7870688918034245E-13</v>
      </c>
      <c r="AB134" s="463">
        <f t="shared" si="10"/>
        <v>1.2872448711143401E-3</v>
      </c>
      <c r="AC134" s="463">
        <f t="shared" si="10"/>
        <v>1.0643061376913186E-10</v>
      </c>
      <c r="AD134" s="463">
        <f t="shared" si="10"/>
        <v>2.6749436850346224E-4</v>
      </c>
      <c r="AE134" s="370"/>
      <c r="AG134" s="465">
        <f>V134</f>
        <v>2.1276217788400546E-3</v>
      </c>
      <c r="AH134" s="465">
        <f>W134+Y134</f>
        <v>2.0053341209055634E-3</v>
      </c>
      <c r="AI134" s="465">
        <f>X134</f>
        <v>1.6667541089884154E-4</v>
      </c>
      <c r="AJ134" s="465">
        <f>Z134</f>
        <v>8.8746010076548197E-4</v>
      </c>
      <c r="AK134" s="465">
        <f>AA134</f>
        <v>6.7870688918034245E-13</v>
      </c>
      <c r="AL134" s="465">
        <f>AB134</f>
        <v>1.2872448711143401E-3</v>
      </c>
      <c r="AM134" s="465">
        <f>AC134</f>
        <v>1.0643061376913186E-10</v>
      </c>
      <c r="AN134" s="465">
        <f>AD134</f>
        <v>2.6749436850346224E-4</v>
      </c>
      <c r="AO134" s="370"/>
      <c r="AP134" s="465">
        <f>J134</f>
        <v>31.764775616848745</v>
      </c>
      <c r="AQ134" s="466">
        <f>K134+N134</f>
        <v>29.93905637782272</v>
      </c>
      <c r="AR134" s="467">
        <f>M134</f>
        <v>2.4884155072590923</v>
      </c>
      <c r="AS134" s="468">
        <f>O134</f>
        <v>13.249521719546523</v>
      </c>
      <c r="AT134" s="469">
        <f>P134</f>
        <v>1.013289686110311E-8</v>
      </c>
      <c r="AU134" s="469">
        <f>Q134</f>
        <v>19.218192303511035</v>
      </c>
      <c r="AV134" s="465">
        <f>R134</f>
        <v>1.5889781721369169E-6</v>
      </c>
      <c r="AW134" s="465">
        <f>S134</f>
        <v>3.9936132816404539</v>
      </c>
    </row>
    <row r="135" spans="3:49" x14ac:dyDescent="0.2">
      <c r="AP135" s="370"/>
      <c r="AR135" s="370"/>
      <c r="AS135" s="370"/>
    </row>
    <row r="136" spans="3:49" s="370" customFormat="1" x14ac:dyDescent="0.2">
      <c r="M136" s="475" t="s">
        <v>629</v>
      </c>
      <c r="N136" s="476"/>
      <c r="O136" s="476"/>
    </row>
    <row r="137" spans="3:49" ht="12.75" customHeight="1" x14ac:dyDescent="0.2">
      <c r="F137" s="478" t="s">
        <v>619</v>
      </c>
      <c r="G137" s="478" t="s">
        <v>618</v>
      </c>
      <c r="H137" s="478" t="s">
        <v>622</v>
      </c>
      <c r="L137" s="480" t="s">
        <v>48</v>
      </c>
      <c r="M137" s="476"/>
      <c r="N137" s="476"/>
      <c r="O137" s="476"/>
      <c r="P137" s="480" t="s">
        <v>597</v>
      </c>
      <c r="Q137" s="477" t="s">
        <v>631</v>
      </c>
      <c r="R137" s="476"/>
      <c r="S137" s="476"/>
      <c r="T137" s="476"/>
      <c r="X137" s="477" t="s">
        <v>630</v>
      </c>
      <c r="Y137" s="476"/>
      <c r="Z137" s="476"/>
      <c r="AA137" s="477" t="s">
        <v>654</v>
      </c>
      <c r="AB137" s="476"/>
      <c r="AC137" s="476"/>
      <c r="AD137" s="476"/>
      <c r="AP137" s="370"/>
      <c r="AR137" s="370"/>
      <c r="AS137" s="370"/>
    </row>
    <row r="138" spans="3:49" x14ac:dyDescent="0.2">
      <c r="F138" s="478"/>
      <c r="G138" s="478"/>
      <c r="H138" s="478"/>
      <c r="J138" s="409" t="s">
        <v>45</v>
      </c>
      <c r="K138" s="409" t="s">
        <v>46</v>
      </c>
      <c r="L138" s="480"/>
      <c r="M138" s="407" t="s">
        <v>564</v>
      </c>
      <c r="N138" s="407" t="s">
        <v>142</v>
      </c>
      <c r="O138" s="407" t="s">
        <v>565</v>
      </c>
      <c r="P138" s="480"/>
      <c r="Q138" s="407" t="s">
        <v>546</v>
      </c>
      <c r="R138" s="407" t="s">
        <v>357</v>
      </c>
      <c r="S138" s="407" t="s">
        <v>562</v>
      </c>
      <c r="T138" s="407" t="s">
        <v>577</v>
      </c>
      <c r="V138" s="391" t="str">
        <f>J138</f>
        <v>c_PLx</v>
      </c>
      <c r="W138" s="391" t="str">
        <f>K138</f>
        <v>c_PLTx</v>
      </c>
      <c r="X138" s="391" t="str">
        <f>M138</f>
        <v>f_Ux</v>
      </c>
      <c r="Y138" s="391" t="str">
        <f>N138</f>
        <v>f_FSC</v>
      </c>
      <c r="Z138" s="391" t="str">
        <f>O138</f>
        <v>F_f</v>
      </c>
      <c r="AA138" s="391" t="str">
        <f>Q138</f>
        <v>f_IS</v>
      </c>
      <c r="AB138" s="391" t="str">
        <f>R138</f>
        <v>c_PLTx</v>
      </c>
      <c r="AC138" s="391" t="str">
        <f>S138</f>
        <v>F_Sf</v>
      </c>
      <c r="AD138" s="391" t="str">
        <f>T138</f>
        <v>rho_PL</v>
      </c>
      <c r="AG138" s="399" t="str">
        <f t="shared" ref="AG138:AL138" si="11">AG133</f>
        <v>c_PLx</v>
      </c>
      <c r="AH138" s="399" t="str">
        <f t="shared" si="11"/>
        <v>c_PLTx</v>
      </c>
      <c r="AI138" s="399" t="str">
        <f t="shared" si="11"/>
        <v>f_IS</v>
      </c>
      <c r="AJ138" s="399" t="str">
        <f t="shared" si="11"/>
        <v>F_Sf</v>
      </c>
      <c r="AK138" s="399" t="str">
        <f t="shared" si="11"/>
        <v>rho_PL</v>
      </c>
      <c r="AL138" s="399" t="str">
        <f t="shared" si="11"/>
        <v>F_f</v>
      </c>
      <c r="AM138" s="399" t="str">
        <f t="shared" ref="AM138:AN138" si="12">AM133</f>
        <v>f_FSC</v>
      </c>
      <c r="AN138" s="399" t="str">
        <f t="shared" si="12"/>
        <v>f_Ux</v>
      </c>
      <c r="AP138" s="399" t="str">
        <f>AP133</f>
        <v>c_PLx</v>
      </c>
      <c r="AQ138" s="399" t="str">
        <f t="shared" ref="AQ138:AW138" si="13">AQ133</f>
        <v>c_PLTx</v>
      </c>
      <c r="AR138" s="399" t="str">
        <f t="shared" si="13"/>
        <v>f_IS</v>
      </c>
      <c r="AS138" s="399" t="str">
        <f t="shared" si="13"/>
        <v>F_Sf</v>
      </c>
      <c r="AT138" s="399" t="str">
        <f t="shared" si="13"/>
        <v>rho_PL</v>
      </c>
      <c r="AU138" s="399" t="str">
        <f t="shared" si="13"/>
        <v>F_f</v>
      </c>
      <c r="AV138" s="399" t="str">
        <f t="shared" si="13"/>
        <v>f_FSC</v>
      </c>
      <c r="AW138" s="399" t="str">
        <f t="shared" si="13"/>
        <v>f_Ux</v>
      </c>
    </row>
    <row r="139" spans="3:49" ht="15" x14ac:dyDescent="0.2">
      <c r="D139" s="536" t="str">
        <f>D120</f>
        <v>Xylan to Xylose</v>
      </c>
      <c r="E139" s="533"/>
      <c r="F139" s="431">
        <f>P120</f>
        <v>0.56377474272226491</v>
      </c>
      <c r="G139" s="433">
        <f>N120</f>
        <v>2.8117343470873878E-2</v>
      </c>
      <c r="H139" s="435">
        <f>R120</f>
        <v>4.9873364910079809</v>
      </c>
      <c r="J139" s="448">
        <f>V120</f>
        <v>1.8025797599967652</v>
      </c>
      <c r="K139" s="449">
        <f>W120</f>
        <v>1.6232326125948318</v>
      </c>
      <c r="L139" s="444">
        <f>X120</f>
        <v>56.492552517821778</v>
      </c>
      <c r="M139" s="447">
        <f>$L$139*H33*$F$33^2/($H$33*$F$33^2+$I$33*$Q$8^2+$J$33*($M$6*1000)^2)</f>
        <v>9.7138311500539807</v>
      </c>
      <c r="N139" s="457">
        <f>$L$139*I33*$Q$8^2/($H$33*$F$33^2+$I$33*$Q$8^2+$J$33*($M$6*1000)^2)</f>
        <v>3.3515490224782001E-2</v>
      </c>
      <c r="O139" s="443">
        <f>$L$139*J33*($M$6*1000)^2/($H$33*$F$33^2+$I$33*$Q$8^2+$J$33*($M$6*1000)^2)</f>
        <v>46.745205877543029</v>
      </c>
      <c r="P139" s="444">
        <f>Y120</f>
        <v>40.081635109586621</v>
      </c>
      <c r="Q139" s="447">
        <f>$P$139*H76*$Q$9^2/($H$76*$Q$9^2+$I$76*$F$76^2+$J$76*$M$17^2+$K$76*$M$12^2)</f>
        <v>6.0759784262814653</v>
      </c>
      <c r="R139" s="447">
        <f>$P$139*I76*$F$76^2/($H$76*$Q$9^2+$I$76*$F$76^2+$J$76*$M$17^2+$K$76*$M$12^2)</f>
        <v>1.6294819029219945</v>
      </c>
      <c r="S139" s="443">
        <f>$P$139*J76*$M$17^2/($H$76*$Q$9^2+$I$76*$F$76^2+$J$76*$M$17^2+$K$76*$M$12^2)</f>
        <v>32.351433227959866</v>
      </c>
      <c r="T139" s="457">
        <f>$P$139*K76*$M$12^2/($H$76*$Q$9^2+$I$76*$F$76^2+$J$76*$M$17^2+$K$76*$M$12^2)</f>
        <v>2.4741552423297671E-2</v>
      </c>
      <c r="V139" s="464">
        <f>J139*$G$139/100</f>
        <v>5.0683754245474453E-4</v>
      </c>
      <c r="W139" s="464">
        <f>K139*$G$139/100</f>
        <v>4.5640988901452835E-4</v>
      </c>
      <c r="X139" s="465">
        <f>M139*$G$139/100</f>
        <v>2.7312712686414159E-3</v>
      </c>
      <c r="Y139" s="465">
        <f>N139*$G$139/100</f>
        <v>9.4236655024491143E-6</v>
      </c>
      <c r="Z139" s="465">
        <f>O139*$G$139/100</f>
        <v>1.3143510092755897E-2</v>
      </c>
      <c r="AA139" s="465">
        <f>Q139*$G$139/100</f>
        <v>1.7084037233337571E-3</v>
      </c>
      <c r="AB139" s="465">
        <f>R139*$G$139/100</f>
        <v>4.5816702344030882E-4</v>
      </c>
      <c r="AC139" s="465">
        <f>S139*$G$139/100</f>
        <v>9.0963635984558956E-3</v>
      </c>
      <c r="AD139" s="465">
        <f>T139*$G$139/100</f>
        <v>6.9566672748849261E-6</v>
      </c>
      <c r="AG139" s="465">
        <f>V139</f>
        <v>5.0683754245474453E-4</v>
      </c>
      <c r="AH139" s="465">
        <f>W139+AB139</f>
        <v>9.1457691245483723E-4</v>
      </c>
      <c r="AI139" s="465">
        <f>AA139</f>
        <v>1.7084037233337571E-3</v>
      </c>
      <c r="AJ139" s="465">
        <f>AC139</f>
        <v>9.0963635984558956E-3</v>
      </c>
      <c r="AK139" s="465">
        <f>AD139</f>
        <v>6.9566672748849261E-6</v>
      </c>
      <c r="AL139" s="465">
        <f>Z139</f>
        <v>1.3143510092755897E-2</v>
      </c>
      <c r="AM139" s="465">
        <f>Y139</f>
        <v>9.4236655024491143E-6</v>
      </c>
      <c r="AN139" s="465">
        <f>X139</f>
        <v>2.7312712686414159E-3</v>
      </c>
      <c r="AP139" s="465">
        <f>J139</f>
        <v>1.8025797599967652</v>
      </c>
      <c r="AQ139" s="466">
        <f>K139+R139</f>
        <v>3.2527145155168262</v>
      </c>
      <c r="AR139" s="470">
        <f>Q139</f>
        <v>6.0759784262814653</v>
      </c>
      <c r="AS139" s="471">
        <f>S139</f>
        <v>32.351433227959866</v>
      </c>
      <c r="AT139" s="469">
        <f>T139</f>
        <v>2.4741552423297671E-2</v>
      </c>
      <c r="AU139" s="469">
        <f>O139</f>
        <v>46.745205877543029</v>
      </c>
      <c r="AV139" s="465">
        <f>N139</f>
        <v>3.3515490224782001E-2</v>
      </c>
      <c r="AW139" s="465">
        <f>M139</f>
        <v>9.7138311500539807</v>
      </c>
    </row>
    <row r="140" spans="3:49" x14ac:dyDescent="0.2">
      <c r="AH140" s="429"/>
      <c r="AI140" s="429"/>
      <c r="AJ140" s="429"/>
      <c r="AK140" s="429"/>
      <c r="AL140" s="429"/>
      <c r="AM140" s="429"/>
      <c r="AN140" s="429"/>
      <c r="AP140" s="370"/>
      <c r="AR140" s="370"/>
      <c r="AS140" s="370"/>
    </row>
    <row r="141" spans="3:49" x14ac:dyDescent="0.2">
      <c r="C141" s="366"/>
      <c r="F141" s="478" t="s">
        <v>619</v>
      </c>
      <c r="G141" s="478" t="s">
        <v>618</v>
      </c>
      <c r="H141" s="478" t="s">
        <v>622</v>
      </c>
      <c r="K141" s="303"/>
      <c r="L141" s="480" t="s">
        <v>48</v>
      </c>
      <c r="M141" s="477" t="s">
        <v>629</v>
      </c>
      <c r="N141" s="476"/>
      <c r="O141" s="476"/>
      <c r="P141" s="480" t="s">
        <v>597</v>
      </c>
      <c r="Q141" s="477" t="s">
        <v>631</v>
      </c>
      <c r="R141" s="476"/>
      <c r="S141" s="476"/>
      <c r="T141" s="476"/>
      <c r="X141" s="477" t="s">
        <v>630</v>
      </c>
      <c r="Y141" s="476"/>
      <c r="Z141" s="476"/>
      <c r="AA141" s="477" t="s">
        <v>654</v>
      </c>
      <c r="AB141" s="476"/>
      <c r="AC141" s="476"/>
      <c r="AD141" s="476"/>
      <c r="AP141" s="370"/>
      <c r="AR141" s="370"/>
      <c r="AS141" s="370"/>
    </row>
    <row r="142" spans="3:49" x14ac:dyDescent="0.2">
      <c r="F142" s="478"/>
      <c r="G142" s="478"/>
      <c r="H142" s="478"/>
      <c r="J142" s="408" t="s">
        <v>45</v>
      </c>
      <c r="K142" s="408" t="s">
        <v>46</v>
      </c>
      <c r="L142" s="480"/>
      <c r="M142" s="407" t="s">
        <v>564</v>
      </c>
      <c r="N142" s="407" t="s">
        <v>142</v>
      </c>
      <c r="O142" s="407" t="s">
        <v>565</v>
      </c>
      <c r="P142" s="480"/>
      <c r="Q142" s="407" t="s">
        <v>546</v>
      </c>
      <c r="R142" s="407" t="s">
        <v>46</v>
      </c>
      <c r="S142" s="407" t="s">
        <v>562</v>
      </c>
      <c r="T142" s="407" t="s">
        <v>577</v>
      </c>
      <c r="V142" s="391" t="str">
        <f>J142</f>
        <v>c_PLx</v>
      </c>
      <c r="W142" s="391" t="str">
        <f>K142</f>
        <v>c_PLTx</v>
      </c>
      <c r="X142" s="391" t="str">
        <f>M142</f>
        <v>f_Ux</v>
      </c>
      <c r="Y142" s="391" t="str">
        <f>N142</f>
        <v>f_FSC</v>
      </c>
      <c r="Z142" s="391" t="str">
        <f>O142</f>
        <v>F_f</v>
      </c>
      <c r="AA142" s="391" t="str">
        <f>Q142</f>
        <v>f_IS</v>
      </c>
      <c r="AB142" s="391" t="str">
        <f>R142</f>
        <v>c_PLTx</v>
      </c>
      <c r="AC142" s="391" t="str">
        <f>S142</f>
        <v>F_Sf</v>
      </c>
      <c r="AD142" s="391" t="str">
        <f>T142</f>
        <v>rho_PL</v>
      </c>
      <c r="AG142" s="399" t="str">
        <f>AG133</f>
        <v>c_PLx</v>
      </c>
      <c r="AH142" s="399" t="str">
        <f t="shared" ref="AH142:AN142" si="14">AH133</f>
        <v>c_PLTx</v>
      </c>
      <c r="AI142" s="399" t="str">
        <f t="shared" si="14"/>
        <v>f_IS</v>
      </c>
      <c r="AJ142" s="399" t="str">
        <f t="shared" si="14"/>
        <v>F_Sf</v>
      </c>
      <c r="AK142" s="399" t="str">
        <f t="shared" si="14"/>
        <v>rho_PL</v>
      </c>
      <c r="AL142" s="399" t="str">
        <f t="shared" si="14"/>
        <v>F_f</v>
      </c>
      <c r="AM142" s="399" t="str">
        <f t="shared" si="14"/>
        <v>f_FSC</v>
      </c>
      <c r="AN142" s="399" t="str">
        <f t="shared" si="14"/>
        <v>f_Ux</v>
      </c>
      <c r="AP142" s="399" t="str">
        <f>AP133</f>
        <v>c_PLx</v>
      </c>
      <c r="AQ142" s="399" t="str">
        <f t="shared" ref="AQ142:AW142" si="15">AQ133</f>
        <v>c_PLTx</v>
      </c>
      <c r="AR142" s="399" t="str">
        <f t="shared" si="15"/>
        <v>f_IS</v>
      </c>
      <c r="AS142" s="399" t="str">
        <f t="shared" si="15"/>
        <v>F_Sf</v>
      </c>
      <c r="AT142" s="399" t="str">
        <f t="shared" si="15"/>
        <v>rho_PL</v>
      </c>
      <c r="AU142" s="399" t="str">
        <f t="shared" si="15"/>
        <v>F_f</v>
      </c>
      <c r="AV142" s="399" t="str">
        <f t="shared" si="15"/>
        <v>f_FSC</v>
      </c>
      <c r="AW142" s="399" t="str">
        <f t="shared" si="15"/>
        <v>f_Ux</v>
      </c>
    </row>
    <row r="143" spans="3:49" ht="15" x14ac:dyDescent="0.2">
      <c r="D143" s="484" t="str">
        <f>D123</f>
        <v>Galactan to Galactose</v>
      </c>
      <c r="E143" s="512"/>
      <c r="F143" s="431">
        <f>P123</f>
        <v>0.80785029215497717</v>
      </c>
      <c r="G143" s="433">
        <f>N123</f>
        <v>9.2223023113297622E-2</v>
      </c>
      <c r="H143" s="437">
        <f>R123</f>
        <v>11.415855636728006</v>
      </c>
      <c r="J143" s="445">
        <f>V123</f>
        <v>48.381437059609546</v>
      </c>
      <c r="K143" s="454">
        <f>W123</f>
        <v>0.62258536931312014</v>
      </c>
      <c r="L143" s="441">
        <f>X123</f>
        <v>43.031924647107623</v>
      </c>
      <c r="M143" s="443">
        <f>$L$143*H32*$F$32^2/($H$32*$F$32^2+$I$32*$Q$8^2+$J$32*($M$6*1000)^2)</f>
        <v>34.103625113871864</v>
      </c>
      <c r="N143" s="459">
        <f>$L$143*I32*$Q$8^2/($H$32*$F$32^2+$I$32*$Q$8^2+$J$32*($M$6*1000)^2)</f>
        <v>6.3968472626161387E-3</v>
      </c>
      <c r="O143" s="447">
        <f>$L$143*J32*($M$6*1000)^2/($H$32*$F$32^2+$I$32*$Q$8^2+$J$32*($M$6*1000)^2)</f>
        <v>8.9219026859731354</v>
      </c>
      <c r="P143" s="451">
        <f>Y123</f>
        <v>7.9640529239696978</v>
      </c>
      <c r="Q143" s="446">
        <f>$P$143*H75*$Q$9^2/($H$75*$Q$9^2+$I$75*$F$75^2+$J$75*$M$17^2+$K$75*$M$12^2)</f>
        <v>1.159675890258475</v>
      </c>
      <c r="R143" s="453">
        <f>$P$143*I75*$F$75^2/($H$75*$Q$9^2+$I$75*$F$75^2+$J$75*$M$17^2+$K$75*$M$12^2)</f>
        <v>0.62498226344652597</v>
      </c>
      <c r="S143" s="446">
        <f>$P$143*J75*$M$17^2/($H$75*$Q$9^2+$I$75*$F$75^2+$J$75*$M$17^2+$K$75*$M$12^2)</f>
        <v>6.1746725379228655</v>
      </c>
      <c r="T143" s="460">
        <f>$P$143*K75*$M$12^2/($H$75*$Q$9^2+$I$75*$F$75^2+$J$75*$M$17^2+$K$75*$M$12^2)</f>
        <v>4.7222323418327598E-3</v>
      </c>
      <c r="V143" s="464">
        <f>J143*$G$143/100</f>
        <v>4.461882388202925E-2</v>
      </c>
      <c r="W143" s="464">
        <f>K143*$G$143/100</f>
        <v>5.7416704904164823E-4</v>
      </c>
      <c r="X143" s="465">
        <f>M143*$G$143/100</f>
        <v>3.1451394071238419E-2</v>
      </c>
      <c r="Y143" s="465">
        <f>N143*$G$143/100</f>
        <v>5.8993659295248277E-6</v>
      </c>
      <c r="Z143" s="465">
        <f>O143*$G$143/100</f>
        <v>8.2280483762309266E-3</v>
      </c>
      <c r="AA143" s="465">
        <f>Q143*$G$143/100</f>
        <v>1.0694881643124135E-3</v>
      </c>
      <c r="AB143" s="465">
        <f>R143*$G$143/100</f>
        <v>5.7637753727230031E-4</v>
      </c>
      <c r="AC143" s="465">
        <f>S143*$G$143/100</f>
        <v>5.6944696818190454E-3</v>
      </c>
      <c r="AD143" s="465">
        <f>T143*$G$143/100</f>
        <v>4.3549854240720413E-6</v>
      </c>
      <c r="AG143" s="465">
        <f>V143</f>
        <v>4.461882388202925E-2</v>
      </c>
      <c r="AH143" s="465">
        <f>W143+AB143</f>
        <v>1.1505445863139487E-3</v>
      </c>
      <c r="AI143" s="465">
        <f>AA143</f>
        <v>1.0694881643124135E-3</v>
      </c>
      <c r="AJ143" s="465">
        <f>AC143</f>
        <v>5.6944696818190454E-3</v>
      </c>
      <c r="AK143" s="465">
        <f>AD143</f>
        <v>4.3549854240720413E-6</v>
      </c>
      <c r="AL143" s="465">
        <f>Z143</f>
        <v>8.2280483762309266E-3</v>
      </c>
      <c r="AM143" s="465">
        <f>Y143</f>
        <v>5.8993659295248277E-6</v>
      </c>
      <c r="AN143" s="465">
        <f>X143</f>
        <v>3.1451394071238419E-2</v>
      </c>
      <c r="AP143" s="465">
        <f t="shared" ref="AP143:AP159" si="16">J143</f>
        <v>48.381437059609546</v>
      </c>
      <c r="AQ143" s="472">
        <f>K143+R143</f>
        <v>1.2475676327596461</v>
      </c>
      <c r="AR143" s="473">
        <f>Q143</f>
        <v>1.159675890258475</v>
      </c>
      <c r="AS143" s="474">
        <f>S143</f>
        <v>6.1746725379228655</v>
      </c>
      <c r="AT143" s="469">
        <f>T143</f>
        <v>4.7222323418327598E-3</v>
      </c>
      <c r="AU143" s="469">
        <f>O143</f>
        <v>8.9219026859731354</v>
      </c>
      <c r="AV143" s="465">
        <f>N143</f>
        <v>6.3968472626161387E-3</v>
      </c>
      <c r="AW143" s="465">
        <f>M143</f>
        <v>34.103625113871864</v>
      </c>
    </row>
    <row r="144" spans="3:49" x14ac:dyDescent="0.2">
      <c r="AP144" s="370"/>
      <c r="AR144" s="370"/>
      <c r="AS144" s="370"/>
    </row>
    <row r="145" spans="4:49" ht="12.75" customHeight="1" x14ac:dyDescent="0.2">
      <c r="F145" s="478" t="s">
        <v>619</v>
      </c>
      <c r="G145" s="478" t="s">
        <v>618</v>
      </c>
      <c r="H145" s="479" t="s">
        <v>622</v>
      </c>
      <c r="L145" s="488" t="s">
        <v>48</v>
      </c>
      <c r="M145" s="477" t="s">
        <v>633</v>
      </c>
      <c r="N145" s="476"/>
      <c r="O145" s="476"/>
      <c r="P145" s="488" t="s">
        <v>597</v>
      </c>
      <c r="Q145" s="477" t="s">
        <v>632</v>
      </c>
      <c r="R145" s="477"/>
      <c r="S145" s="477"/>
      <c r="T145" s="477"/>
      <c r="X145" s="477" t="s">
        <v>630</v>
      </c>
      <c r="Y145" s="476"/>
      <c r="Z145" s="476"/>
      <c r="AA145" s="477" t="s">
        <v>654</v>
      </c>
      <c r="AB145" s="476"/>
      <c r="AC145" s="476"/>
      <c r="AD145" s="476"/>
      <c r="AP145" s="370"/>
      <c r="AR145" s="370"/>
      <c r="AS145" s="370"/>
    </row>
    <row r="146" spans="4:49" x14ac:dyDescent="0.2">
      <c r="F146" s="479"/>
      <c r="G146" s="478"/>
      <c r="H146" s="479"/>
      <c r="J146" s="408" t="s">
        <v>45</v>
      </c>
      <c r="K146" s="408" t="s">
        <v>46</v>
      </c>
      <c r="L146" s="480"/>
      <c r="M146" s="407" t="s">
        <v>564</v>
      </c>
      <c r="N146" s="407" t="s">
        <v>142</v>
      </c>
      <c r="O146" s="407" t="s">
        <v>565</v>
      </c>
      <c r="P146" s="480"/>
      <c r="Q146" s="407" t="s">
        <v>546</v>
      </c>
      <c r="R146" s="407" t="s">
        <v>46</v>
      </c>
      <c r="S146" s="407" t="s">
        <v>562</v>
      </c>
      <c r="T146" s="407" t="s">
        <v>577</v>
      </c>
      <c r="V146" s="391" t="str">
        <f>J146</f>
        <v>c_PLx</v>
      </c>
      <c r="W146" s="391" t="str">
        <f>K146</f>
        <v>c_PLTx</v>
      </c>
      <c r="X146" s="391" t="str">
        <f>M146</f>
        <v>f_Ux</v>
      </c>
      <c r="Y146" s="391" t="str">
        <f>N146</f>
        <v>f_FSC</v>
      </c>
      <c r="Z146" s="391" t="str">
        <f>O146</f>
        <v>F_f</v>
      </c>
      <c r="AA146" s="391" t="str">
        <f>Q146</f>
        <v>f_IS</v>
      </c>
      <c r="AB146" s="391" t="str">
        <f>R146</f>
        <v>c_PLTx</v>
      </c>
      <c r="AC146" s="391" t="str">
        <f>S146</f>
        <v>F_Sf</v>
      </c>
      <c r="AD146" s="391" t="str">
        <f>T146</f>
        <v>rho_PL</v>
      </c>
      <c r="AG146" s="399" t="str">
        <f>AG133</f>
        <v>c_PLx</v>
      </c>
      <c r="AH146" s="399" t="str">
        <f t="shared" ref="AH146:AN146" si="17">AH133</f>
        <v>c_PLTx</v>
      </c>
      <c r="AI146" s="399" t="str">
        <f t="shared" si="17"/>
        <v>f_IS</v>
      </c>
      <c r="AJ146" s="399" t="str">
        <f t="shared" si="17"/>
        <v>F_Sf</v>
      </c>
      <c r="AK146" s="399" t="str">
        <f t="shared" si="17"/>
        <v>rho_PL</v>
      </c>
      <c r="AL146" s="399" t="str">
        <f t="shared" si="17"/>
        <v>F_f</v>
      </c>
      <c r="AM146" s="399" t="str">
        <f t="shared" si="17"/>
        <v>f_FSC</v>
      </c>
      <c r="AN146" s="399" t="str">
        <f t="shared" si="17"/>
        <v>f_Ux</v>
      </c>
      <c r="AP146" s="399" t="str">
        <f>AP133</f>
        <v>c_PLx</v>
      </c>
      <c r="AQ146" s="399" t="str">
        <f t="shared" ref="AQ146:AW146" si="18">AQ133</f>
        <v>c_PLTx</v>
      </c>
      <c r="AR146" s="399" t="str">
        <f t="shared" si="18"/>
        <v>f_IS</v>
      </c>
      <c r="AS146" s="399" t="str">
        <f t="shared" si="18"/>
        <v>F_Sf</v>
      </c>
      <c r="AT146" s="399" t="str">
        <f t="shared" si="18"/>
        <v>rho_PL</v>
      </c>
      <c r="AU146" s="399" t="str">
        <f t="shared" si="18"/>
        <v>F_f</v>
      </c>
      <c r="AV146" s="399" t="str">
        <f t="shared" si="18"/>
        <v>f_FSC</v>
      </c>
      <c r="AW146" s="399" t="str">
        <f t="shared" si="18"/>
        <v>f_Ux</v>
      </c>
    </row>
    <row r="147" spans="4:49" ht="15" x14ac:dyDescent="0.2">
      <c r="D147" s="482" t="str">
        <f>D125</f>
        <v>Arabinan to Arabinose</v>
      </c>
      <c r="E147" s="483"/>
      <c r="F147" s="431">
        <f>P125</f>
        <v>0.82027926408647867</v>
      </c>
      <c r="G147" s="433">
        <f>N125</f>
        <v>7.5609432941097135E-2</v>
      </c>
      <c r="H147" s="436">
        <f>R125</f>
        <v>9.2175233791020155</v>
      </c>
      <c r="J147" s="450">
        <f>V125</f>
        <v>2.4544288461621884</v>
      </c>
      <c r="K147" s="450">
        <f>W125</f>
        <v>1.4718523826387391</v>
      </c>
      <c r="L147" s="441">
        <f>X125</f>
        <v>83.339022508259887</v>
      </c>
      <c r="M147" s="442">
        <f>$L$147*H$34*$F$34^2/($H$34*$F$34^2+$I$34*$Q$8^2+$J$34*($M$6*1000)^2)</f>
        <v>69.644175261209881</v>
      </c>
      <c r="N147" s="459">
        <f>$L$147*I$34*$Q$8^2/($H$34*$F$34^2+$I$34*$Q$8^2+$J$34*($M$6*1000)^2)</f>
        <v>9.8119295615174094E-3</v>
      </c>
      <c r="O147" s="443">
        <f>$L$147*J$34*($M$6*1000)^2/($H$34*$F$34^2+$I$34*$Q$8^2+$J$34*($M$6*1000)^2)</f>
        <v>13.685035317488486</v>
      </c>
      <c r="P147" s="441">
        <f>Y125</f>
        <v>12.734696262939195</v>
      </c>
      <c r="Q147" s="447">
        <f>$P$147*H$77*$Q$9^2/($H$77*$Q$9^2+$I$77*$F$77^2+$J$77*$M$17^2+$K$77*$M$12^2)</f>
        <v>1.7787915956512279</v>
      </c>
      <c r="R147" s="447">
        <f>$P$147*I$77*$F$77^2/($H$77*$Q$9^2+$I$77*$F$77^2+$J$77*$M$17^2+$K$77*$M$12^2)</f>
        <v>1.4775188735572109</v>
      </c>
      <c r="S147" s="447">
        <f>$P$147*J$77*$M$17^2/($H$77*$Q$9^2+$I$77*$F$77^2+$J$77*$M$17^2+$K$77*$M$12^2)</f>
        <v>9.4711425050904339</v>
      </c>
      <c r="T147" s="459">
        <f>$P$147*K$77*$M$12^2/($H$77*$Q$9^2+$I$77*$F$77^2+$J$77*$M$17^2+$K$77*$M$12^2)</f>
        <v>7.2432886403220129E-3</v>
      </c>
      <c r="V147" s="464">
        <f>J147*$G$147/100</f>
        <v>1.8557797325259439E-3</v>
      </c>
      <c r="W147" s="464">
        <f>K147*$G$147/100</f>
        <v>1.1128592402431777E-3</v>
      </c>
      <c r="X147" s="465">
        <f>M147*$G$147/100</f>
        <v>5.2657565991504646E-2</v>
      </c>
      <c r="Y147" s="465">
        <f>N147*$G$147/100</f>
        <v>7.4187443020431925E-6</v>
      </c>
      <c r="Z147" s="465">
        <f>O147*$G$147/100</f>
        <v>1.0347177601341916E-2</v>
      </c>
      <c r="AA147" s="465">
        <f>Q147*$G$147/100</f>
        <v>1.3449342386757867E-3</v>
      </c>
      <c r="AB147" s="465">
        <f>R147*$G$147/100</f>
        <v>1.1171436418942931E-3</v>
      </c>
      <c r="AC147" s="465">
        <f>S147*$G$147/100</f>
        <v>7.1610771411420989E-3</v>
      </c>
      <c r="AD147" s="465">
        <f>T147*$G$147/100</f>
        <v>5.476609467234379E-6</v>
      </c>
      <c r="AG147" s="465">
        <f>V147</f>
        <v>1.8557797325259439E-3</v>
      </c>
      <c r="AH147" s="465">
        <f>W147+AB147</f>
        <v>2.2300028821374707E-3</v>
      </c>
      <c r="AI147" s="465">
        <f>AA147</f>
        <v>1.3449342386757867E-3</v>
      </c>
      <c r="AJ147" s="465">
        <f>AC147</f>
        <v>7.1610771411420989E-3</v>
      </c>
      <c r="AK147" s="465">
        <f>AD147</f>
        <v>5.476609467234379E-6</v>
      </c>
      <c r="AL147" s="465">
        <f>Z147</f>
        <v>1.0347177601341916E-2</v>
      </c>
      <c r="AM147" s="465">
        <f>Y147</f>
        <v>7.4187443020431925E-6</v>
      </c>
      <c r="AN147" s="465">
        <f>X147</f>
        <v>5.2657565991504646E-2</v>
      </c>
      <c r="AP147" s="465">
        <f t="shared" si="16"/>
        <v>2.4544288461621884</v>
      </c>
      <c r="AQ147" s="472">
        <f>K147+R147</f>
        <v>2.94937125619595</v>
      </c>
      <c r="AR147" s="467">
        <f>Q147</f>
        <v>1.7787915956512279</v>
      </c>
      <c r="AS147" s="471">
        <f>S147</f>
        <v>9.4711425050904339</v>
      </c>
      <c r="AT147" s="469">
        <f>T147</f>
        <v>7.2432886403220129E-3</v>
      </c>
      <c r="AU147" s="469">
        <f>O147</f>
        <v>13.685035317488486</v>
      </c>
      <c r="AV147" s="465">
        <f>N147</f>
        <v>9.8119295615174094E-3</v>
      </c>
      <c r="AW147" s="465">
        <f>M147</f>
        <v>69.644175261209881</v>
      </c>
    </row>
    <row r="148" spans="4:49" x14ac:dyDescent="0.2">
      <c r="G148" s="403"/>
      <c r="AP148" s="370"/>
      <c r="AR148" s="370"/>
      <c r="AS148" s="370"/>
    </row>
    <row r="149" spans="4:49" x14ac:dyDescent="0.2">
      <c r="AP149" s="370"/>
      <c r="AR149" s="370"/>
      <c r="AS149" s="370"/>
    </row>
    <row r="150" spans="4:49" x14ac:dyDescent="0.2">
      <c r="D150" s="484" t="str">
        <f>D117</f>
        <v>Cellulose to Glucose</v>
      </c>
      <c r="E150" s="485"/>
      <c r="F150" s="563" t="s">
        <v>86</v>
      </c>
      <c r="G150" s="500"/>
      <c r="H150" s="500"/>
      <c r="I150" s="500"/>
      <c r="J150" s="500"/>
      <c r="K150" s="500"/>
      <c r="L150" s="500"/>
      <c r="M150" s="500"/>
      <c r="N150" s="500"/>
      <c r="O150" s="500"/>
      <c r="P150" s="500"/>
      <c r="Q150" s="500"/>
      <c r="R150" s="500"/>
      <c r="S150" s="500"/>
      <c r="T150" s="500"/>
      <c r="U150" s="500"/>
      <c r="V150" s="500"/>
      <c r="W150" s="500"/>
      <c r="X150" s="500"/>
      <c r="Y150" s="500"/>
      <c r="Z150" s="500"/>
      <c r="AA150" s="500"/>
      <c r="AB150" s="500"/>
      <c r="AC150" s="500"/>
      <c r="AD150" s="500"/>
      <c r="AE150" s="500"/>
      <c r="AF150" s="500"/>
      <c r="AG150" s="500"/>
      <c r="AH150" s="500"/>
      <c r="AI150" s="500"/>
      <c r="AJ150" s="500"/>
      <c r="AK150" s="500"/>
      <c r="AL150" s="500"/>
      <c r="AM150" s="500"/>
      <c r="AN150" s="500"/>
      <c r="AO150" s="500"/>
      <c r="AP150" s="500"/>
      <c r="AQ150" s="500"/>
      <c r="AR150" s="500"/>
      <c r="AS150" s="500"/>
      <c r="AT150" s="500"/>
      <c r="AU150" s="500"/>
      <c r="AV150" s="500"/>
      <c r="AW150" s="500"/>
    </row>
    <row r="151" spans="4:49" x14ac:dyDescent="0.2">
      <c r="AP151" s="370"/>
      <c r="AR151" s="370"/>
      <c r="AS151" s="370"/>
    </row>
    <row r="152" spans="4:49" x14ac:dyDescent="0.2">
      <c r="F152" s="478" t="s">
        <v>619</v>
      </c>
      <c r="G152" s="478" t="s">
        <v>618</v>
      </c>
      <c r="H152" s="479" t="s">
        <v>622</v>
      </c>
      <c r="L152" s="480" t="s">
        <v>634</v>
      </c>
      <c r="M152" s="477" t="s">
        <v>625</v>
      </c>
      <c r="N152" s="477"/>
      <c r="O152" s="477"/>
      <c r="P152" s="477"/>
      <c r="Q152" s="477"/>
      <c r="R152" s="477"/>
      <c r="S152" s="477"/>
      <c r="X152" s="475" t="s">
        <v>628</v>
      </c>
      <c r="Y152" s="476"/>
      <c r="Z152" s="476"/>
      <c r="AA152" s="476"/>
      <c r="AB152" s="476"/>
      <c r="AC152" s="476"/>
      <c r="AD152" s="476"/>
      <c r="AP152" s="370"/>
      <c r="AR152" s="370"/>
      <c r="AS152" s="370"/>
    </row>
    <row r="153" spans="4:49" x14ac:dyDescent="0.2">
      <c r="F153" s="479"/>
      <c r="G153" s="478"/>
      <c r="H153" s="479"/>
      <c r="J153" s="407" t="s">
        <v>45</v>
      </c>
      <c r="K153" s="407" t="s">
        <v>46</v>
      </c>
      <c r="L153" s="481"/>
      <c r="M153" s="408" t="s">
        <v>546</v>
      </c>
      <c r="N153" s="408" t="s">
        <v>104</v>
      </c>
      <c r="O153" s="408" t="s">
        <v>562</v>
      </c>
      <c r="P153" s="408" t="s">
        <v>577</v>
      </c>
      <c r="Q153" s="408" t="s">
        <v>565</v>
      </c>
      <c r="R153" s="408" t="s">
        <v>142</v>
      </c>
      <c r="S153" s="408" t="s">
        <v>564</v>
      </c>
      <c r="V153" s="391" t="str">
        <f>J153</f>
        <v>c_PLx</v>
      </c>
      <c r="W153" s="391" t="str">
        <f>K153</f>
        <v>c_PLTx</v>
      </c>
      <c r="X153" s="391" t="str">
        <f t="shared" ref="X153:AD153" si="19">M153</f>
        <v>f_IS</v>
      </c>
      <c r="Y153" s="391" t="str">
        <f t="shared" si="19"/>
        <v>c_PLTA</v>
      </c>
      <c r="Z153" s="391" t="str">
        <f t="shared" si="19"/>
        <v>F_Sf</v>
      </c>
      <c r="AA153" s="391" t="str">
        <f t="shared" si="19"/>
        <v>rho_PL</v>
      </c>
      <c r="AB153" s="391" t="str">
        <f t="shared" si="19"/>
        <v>F_f</v>
      </c>
      <c r="AC153" s="391" t="str">
        <f t="shared" si="19"/>
        <v>f_FSC</v>
      </c>
      <c r="AD153" s="391" t="str">
        <f t="shared" si="19"/>
        <v>f_Ux</v>
      </c>
      <c r="AG153" s="399" t="str">
        <f>AG133</f>
        <v>c_PLx</v>
      </c>
      <c r="AH153" s="399" t="str">
        <f t="shared" ref="AH153:AN153" si="20">AH133</f>
        <v>c_PLTx</v>
      </c>
      <c r="AI153" s="399" t="str">
        <f t="shared" si="20"/>
        <v>f_IS</v>
      </c>
      <c r="AJ153" s="399" t="str">
        <f t="shared" si="20"/>
        <v>F_Sf</v>
      </c>
      <c r="AK153" s="399" t="str">
        <f t="shared" si="20"/>
        <v>rho_PL</v>
      </c>
      <c r="AL153" s="399" t="str">
        <f t="shared" si="20"/>
        <v>F_f</v>
      </c>
      <c r="AM153" s="399" t="str">
        <f t="shared" si="20"/>
        <v>f_FSC</v>
      </c>
      <c r="AN153" s="399" t="str">
        <f t="shared" si="20"/>
        <v>f_Ux</v>
      </c>
      <c r="AP153" s="399" t="str">
        <f>AP133</f>
        <v>c_PLx</v>
      </c>
      <c r="AQ153" s="399" t="str">
        <f t="shared" ref="AQ153:AW153" si="21">AQ133</f>
        <v>c_PLTx</v>
      </c>
      <c r="AR153" s="399" t="str">
        <f t="shared" si="21"/>
        <v>f_IS</v>
      </c>
      <c r="AS153" s="399" t="str">
        <f t="shared" si="21"/>
        <v>F_Sf</v>
      </c>
      <c r="AT153" s="399" t="str">
        <f t="shared" si="21"/>
        <v>rho_PL</v>
      </c>
      <c r="AU153" s="399" t="str">
        <f t="shared" si="21"/>
        <v>F_f</v>
      </c>
      <c r="AV153" s="399" t="str">
        <f t="shared" si="21"/>
        <v>f_FSC</v>
      </c>
      <c r="AW153" s="399" t="str">
        <f t="shared" si="21"/>
        <v>f_Ux</v>
      </c>
    </row>
    <row r="154" spans="4:49" ht="15" x14ac:dyDescent="0.2">
      <c r="D154" s="486" t="str">
        <f>D124</f>
        <v>Arabinan to Oligomeric Arabinose</v>
      </c>
      <c r="E154" s="487"/>
      <c r="F154" s="402">
        <f>P124</f>
        <v>-3.0380713484684418E-2</v>
      </c>
      <c r="G154" s="434">
        <f>N124</f>
        <v>1.5232063594302991E-2</v>
      </c>
      <c r="H154" s="438">
        <f>R124</f>
        <v>-50.137280686254485</v>
      </c>
      <c r="J154" s="445">
        <f>V124</f>
        <v>60.476259211420427</v>
      </c>
      <c r="K154" s="445">
        <f>W124+N154</f>
        <v>36.31586147409746</v>
      </c>
      <c r="L154" s="451">
        <f>T124</f>
        <v>3.2578183306566451</v>
      </c>
      <c r="M154" s="458">
        <f>$L$154*K101*$Q$9^2/($K$101*$Q$9^2+$L$101*$I$101^2+$M$101*$M$17^2+$N$101*$M$12^2+$O$101*$M$6^2+$P$101*$Q$8^2+$Q$101*$F$101^2)</f>
        <v>6.0121805451119496E-2</v>
      </c>
      <c r="N154" s="458">
        <f>$L$154*L101*$I$101^2/($K$101*$Q$9^2+$L$101*$I$101^2+$M$101*$M$17^2+$N$101*$M$12^2+$O$101*$M$6^2+$P$101*$Q$8^2+$Q$101*$F$101^2)</f>
        <v>4.9939016174540746E-2</v>
      </c>
      <c r="O154" s="453">
        <f>$L$154*M101*$M$17^2/($K$101*$Q$9^2+$L$101*$I$101^2+$M$101*$M$17^2+$N$101*$M$12^2+$O$101*$M$6^2+$P$101*$Q$8^2+$Q$101*$F$101^2)</f>
        <v>0.32011742605653926</v>
      </c>
      <c r="P154" s="456">
        <f>$L$154*N101*$M$12^2/($K$101*$Q$9^2+$L$101*$I$101^2+$M$101*$M$17^2+$N$101*$M$12^2+$O$101*$M$6^2+$P$101*$Q$8^2+$Q$101*$F$101^2)</f>
        <v>2.448176568432188E-10</v>
      </c>
      <c r="Q154" s="453">
        <f>$L$154*O101*$M$6^2/($K$101*$Q$9^2+$L$101*$I$101^2+$M$101*$M$17^2+$N$101*$M$12^2+$O$101*$M$6^2+$P$101*$Q$8^2+$Q$101*$F$101^2)</f>
        <v>0.46432455328433619</v>
      </c>
      <c r="R154" s="461">
        <f>$L$154*P101*$Q$8^2/($K$101*$Q$9^2+$L$101*$I$101^2+$M$101*$M$17^2+$N$101*$M$12^2+$O$101*$M$6^2+$P$101*$Q$8^2+$Q$101*$F$101^2)</f>
        <v>3.3291253583297731E-4</v>
      </c>
      <c r="S154" s="446">
        <f>$L$154*Q101*$F$101^2/($K$101*$Q$9^2+$L$101*$I$101^2+$M$101*$M$17^2+$N$101*$M$12^2+$O$101*$M$6^2+$P$101*$Q$8^2+$Q$101*$F$101^2)</f>
        <v>2.3629826169094588</v>
      </c>
      <c r="V154" s="464">
        <f>J154*$G$154/100</f>
        <v>9.2117822625390807E-3</v>
      </c>
      <c r="W154" s="464">
        <f>K154*$G$154/100</f>
        <v>5.5316551145535046E-3</v>
      </c>
      <c r="X154" s="465">
        <f t="shared" ref="X154:AD154" si="22">M154*$G$154/100</f>
        <v>9.1577916403576444E-6</v>
      </c>
      <c r="Y154" s="465">
        <f t="shared" si="22"/>
        <v>7.6067427020753034E-6</v>
      </c>
      <c r="Z154" s="465">
        <f t="shared" si="22"/>
        <v>4.8760489913377912E-5</v>
      </c>
      <c r="AA154" s="465">
        <f t="shared" si="22"/>
        <v>3.729078118044156E-14</v>
      </c>
      <c r="AB154" s="465">
        <f t="shared" si="22"/>
        <v>7.0726211240233368E-5</v>
      </c>
      <c r="AC154" s="465">
        <f t="shared" si="22"/>
        <v>5.0709449171485832E-8</v>
      </c>
      <c r="AD154" s="465">
        <f t="shared" si="22"/>
        <v>3.5993101492997378E-4</v>
      </c>
      <c r="AG154" s="465">
        <f>V154</f>
        <v>9.2117822625390807E-3</v>
      </c>
      <c r="AH154" s="465">
        <f>W154+Y154</f>
        <v>5.5392618572555801E-3</v>
      </c>
      <c r="AI154" s="465">
        <f>X154</f>
        <v>9.1577916403576444E-6</v>
      </c>
      <c r="AJ154" s="465">
        <f>Z154</f>
        <v>4.8760489913377912E-5</v>
      </c>
      <c r="AK154" s="465">
        <f>AA154</f>
        <v>3.729078118044156E-14</v>
      </c>
      <c r="AL154" s="465">
        <f>AB154</f>
        <v>7.0726211240233368E-5</v>
      </c>
      <c r="AM154" s="465">
        <f>AC154</f>
        <v>5.0709449171485832E-8</v>
      </c>
      <c r="AN154" s="465">
        <f>AD154</f>
        <v>3.5993101492997378E-4</v>
      </c>
      <c r="AP154" s="465">
        <f t="shared" si="16"/>
        <v>60.476259211420427</v>
      </c>
      <c r="AQ154" s="472">
        <f>K154+N154</f>
        <v>36.365800490272001</v>
      </c>
      <c r="AR154" s="473">
        <f>M154</f>
        <v>6.0121805451119496E-2</v>
      </c>
      <c r="AS154" s="471">
        <f>O154</f>
        <v>0.32011742605653926</v>
      </c>
      <c r="AT154" s="469">
        <f>P154</f>
        <v>2.448176568432188E-10</v>
      </c>
      <c r="AU154" s="469">
        <f>Q154</f>
        <v>0.46432455328433619</v>
      </c>
      <c r="AV154" s="465">
        <f>R154</f>
        <v>3.3291253583297731E-4</v>
      </c>
      <c r="AW154" s="465">
        <f>S154</f>
        <v>2.3629826169094588</v>
      </c>
    </row>
    <row r="155" spans="4:49" x14ac:dyDescent="0.2">
      <c r="J155" s="275"/>
      <c r="K155" s="275"/>
      <c r="L155" s="275"/>
      <c r="M155" s="275"/>
      <c r="N155" s="275"/>
      <c r="O155" s="275"/>
      <c r="P155" s="275"/>
      <c r="Q155" s="275"/>
      <c r="R155" s="275"/>
      <c r="S155" s="275"/>
      <c r="T155" s="275"/>
      <c r="AP155" s="370"/>
      <c r="AR155" s="370"/>
      <c r="AS155" s="370"/>
    </row>
    <row r="156" spans="4:49" x14ac:dyDescent="0.2">
      <c r="J156" s="275"/>
      <c r="K156" s="275"/>
      <c r="L156" s="275"/>
      <c r="M156" s="275"/>
      <c r="N156" s="275"/>
      <c r="O156" s="275"/>
      <c r="P156" s="275"/>
      <c r="Q156" s="275"/>
      <c r="R156" s="275"/>
      <c r="S156" s="275"/>
      <c r="T156" s="275"/>
      <c r="AP156" s="370"/>
      <c r="AR156" s="370"/>
      <c r="AS156" s="370"/>
    </row>
    <row r="157" spans="4:49" ht="12.75" customHeight="1" x14ac:dyDescent="0.2">
      <c r="F157" s="478" t="s">
        <v>619</v>
      </c>
      <c r="G157" s="478" t="s">
        <v>618</v>
      </c>
      <c r="H157" s="479" t="s">
        <v>622</v>
      </c>
      <c r="J157" s="275"/>
      <c r="K157" s="275"/>
      <c r="L157" s="480" t="s">
        <v>634</v>
      </c>
      <c r="M157" s="477" t="s">
        <v>625</v>
      </c>
      <c r="N157" s="477"/>
      <c r="O157" s="477"/>
      <c r="P157" s="477"/>
      <c r="Q157" s="477"/>
      <c r="R157" s="477"/>
      <c r="S157" s="477"/>
      <c r="T157" s="275"/>
      <c r="X157" s="475" t="s">
        <v>628</v>
      </c>
      <c r="Y157" s="476"/>
      <c r="Z157" s="476"/>
      <c r="AA157" s="476"/>
      <c r="AB157" s="476"/>
      <c r="AC157" s="476"/>
      <c r="AD157" s="476"/>
      <c r="AP157" s="370"/>
      <c r="AR157" s="370"/>
      <c r="AS157" s="370"/>
    </row>
    <row r="158" spans="4:49" x14ac:dyDescent="0.2">
      <c r="F158" s="479"/>
      <c r="G158" s="478"/>
      <c r="H158" s="479"/>
      <c r="J158" s="407" t="s">
        <v>45</v>
      </c>
      <c r="K158" s="407" t="s">
        <v>46</v>
      </c>
      <c r="L158" s="481"/>
      <c r="M158" s="408" t="s">
        <v>546</v>
      </c>
      <c r="N158" s="408" t="s">
        <v>42</v>
      </c>
      <c r="O158" s="408" t="s">
        <v>562</v>
      </c>
      <c r="P158" s="408" t="s">
        <v>577</v>
      </c>
      <c r="Q158" s="408" t="s">
        <v>565</v>
      </c>
      <c r="R158" s="408" t="s">
        <v>142</v>
      </c>
      <c r="S158" s="408" t="s">
        <v>564</v>
      </c>
      <c r="T158" s="275"/>
      <c r="V158" s="391" t="str">
        <f>J158</f>
        <v>c_PLx</v>
      </c>
      <c r="W158" s="391" t="str">
        <f>K158</f>
        <v>c_PLTx</v>
      </c>
      <c r="X158" s="391" t="str">
        <f t="shared" ref="X158:AD158" si="23">M158</f>
        <v>f_IS</v>
      </c>
      <c r="Y158" s="391" t="str">
        <f t="shared" si="23"/>
        <v>c_PLTG</v>
      </c>
      <c r="Z158" s="391" t="str">
        <f t="shared" si="23"/>
        <v>F_Sf</v>
      </c>
      <c r="AA158" s="391" t="str">
        <f t="shared" si="23"/>
        <v>rho_PL</v>
      </c>
      <c r="AB158" s="391" t="str">
        <f t="shared" si="23"/>
        <v>F_f</v>
      </c>
      <c r="AC158" s="391" t="str">
        <f t="shared" si="23"/>
        <v>f_FSC</v>
      </c>
      <c r="AD158" s="391" t="str">
        <f t="shared" si="23"/>
        <v>f_Ux</v>
      </c>
      <c r="AG158" s="399" t="str">
        <f>AG133</f>
        <v>c_PLx</v>
      </c>
      <c r="AH158" s="399" t="str">
        <f t="shared" ref="AH158:AN158" si="24">AH133</f>
        <v>c_PLTx</v>
      </c>
      <c r="AI158" s="399" t="str">
        <f t="shared" si="24"/>
        <v>f_IS</v>
      </c>
      <c r="AJ158" s="399" t="str">
        <f t="shared" si="24"/>
        <v>F_Sf</v>
      </c>
      <c r="AK158" s="399" t="str">
        <f t="shared" si="24"/>
        <v>rho_PL</v>
      </c>
      <c r="AL158" s="399" t="str">
        <f t="shared" si="24"/>
        <v>F_f</v>
      </c>
      <c r="AM158" s="399" t="str">
        <f t="shared" si="24"/>
        <v>f_FSC</v>
      </c>
      <c r="AN158" s="399" t="str">
        <f t="shared" si="24"/>
        <v>f_Ux</v>
      </c>
      <c r="AP158" s="399" t="str">
        <f>AP133</f>
        <v>c_PLx</v>
      </c>
      <c r="AQ158" s="399" t="str">
        <f t="shared" ref="AQ158:AW158" si="25">AQ133</f>
        <v>c_PLTx</v>
      </c>
      <c r="AR158" s="399" t="str">
        <f t="shared" si="25"/>
        <v>f_IS</v>
      </c>
      <c r="AS158" s="399" t="str">
        <f t="shared" si="25"/>
        <v>F_Sf</v>
      </c>
      <c r="AT158" s="399" t="str">
        <f t="shared" si="25"/>
        <v>rho_PL</v>
      </c>
      <c r="AU158" s="399" t="str">
        <f t="shared" si="25"/>
        <v>F_f</v>
      </c>
      <c r="AV158" s="399" t="str">
        <f t="shared" si="25"/>
        <v>f_FSC</v>
      </c>
      <c r="AW158" s="399" t="str">
        <f t="shared" si="25"/>
        <v>f_Ux</v>
      </c>
    </row>
    <row r="159" spans="4:49" ht="15" x14ac:dyDescent="0.2">
      <c r="D159" s="484" t="str">
        <f>D122</f>
        <v>Galactan to Oligomeric Galactose</v>
      </c>
      <c r="E159" s="485"/>
      <c r="F159" s="402">
        <f>P122</f>
        <v>8.0785029215497656E-2</v>
      </c>
      <c r="G159" s="434">
        <f>N122</f>
        <v>6.4894866138117041E-2</v>
      </c>
      <c r="H159" s="438">
        <f>R122</f>
        <v>80.330312148562953</v>
      </c>
      <c r="J159" s="445">
        <f>V122</f>
        <v>97.709500033350224</v>
      </c>
      <c r="K159" s="452">
        <f>W122+N159</f>
        <v>1.2699741045904001</v>
      </c>
      <c r="L159" s="451">
        <f>T122</f>
        <v>1.0331477906754745</v>
      </c>
      <c r="M159" s="458">
        <f>$L$159*K99*$Q$9^2/($K$99*$Q$9^2+$L$99*$I$99^2+$M$99*$M$17^2+$N$99*$M$12^2+$O$99*$M$6^2+$P$99*$Q$8^2+$Q$99*$F$99^2)</f>
        <v>2.3420418723461577E-2</v>
      </c>
      <c r="N159" s="458">
        <f>$L$159*L99*$I$99^2/($K$99*$Q$9^2+$L$99*$I$99^2+$M$99*$M$17^2+$N$99*$M$12^2+$O$99*$M$6^2+$P$99*$Q$8^2+$Q$99*$F$99^2)</f>
        <v>1.2621928616099773E-2</v>
      </c>
      <c r="O159" s="453">
        <f>$L$159*M99*$M$17^2/($K$99*$Q$9^2+$L$99*$I$99^2+$M$99*$M$17^2+$N$99*$M$12^2+$O$99*$M$6^2+$P$99*$Q$8^2+$Q$99*$F$99^2)</f>
        <v>0.12470158044432615</v>
      </c>
      <c r="P159" s="456">
        <f>$L$159*N99*$M$12^2/($K$99*$Q$9^2+$L$99*$I$99^2+$M$99*$M$17^2+$N$99*$M$12^2+$O$99*$M$6^2+$P$99*$Q$8^2+$Q$99*$F$99^2)</f>
        <v>9.5368593659859046E-11</v>
      </c>
      <c r="Q159" s="453">
        <f>$L$159*O99*$M$6^2/($K$99*$Q$9^2+$L$99*$I$99^2+$M$99*$M$17^2+$N$99*$M$12^2+$O$99*$M$6^2+$P$99*$Q$8^2+$Q$99*$F$99^2)</f>
        <v>0.18087739348321435</v>
      </c>
      <c r="R159" s="461">
        <f>$L$159*P99*$Q$8^2/($K$99*$Q$9^2+$L$99*$I$99^2+$M$99*$M$17^2+$N$99*$M$12^2+$O$99*$M$6^2+$P$99*$Q$8^2+$Q$99*$F$99^2)</f>
        <v>1.2968590894757562E-4</v>
      </c>
      <c r="S159" s="453">
        <f>$L$159*Q99*$F$99^2/($K$99*$Q$9^2+$L$99*$I$99^2+$M$99*$M$17^2+$N$99*$M$12^2+$O$99*$M$6^2+$P$99*$Q$8^2+$Q$99*$F$99^2)</f>
        <v>0.69139678340405641</v>
      </c>
      <c r="T159" s="275"/>
      <c r="V159" s="464">
        <f>J159*$G$159/100</f>
        <v>6.3408449250866056E-2</v>
      </c>
      <c r="W159" s="464">
        <f>K159*$G$159/100</f>
        <v>8.2414799516269065E-4</v>
      </c>
      <c r="X159" s="465">
        <f t="shared" ref="X159:AD159" si="26">M159*$G$159/100</f>
        <v>1.5198649379576891E-5</v>
      </c>
      <c r="Y159" s="465">
        <f t="shared" si="26"/>
        <v>8.190983679466637E-6</v>
      </c>
      <c r="Z159" s="465">
        <f t="shared" si="26"/>
        <v>8.0924923701461795E-5</v>
      </c>
      <c r="AA159" s="465">
        <f t="shared" si="26"/>
        <v>6.1889321193370297E-14</v>
      </c>
      <c r="AB159" s="465">
        <f t="shared" si="26"/>
        <v>1.1738014237504718E-4</v>
      </c>
      <c r="AC159" s="465">
        <f t="shared" si="26"/>
        <v>8.4159497011529543E-8</v>
      </c>
      <c r="AD159" s="465">
        <f t="shared" si="26"/>
        <v>4.4868101707330944E-4</v>
      </c>
      <c r="AG159" s="465">
        <f>V159</f>
        <v>6.3408449250866056E-2</v>
      </c>
      <c r="AH159" s="465">
        <f>W159+Y159</f>
        <v>8.3233897884215724E-4</v>
      </c>
      <c r="AI159" s="465">
        <f>X159</f>
        <v>1.5198649379576891E-5</v>
      </c>
      <c r="AJ159" s="465">
        <f>Z159</f>
        <v>8.0924923701461795E-5</v>
      </c>
      <c r="AK159" s="465">
        <f>AA159</f>
        <v>6.1889321193370297E-14</v>
      </c>
      <c r="AL159" s="465">
        <f>AB159</f>
        <v>1.1738014237504718E-4</v>
      </c>
      <c r="AM159" s="465">
        <f>AC159</f>
        <v>8.4159497011529543E-8</v>
      </c>
      <c r="AN159" s="465">
        <f>AD159</f>
        <v>4.4868101707330944E-4</v>
      </c>
      <c r="AP159" s="465">
        <f t="shared" si="16"/>
        <v>97.709500033350224</v>
      </c>
      <c r="AQ159" s="472">
        <f>K159+N159</f>
        <v>1.2825960332064998</v>
      </c>
      <c r="AR159" s="473">
        <f>M159</f>
        <v>2.3420418723461577E-2</v>
      </c>
      <c r="AS159" s="474">
        <f>O159</f>
        <v>0.12470158044432615</v>
      </c>
      <c r="AT159" s="469">
        <f>P159</f>
        <v>9.5368593659859046E-11</v>
      </c>
      <c r="AU159" s="469">
        <f>Q159</f>
        <v>0.18087739348321435</v>
      </c>
      <c r="AV159" s="465">
        <f>R159</f>
        <v>1.2968590894757562E-4</v>
      </c>
      <c r="AW159" s="465">
        <f>S159</f>
        <v>0.69139678340405641</v>
      </c>
    </row>
    <row r="160" spans="4:49" x14ac:dyDescent="0.2">
      <c r="F160" s="328"/>
    </row>
    <row r="165" spans="23:36" ht="24" customHeight="1" x14ac:dyDescent="0.2"/>
    <row r="166" spans="23:36" ht="24" customHeight="1" x14ac:dyDescent="0.2">
      <c r="W166" s="303"/>
      <c r="AH166" s="314"/>
      <c r="AI166" s="303"/>
    </row>
    <row r="167" spans="23:36" x14ac:dyDescent="0.2">
      <c r="W167" s="303"/>
      <c r="AD167" s="303"/>
    </row>
    <row r="168" spans="23:36" x14ac:dyDescent="0.2">
      <c r="AD168" s="303"/>
    </row>
    <row r="169" spans="23:36" x14ac:dyDescent="0.2">
      <c r="AD169" s="303"/>
      <c r="AJ169" s="303"/>
    </row>
    <row r="170" spans="23:36" x14ac:dyDescent="0.2">
      <c r="AD170" s="303"/>
    </row>
    <row r="171" spans="23:36" x14ac:dyDescent="0.2">
      <c r="AD171" s="303"/>
    </row>
    <row r="172" spans="23:36" x14ac:dyDescent="0.2">
      <c r="AD172" s="303"/>
    </row>
    <row r="173" spans="23:36" x14ac:dyDescent="0.2">
      <c r="AD173" s="303"/>
    </row>
    <row r="174" spans="23:36" x14ac:dyDescent="0.2">
      <c r="AD174" s="303"/>
    </row>
  </sheetData>
  <dataConsolidate/>
  <mergeCells count="191">
    <mergeCell ref="Z9:AC9"/>
    <mergeCell ref="Z11:AC11"/>
    <mergeCell ref="Z12:AC12"/>
    <mergeCell ref="F150:AW150"/>
    <mergeCell ref="D134:E134"/>
    <mergeCell ref="D139:E139"/>
    <mergeCell ref="F132:F133"/>
    <mergeCell ref="G132:G133"/>
    <mergeCell ref="H132:H133"/>
    <mergeCell ref="H137:H138"/>
    <mergeCell ref="G137:G138"/>
    <mergeCell ref="F137:F138"/>
    <mergeCell ref="F131:H131"/>
    <mergeCell ref="P120:Q120"/>
    <mergeCell ref="P121:Q121"/>
    <mergeCell ref="P122:Q122"/>
    <mergeCell ref="P123:Q123"/>
    <mergeCell ref="P124:Q124"/>
    <mergeCell ref="P125:Q125"/>
    <mergeCell ref="N116:O116"/>
    <mergeCell ref="N119:O119"/>
    <mergeCell ref="N120:O120"/>
    <mergeCell ref="D125:E125"/>
    <mergeCell ref="D126:E126"/>
    <mergeCell ref="Z10:AC10"/>
    <mergeCell ref="Z6:AC6"/>
    <mergeCell ref="Z5:AC5"/>
    <mergeCell ref="D132:E133"/>
    <mergeCell ref="M132:S132"/>
    <mergeCell ref="L132:L133"/>
    <mergeCell ref="R122:S122"/>
    <mergeCell ref="R123:S123"/>
    <mergeCell ref="R124:S124"/>
    <mergeCell ref="R125:S125"/>
    <mergeCell ref="T114:Y114"/>
    <mergeCell ref="R116:S116"/>
    <mergeCell ref="R117:S118"/>
    <mergeCell ref="R119:S119"/>
    <mergeCell ref="R120:S120"/>
    <mergeCell ref="R121:S121"/>
    <mergeCell ref="N124:O124"/>
    <mergeCell ref="N125:O125"/>
    <mergeCell ref="F117:O118"/>
    <mergeCell ref="N121:O121"/>
    <mergeCell ref="P114:Q115"/>
    <mergeCell ref="P116:Q116"/>
    <mergeCell ref="Z7:AC7"/>
    <mergeCell ref="Z8:AC8"/>
    <mergeCell ref="F125:G125"/>
    <mergeCell ref="F126:G126"/>
    <mergeCell ref="Y4:Z4"/>
    <mergeCell ref="S4:U4"/>
    <mergeCell ref="F114:L114"/>
    <mergeCell ref="M114:M115"/>
    <mergeCell ref="N114:O115"/>
    <mergeCell ref="R114:S115"/>
    <mergeCell ref="D113:Y113"/>
    <mergeCell ref="O5:O7"/>
    <mergeCell ref="P5:P7"/>
    <mergeCell ref="Q5:Q7"/>
    <mergeCell ref="H93:J93"/>
    <mergeCell ref="K93:Q93"/>
    <mergeCell ref="D92:T92"/>
    <mergeCell ref="R93:R95"/>
    <mergeCell ref="S93:S95"/>
    <mergeCell ref="T93:T95"/>
    <mergeCell ref="H70:K70"/>
    <mergeCell ref="D47:D49"/>
    <mergeCell ref="E47:E49"/>
    <mergeCell ref="F47:F49"/>
    <mergeCell ref="G47:G49"/>
    <mergeCell ref="F5:F7"/>
    <mergeCell ref="D120:E120"/>
    <mergeCell ref="D124:E124"/>
    <mergeCell ref="D116:E116"/>
    <mergeCell ref="D117:E117"/>
    <mergeCell ref="D118:E118"/>
    <mergeCell ref="D119:E119"/>
    <mergeCell ref="G5:G7"/>
    <mergeCell ref="B5:B7"/>
    <mergeCell ref="C6:C7"/>
    <mergeCell ref="D6:D7"/>
    <mergeCell ref="F116:G116"/>
    <mergeCell ref="F119:G119"/>
    <mergeCell ref="F120:G120"/>
    <mergeCell ref="F121:G121"/>
    <mergeCell ref="F122:G122"/>
    <mergeCell ref="F123:G123"/>
    <mergeCell ref="F124:G124"/>
    <mergeCell ref="D114:E115"/>
    <mergeCell ref="F115:G115"/>
    <mergeCell ref="H6:H7"/>
    <mergeCell ref="I6:I7"/>
    <mergeCell ref="A92:C96"/>
    <mergeCell ref="D93:D95"/>
    <mergeCell ref="H94:H95"/>
    <mergeCell ref="E93:G93"/>
    <mergeCell ref="E94:E95"/>
    <mergeCell ref="F94:F95"/>
    <mergeCell ref="G94:G95"/>
    <mergeCell ref="I94:I95"/>
    <mergeCell ref="D143:E143"/>
    <mergeCell ref="F141:F142"/>
    <mergeCell ref="G141:G142"/>
    <mergeCell ref="H141:H142"/>
    <mergeCell ref="P141:P142"/>
    <mergeCell ref="L141:L142"/>
    <mergeCell ref="Q141:T141"/>
    <mergeCell ref="A68:C71"/>
    <mergeCell ref="A46:C49"/>
    <mergeCell ref="E69:E71"/>
    <mergeCell ref="D68:M68"/>
    <mergeCell ref="H48:J48"/>
    <mergeCell ref="M94:M95"/>
    <mergeCell ref="Q94:Q95"/>
    <mergeCell ref="O94:O95"/>
    <mergeCell ref="P94:P95"/>
    <mergeCell ref="L94:L95"/>
    <mergeCell ref="N94:N95"/>
    <mergeCell ref="D121:E121"/>
    <mergeCell ref="D122:E122"/>
    <mergeCell ref="D123:E123"/>
    <mergeCell ref="J94:J95"/>
    <mergeCell ref="K94:K95"/>
    <mergeCell ref="M141:O141"/>
    <mergeCell ref="AG130:AN131"/>
    <mergeCell ref="AP130:AW131"/>
    <mergeCell ref="W4:X4"/>
    <mergeCell ref="O4:Q4"/>
    <mergeCell ref="G26:G28"/>
    <mergeCell ref="D46:L46"/>
    <mergeCell ref="F69:F71"/>
    <mergeCell ref="G69:G71"/>
    <mergeCell ref="H69:M69"/>
    <mergeCell ref="D69:D71"/>
    <mergeCell ref="H47:L47"/>
    <mergeCell ref="A4:D4"/>
    <mergeCell ref="F4:I4"/>
    <mergeCell ref="K4:M4"/>
    <mergeCell ref="C5:D5"/>
    <mergeCell ref="H5:I5"/>
    <mergeCell ref="D26:D28"/>
    <mergeCell ref="E26:E28"/>
    <mergeCell ref="F26:F28"/>
    <mergeCell ref="D25:L25"/>
    <mergeCell ref="H26:L26"/>
    <mergeCell ref="A25:C28"/>
    <mergeCell ref="H27:J27"/>
    <mergeCell ref="A5:A7"/>
    <mergeCell ref="K16:K17"/>
    <mergeCell ref="L137:L138"/>
    <mergeCell ref="V130:AE131"/>
    <mergeCell ref="X132:AD132"/>
    <mergeCell ref="Q137:T137"/>
    <mergeCell ref="P137:P138"/>
    <mergeCell ref="M136:O137"/>
    <mergeCell ref="AA137:AD137"/>
    <mergeCell ref="X137:Z137"/>
    <mergeCell ref="P117:Q118"/>
    <mergeCell ref="P119:Q119"/>
    <mergeCell ref="N122:O122"/>
    <mergeCell ref="N123:O123"/>
    <mergeCell ref="J130:T130"/>
    <mergeCell ref="J131:T131"/>
    <mergeCell ref="D147:E147"/>
    <mergeCell ref="D150:E150"/>
    <mergeCell ref="D154:E154"/>
    <mergeCell ref="D159:E159"/>
    <mergeCell ref="F145:F146"/>
    <mergeCell ref="G145:G146"/>
    <mergeCell ref="H145:H146"/>
    <mergeCell ref="L145:L146"/>
    <mergeCell ref="P145:P146"/>
    <mergeCell ref="M145:O145"/>
    <mergeCell ref="X157:AD157"/>
    <mergeCell ref="X152:AD152"/>
    <mergeCell ref="X141:Z141"/>
    <mergeCell ref="X145:Z145"/>
    <mergeCell ref="AA141:AD141"/>
    <mergeCell ref="AA145:AD145"/>
    <mergeCell ref="Q145:T145"/>
    <mergeCell ref="F152:F153"/>
    <mergeCell ref="G152:G153"/>
    <mergeCell ref="H152:H153"/>
    <mergeCell ref="H157:H158"/>
    <mergeCell ref="G157:G158"/>
    <mergeCell ref="F157:F158"/>
    <mergeCell ref="L152:L153"/>
    <mergeCell ref="L157:L158"/>
    <mergeCell ref="M152:S152"/>
    <mergeCell ref="M157:S157"/>
  </mergeCells>
  <phoneticPr fontId="43" type="noConversion"/>
  <pageMargins left="0.7" right="0.7" top="0.75" bottom="0.75" header="0.3" footer="0.3"/>
  <pageSetup orientation="portrait" r:id="rId1"/>
  <cellWatches>
    <cellWatch r="L132"/>
    <cellWatch r="M133"/>
    <cellWatch r="N133"/>
    <cellWatch r="O133"/>
    <cellWatch r="P133"/>
    <cellWatch r="Q133"/>
    <cellWatch r="R133"/>
    <cellWatch r="S133"/>
    <cellWatch r="J133"/>
    <cellWatch r="K133"/>
    <cellWatch r="AQ133"/>
    <cellWatch r="G132"/>
    <cellWatch r="F132"/>
    <cellWatch r="H132"/>
    <cellWatch r="X133"/>
    <cellWatch r="L134"/>
    <cellWatch r="M134"/>
    <cellWatch r="N134"/>
    <cellWatch r="O134"/>
    <cellWatch r="P134"/>
    <cellWatch r="Q134"/>
    <cellWatch r="R134"/>
    <cellWatch r="S134"/>
    <cellWatch r="J134"/>
    <cellWatch r="K134"/>
    <cellWatch r="AQ134"/>
    <cellWatch r="G134"/>
    <cellWatch r="F134"/>
    <cellWatch r="H134"/>
    <cellWatch r="X134"/>
    <cellWatch r="H135"/>
    <cellWatch r="I135"/>
    <cellWatch r="J135"/>
    <cellWatch r="K135"/>
    <cellWatch r="L135"/>
    <cellWatch r="M135"/>
    <cellWatch r="N135"/>
    <cellWatch r="O135"/>
    <cellWatch r="P135"/>
    <cellWatch r="Q135"/>
    <cellWatch r="R135"/>
    <cellWatch r="S135"/>
    <cellWatch r="T135"/>
    <cellWatch r="U135"/>
    <cellWatch r="V135"/>
    <cellWatch r="W135"/>
    <cellWatch r="I137"/>
    <cellWatch r="L137"/>
    <cellWatch r="M136"/>
    <cellWatch r="N137"/>
    <cellWatch r="O137"/>
    <cellWatch r="P137"/>
    <cellWatch r="Q137"/>
    <cellWatch r="R137"/>
    <cellWatch r="S137"/>
    <cellWatch r="T137"/>
    <cellWatch r="U137"/>
    <cellWatch r="V137"/>
    <cellWatch r="AA137"/>
    <cellWatch r="P138"/>
    <cellWatch r="Q138"/>
    <cellWatch r="R138"/>
    <cellWatch r="S138"/>
    <cellWatch r="T138"/>
    <cellWatch r="J138"/>
    <cellWatch r="K138"/>
    <cellWatch r="M138"/>
    <cellWatch r="N138"/>
    <cellWatch r="O138"/>
    <cellWatch r="AQ138"/>
    <cellWatch r="G137"/>
    <cellWatch r="F137"/>
    <cellWatch r="H137"/>
    <cellWatch r="AA138"/>
    <cellWatch r="P139"/>
    <cellWatch r="Q139"/>
    <cellWatch r="R139"/>
    <cellWatch r="S139"/>
    <cellWatch r="T139"/>
    <cellWatch r="J139"/>
    <cellWatch r="K139"/>
    <cellWatch r="L139"/>
    <cellWatch r="M139"/>
    <cellWatch r="N139"/>
    <cellWatch r="O139"/>
    <cellWatch r="AQ139"/>
    <cellWatch r="G139"/>
    <cellWatch r="F139"/>
    <cellWatch r="H139"/>
    <cellWatch r="AA139"/>
    <cellWatch r="H140"/>
    <cellWatch r="I140"/>
    <cellWatch r="J140"/>
    <cellWatch r="K140"/>
    <cellWatch r="L140"/>
    <cellWatch r="M140"/>
    <cellWatch r="N140"/>
    <cellWatch r="O140"/>
    <cellWatch r="P140"/>
    <cellWatch r="Q140"/>
    <cellWatch r="R140"/>
    <cellWatch r="S140"/>
    <cellWatch r="T140"/>
    <cellWatch r="U140"/>
    <cellWatch r="V140"/>
    <cellWatch r="W140"/>
    <cellWatch r="I141"/>
    <cellWatch r="J141"/>
    <cellWatch r="K141"/>
    <cellWatch r="L141"/>
    <cellWatch r="M141"/>
    <cellWatch r="N141"/>
    <cellWatch r="O141"/>
    <cellWatch r="P141"/>
    <cellWatch r="Q141"/>
    <cellWatch r="R141"/>
    <cellWatch r="S141"/>
    <cellWatch r="T141"/>
    <cellWatch r="U141"/>
    <cellWatch r="V141"/>
    <cellWatch r="W141"/>
    <cellWatch r="J142"/>
    <cellWatch r="P142"/>
    <cellWatch r="Q142"/>
    <cellWatch r="R142"/>
    <cellWatch r="S142"/>
    <cellWatch r="T142"/>
    <cellWatch r="K142"/>
    <cellWatch r="L142"/>
    <cellWatch r="M142"/>
    <cellWatch r="N142"/>
    <cellWatch r="O142"/>
    <cellWatch r="AQ142"/>
    <cellWatch r="G141"/>
    <cellWatch r="F141"/>
    <cellWatch r="H141"/>
    <cellWatch r="V142"/>
    <cellWatch r="J143"/>
    <cellWatch r="P143"/>
    <cellWatch r="Q143"/>
    <cellWatch r="R143"/>
    <cellWatch r="S143"/>
    <cellWatch r="T143"/>
    <cellWatch r="K143"/>
    <cellWatch r="L143"/>
    <cellWatch r="M143"/>
    <cellWatch r="N143"/>
    <cellWatch r="O143"/>
    <cellWatch r="AQ143"/>
    <cellWatch r="G143"/>
    <cellWatch r="F143"/>
    <cellWatch r="H143"/>
    <cellWatch r="V143"/>
    <cellWatch r="H144"/>
    <cellWatch r="I144"/>
    <cellWatch r="J144"/>
    <cellWatch r="K144"/>
    <cellWatch r="L144"/>
    <cellWatch r="M144"/>
    <cellWatch r="N144"/>
    <cellWatch r="O144"/>
    <cellWatch r="P144"/>
    <cellWatch r="Q144"/>
    <cellWatch r="R144"/>
    <cellWatch r="S144"/>
    <cellWatch r="T144"/>
    <cellWatch r="U144"/>
    <cellWatch r="V144"/>
    <cellWatch r="W144"/>
    <cellWatch r="I145"/>
    <cellWatch r="J145"/>
    <cellWatch r="K145"/>
    <cellWatch r="M145"/>
    <cellWatch r="N145"/>
    <cellWatch r="O145"/>
    <cellWatch r="Q145"/>
    <cellWatch r="R145"/>
    <cellWatch r="S145"/>
    <cellWatch r="T145"/>
    <cellWatch r="U145"/>
    <cellWatch r="V145"/>
    <cellWatch r="W145"/>
    <cellWatch r="P145"/>
    <cellWatch r="Q146"/>
    <cellWatch r="R146"/>
    <cellWatch r="S146"/>
    <cellWatch r="T146"/>
    <cellWatch r="J146"/>
    <cellWatch r="K146"/>
    <cellWatch r="L145"/>
    <cellWatch r="M146"/>
    <cellWatch r="N146"/>
    <cellWatch r="O146"/>
    <cellWatch r="AQ146"/>
    <cellWatch r="G145"/>
    <cellWatch r="F145"/>
    <cellWatch r="H145"/>
    <cellWatch r="AA146"/>
    <cellWatch r="P147"/>
    <cellWatch r="Q147"/>
    <cellWatch r="R147"/>
    <cellWatch r="S147"/>
    <cellWatch r="T147"/>
    <cellWatch r="J147"/>
    <cellWatch r="K147"/>
    <cellWatch r="L147"/>
    <cellWatch r="M147"/>
    <cellWatch r="N147"/>
    <cellWatch r="O147"/>
    <cellWatch r="AQ147"/>
    <cellWatch r="G147"/>
    <cellWatch r="F147"/>
    <cellWatch r="H147"/>
    <cellWatch r="AA147"/>
    <cellWatch r="H148"/>
    <cellWatch r="I148"/>
    <cellWatch r="J148"/>
    <cellWatch r="K148"/>
    <cellWatch r="L148"/>
    <cellWatch r="M148"/>
    <cellWatch r="N148"/>
    <cellWatch r="O148"/>
    <cellWatch r="P148"/>
    <cellWatch r="Q148"/>
    <cellWatch r="R148"/>
    <cellWatch r="S148"/>
    <cellWatch r="T148"/>
    <cellWatch r="U148"/>
    <cellWatch r="V148"/>
    <cellWatch r="W148"/>
    <cellWatch r="H149"/>
    <cellWatch r="I149"/>
    <cellWatch r="J149"/>
    <cellWatch r="K149"/>
    <cellWatch r="L149"/>
    <cellWatch r="M149"/>
    <cellWatch r="N149"/>
    <cellWatch r="O149"/>
    <cellWatch r="P149"/>
    <cellWatch r="Q149"/>
    <cellWatch r="R149"/>
    <cellWatch r="S149"/>
    <cellWatch r="T149"/>
    <cellWatch r="U149"/>
    <cellWatch r="V149"/>
    <cellWatch r="W149"/>
    <cellWatch r="F150"/>
    <cellWatch r="V150"/>
    <cellWatch r="W150"/>
    <cellWatch r="H151"/>
    <cellWatch r="I151"/>
    <cellWatch r="J151"/>
    <cellWatch r="K151"/>
    <cellWatch r="L151"/>
    <cellWatch r="M151"/>
    <cellWatch r="N151"/>
    <cellWatch r="O151"/>
    <cellWatch r="P151"/>
    <cellWatch r="Q151"/>
    <cellWatch r="R151"/>
    <cellWatch r="S151"/>
    <cellWatch r="T151"/>
    <cellWatch r="U151"/>
    <cellWatch r="V151"/>
    <cellWatch r="W151"/>
    <cellWatch r="H152"/>
    <cellWatch r="I152"/>
    <cellWatch r="J152"/>
    <cellWatch r="K152"/>
    <cellWatch r="L152"/>
    <cellWatch r="M152"/>
    <cellWatch r="N152"/>
    <cellWatch r="O152"/>
    <cellWatch r="P152"/>
    <cellWatch r="Q152"/>
    <cellWatch r="R152"/>
    <cellWatch r="S152"/>
    <cellWatch r="T152"/>
    <cellWatch r="U152"/>
    <cellWatch r="V152"/>
    <cellWatch r="W152"/>
    <cellWatch r="L153"/>
    <cellWatch r="M153"/>
    <cellWatch r="N153"/>
    <cellWatch r="O153"/>
    <cellWatch r="P153"/>
    <cellWatch r="Q153"/>
    <cellWatch r="R153"/>
    <cellWatch r="S153"/>
    <cellWatch r="J153"/>
    <cellWatch r="K153"/>
    <cellWatch r="G153"/>
    <cellWatch r="F153"/>
    <cellWatch r="X153"/>
    <cellWatch r="L154"/>
    <cellWatch r="M154"/>
    <cellWatch r="N154"/>
    <cellWatch r="O154"/>
    <cellWatch r="P154"/>
    <cellWatch r="Q154"/>
    <cellWatch r="R154"/>
    <cellWatch r="S154"/>
    <cellWatch r="J154"/>
    <cellWatch r="K154"/>
    <cellWatch r="AQ154"/>
    <cellWatch r="G154"/>
    <cellWatch r="F154"/>
    <cellWatch r="H154"/>
    <cellWatch r="X154"/>
    <cellWatch r="H155"/>
    <cellWatch r="I155"/>
    <cellWatch r="J155"/>
    <cellWatch r="K155"/>
    <cellWatch r="L155"/>
    <cellWatch r="M155"/>
    <cellWatch r="N155"/>
    <cellWatch r="O155"/>
    <cellWatch r="P155"/>
    <cellWatch r="Q155"/>
    <cellWatch r="R155"/>
    <cellWatch r="S155"/>
    <cellWatch r="T155"/>
    <cellWatch r="U155"/>
    <cellWatch r="V155"/>
    <cellWatch r="W155"/>
    <cellWatch r="H156"/>
    <cellWatch r="I156"/>
    <cellWatch r="J156"/>
    <cellWatch r="K156"/>
    <cellWatch r="L156"/>
    <cellWatch r="M156"/>
    <cellWatch r="N156"/>
    <cellWatch r="O156"/>
    <cellWatch r="P156"/>
    <cellWatch r="Q156"/>
    <cellWatch r="R156"/>
    <cellWatch r="S156"/>
    <cellWatch r="T156"/>
    <cellWatch r="U156"/>
    <cellWatch r="V156"/>
    <cellWatch r="W156"/>
    <cellWatch r="H157"/>
    <cellWatch r="I157"/>
    <cellWatch r="J157"/>
    <cellWatch r="K157"/>
    <cellWatch r="L157"/>
    <cellWatch r="M157"/>
    <cellWatch r="N157"/>
    <cellWatch r="O157"/>
    <cellWatch r="P157"/>
    <cellWatch r="Q157"/>
    <cellWatch r="R157"/>
    <cellWatch r="S157"/>
    <cellWatch r="T157"/>
    <cellWatch r="U157"/>
    <cellWatch r="V157"/>
    <cellWatch r="W157"/>
    <cellWatch r="L158"/>
    <cellWatch r="M158"/>
    <cellWatch r="N158"/>
    <cellWatch r="O158"/>
    <cellWatch r="P158"/>
    <cellWatch r="Q158"/>
    <cellWatch r="R158"/>
    <cellWatch r="S158"/>
    <cellWatch r="J158"/>
    <cellWatch r="K158"/>
    <cellWatch r="G158"/>
    <cellWatch r="F158"/>
    <cellWatch r="X158"/>
    <cellWatch r="L159"/>
    <cellWatch r="M159"/>
    <cellWatch r="N159"/>
    <cellWatch r="O159"/>
    <cellWatch r="P159"/>
    <cellWatch r="Q159"/>
    <cellWatch r="R159"/>
    <cellWatch r="S159"/>
    <cellWatch r="J159"/>
    <cellWatch r="K159"/>
    <cellWatch r="AQ159"/>
    <cellWatch r="G159"/>
    <cellWatch r="F159"/>
    <cellWatch r="H159"/>
    <cellWatch r="X159"/>
  </cellWatches>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topLeftCell="A7" workbookViewId="0">
      <selection activeCell="A15" sqref="A15"/>
    </sheetView>
  </sheetViews>
  <sheetFormatPr defaultRowHeight="12.75" x14ac:dyDescent="0.2"/>
  <cols>
    <col min="1" max="1" width="23" customWidth="1"/>
    <col min="2" max="2" width="87.28515625" customWidth="1"/>
    <col min="3" max="3" width="58.7109375" customWidth="1"/>
  </cols>
  <sheetData>
    <row r="1" spans="1:3" x14ac:dyDescent="0.2">
      <c r="A1" s="338" t="s">
        <v>587</v>
      </c>
    </row>
    <row r="3" spans="1:3" x14ac:dyDescent="0.2">
      <c r="A3" s="210" t="s">
        <v>584</v>
      </c>
      <c r="B3" s="210" t="s">
        <v>585</v>
      </c>
    </row>
    <row r="4" spans="1:3" x14ac:dyDescent="0.2">
      <c r="A4" s="353" t="s">
        <v>142</v>
      </c>
      <c r="B4" s="338" t="s">
        <v>568</v>
      </c>
      <c r="C4" s="338"/>
    </row>
    <row r="5" spans="1:3" x14ac:dyDescent="0.2">
      <c r="A5" s="353" t="s">
        <v>546</v>
      </c>
      <c r="B5" s="338" t="s">
        <v>569</v>
      </c>
      <c r="C5" s="338"/>
    </row>
    <row r="6" spans="1:3" x14ac:dyDescent="0.2">
      <c r="A6" s="353"/>
      <c r="B6" s="338"/>
      <c r="C6" s="338"/>
    </row>
    <row r="7" spans="1:3" ht="75.75" customHeight="1" x14ac:dyDescent="0.2">
      <c r="A7" s="303" t="s">
        <v>563</v>
      </c>
      <c r="B7" s="352" t="s">
        <v>607</v>
      </c>
      <c r="C7" s="338"/>
    </row>
    <row r="8" spans="1:3" x14ac:dyDescent="0.2">
      <c r="A8" s="353" t="s">
        <v>564</v>
      </c>
      <c r="B8" s="338" t="s">
        <v>567</v>
      </c>
    </row>
    <row r="9" spans="1:3" x14ac:dyDescent="0.2">
      <c r="A9" s="353" t="s">
        <v>48</v>
      </c>
      <c r="B9" s="338" t="s">
        <v>586</v>
      </c>
    </row>
    <row r="10" spans="1:3" x14ac:dyDescent="0.2">
      <c r="A10" s="353" t="s">
        <v>565</v>
      </c>
      <c r="B10" s="338" t="s">
        <v>570</v>
      </c>
    </row>
    <row r="11" spans="1:3" x14ac:dyDescent="0.2">
      <c r="A11" s="353"/>
      <c r="B11" s="338"/>
    </row>
    <row r="12" spans="1:3" x14ac:dyDescent="0.2">
      <c r="A12" s="353" t="s">
        <v>74</v>
      </c>
      <c r="B12" s="338" t="s">
        <v>572</v>
      </c>
    </row>
    <row r="13" spans="1:3" x14ac:dyDescent="0.2">
      <c r="A13" s="353" t="s">
        <v>590</v>
      </c>
      <c r="B13" s="338" t="s">
        <v>591</v>
      </c>
    </row>
    <row r="14" spans="1:3" x14ac:dyDescent="0.2">
      <c r="A14" s="353" t="s">
        <v>562</v>
      </c>
      <c r="B14" s="338" t="s">
        <v>575</v>
      </c>
    </row>
    <row r="15" spans="1:3" x14ac:dyDescent="0.2">
      <c r="A15" s="353"/>
      <c r="B15" s="338"/>
    </row>
    <row r="16" spans="1:3" ht="27.75" customHeight="1" x14ac:dyDescent="0.2">
      <c r="A16" s="303" t="s">
        <v>46</v>
      </c>
      <c r="B16" s="352" t="s">
        <v>593</v>
      </c>
    </row>
    <row r="17" spans="1:2" x14ac:dyDescent="0.2">
      <c r="A17" s="353" t="s">
        <v>597</v>
      </c>
      <c r="B17" s="338" t="s">
        <v>598</v>
      </c>
    </row>
    <row r="18" spans="1:2" x14ac:dyDescent="0.2">
      <c r="A18" s="353" t="s">
        <v>577</v>
      </c>
      <c r="B18" s="338" t="s">
        <v>578</v>
      </c>
    </row>
    <row r="19" spans="1:2" x14ac:dyDescent="0.2">
      <c r="A19" s="353"/>
      <c r="B19" s="338"/>
    </row>
    <row r="20" spans="1:2" x14ac:dyDescent="0.2">
      <c r="A20" s="353" t="s">
        <v>608</v>
      </c>
      <c r="B20" s="338" t="s">
        <v>609</v>
      </c>
    </row>
    <row r="21" spans="1:2" x14ac:dyDescent="0.2">
      <c r="A21" s="353" t="s">
        <v>47</v>
      </c>
      <c r="B21" s="338" t="s">
        <v>602</v>
      </c>
    </row>
    <row r="22" spans="1:2" x14ac:dyDescent="0.2">
      <c r="A22" s="1"/>
    </row>
    <row r="23" spans="1:2" x14ac:dyDescent="0.2">
      <c r="A23" s="1"/>
    </row>
    <row r="24" spans="1:2" x14ac:dyDescent="0.2">
      <c r="A24" s="353" t="s">
        <v>45</v>
      </c>
      <c r="B24" s="338" t="s">
        <v>576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selection activeCell="H19" sqref="H19"/>
    </sheetView>
  </sheetViews>
  <sheetFormatPr defaultColWidth="8.85546875" defaultRowHeight="12.75" x14ac:dyDescent="0.2"/>
  <cols>
    <col min="1" max="1" width="11.5703125" customWidth="1"/>
    <col min="2" max="9" width="16.140625" customWidth="1"/>
    <col min="10" max="10" width="16.28515625" bestFit="1" customWidth="1"/>
    <col min="11" max="11" width="15.42578125" bestFit="1" customWidth="1"/>
    <col min="12" max="12" width="14.85546875" bestFit="1" customWidth="1"/>
    <col min="13" max="13" width="13.42578125" bestFit="1" customWidth="1"/>
    <col min="14" max="14" width="16.42578125" bestFit="1" customWidth="1"/>
    <col min="15" max="15" width="16.28515625" bestFit="1" customWidth="1"/>
    <col min="17" max="17" width="17.42578125" bestFit="1" customWidth="1"/>
    <col min="18" max="18" width="12" bestFit="1" customWidth="1"/>
    <col min="19" max="19" width="14.140625" bestFit="1" customWidth="1"/>
  </cols>
  <sheetData>
    <row r="1" spans="1:14" x14ac:dyDescent="0.2">
      <c r="G1" s="210" t="s">
        <v>644</v>
      </c>
    </row>
    <row r="2" spans="1:14" x14ac:dyDescent="0.2">
      <c r="G2" t="s">
        <v>43</v>
      </c>
    </row>
    <row r="3" spans="1:14" x14ac:dyDescent="0.2">
      <c r="B3" s="567" t="s">
        <v>645</v>
      </c>
      <c r="C3" s="568"/>
      <c r="D3" s="568"/>
      <c r="E3" s="568"/>
      <c r="F3" s="568"/>
      <c r="G3" s="568"/>
      <c r="H3" s="568"/>
      <c r="I3" s="568"/>
    </row>
    <row r="4" spans="1:14" x14ac:dyDescent="0.2">
      <c r="B4" s="569" t="s">
        <v>648</v>
      </c>
      <c r="C4" s="570"/>
      <c r="D4" s="570"/>
      <c r="E4" s="570"/>
      <c r="F4" s="570"/>
      <c r="G4" s="570"/>
      <c r="H4" s="570"/>
      <c r="I4" s="570"/>
    </row>
    <row r="5" spans="1:14" x14ac:dyDescent="0.2">
      <c r="B5" s="569" t="s">
        <v>649</v>
      </c>
      <c r="C5" s="570"/>
      <c r="D5" s="570"/>
      <c r="E5" s="570"/>
      <c r="F5" s="570"/>
      <c r="G5" s="570"/>
      <c r="H5" s="570"/>
      <c r="I5" s="570"/>
    </row>
    <row r="6" spans="1:14" ht="15" x14ac:dyDescent="0.25">
      <c r="B6" s="422" t="s">
        <v>240</v>
      </c>
      <c r="C6" s="422" t="s">
        <v>431</v>
      </c>
      <c r="D6" s="422" t="s">
        <v>366</v>
      </c>
      <c r="E6" s="422" t="s">
        <v>433</v>
      </c>
      <c r="F6" s="422" t="s">
        <v>241</v>
      </c>
      <c r="G6" s="338" t="s">
        <v>643</v>
      </c>
      <c r="H6" s="338" t="s">
        <v>369</v>
      </c>
      <c r="I6" s="338" t="s">
        <v>367</v>
      </c>
    </row>
    <row r="7" spans="1:14" x14ac:dyDescent="0.2">
      <c r="G7">
        <v>14.8565</v>
      </c>
      <c r="H7">
        <v>3.3703285052387115</v>
      </c>
      <c r="I7">
        <v>2.1004</v>
      </c>
    </row>
    <row r="8" spans="1:14" x14ac:dyDescent="0.2">
      <c r="G8">
        <v>15.837899999999999</v>
      </c>
      <c r="H8">
        <v>3.4294812848021805</v>
      </c>
      <c r="I8">
        <v>2.1488</v>
      </c>
    </row>
    <row r="9" spans="1:14" x14ac:dyDescent="0.2">
      <c r="B9" s="426">
        <v>40848</v>
      </c>
      <c r="C9" s="426">
        <v>40848</v>
      </c>
      <c r="D9" s="426">
        <v>40848</v>
      </c>
      <c r="E9" s="426">
        <v>40848</v>
      </c>
      <c r="F9" s="426">
        <v>40848</v>
      </c>
      <c r="G9">
        <v>15.987500000000001</v>
      </c>
      <c r="H9">
        <v>3.4213539183714259</v>
      </c>
      <c r="I9">
        <v>2.1006999999999998</v>
      </c>
    </row>
    <row r="10" spans="1:14" s="420" customFormat="1" x14ac:dyDescent="0.2">
      <c r="A10" s="423" t="s">
        <v>655</v>
      </c>
      <c r="B10" s="425">
        <v>0.14843999999999999</v>
      </c>
      <c r="C10" s="425">
        <v>0.40349000000000002</v>
      </c>
      <c r="D10" s="425">
        <v>5.9450000000000003E-2</v>
      </c>
      <c r="E10" s="425">
        <v>0.1163</v>
      </c>
      <c r="F10" s="421">
        <v>0</v>
      </c>
      <c r="G10" s="421">
        <f t="shared" ref="G10:I10" si="0">STDEV(G7:G9)</f>
        <v>0.61436784855112103</v>
      </c>
      <c r="H10" s="421">
        <f t="shared" si="0"/>
        <v>3.2064253722144359E-2</v>
      </c>
      <c r="I10" s="421">
        <f t="shared" si="0"/>
        <v>2.7857554331515488E-2</v>
      </c>
    </row>
    <row r="11" spans="1:14" s="420" customFormat="1" x14ac:dyDescent="0.2">
      <c r="A11" s="419"/>
      <c r="B11" s="424"/>
      <c r="C11" s="424"/>
      <c r="D11" s="424"/>
      <c r="E11" s="424"/>
      <c r="F11" s="424"/>
      <c r="G11" s="424"/>
      <c r="H11" s="424"/>
      <c r="I11" s="424"/>
    </row>
    <row r="13" spans="1:14" x14ac:dyDescent="0.2">
      <c r="B13" s="565" t="s">
        <v>646</v>
      </c>
      <c r="C13" s="566"/>
      <c r="D13" s="566"/>
      <c r="E13" s="566"/>
      <c r="F13" s="566"/>
      <c r="G13" s="566"/>
      <c r="H13" s="566"/>
    </row>
    <row r="14" spans="1:14" x14ac:dyDescent="0.2">
      <c r="B14" s="571" t="s">
        <v>647</v>
      </c>
      <c r="C14" s="570"/>
      <c r="D14" s="570"/>
      <c r="E14" s="570"/>
      <c r="F14" s="570"/>
      <c r="G14" s="570"/>
      <c r="H14" s="570"/>
    </row>
    <row r="15" spans="1:14" x14ac:dyDescent="0.2">
      <c r="B15" s="571" t="s">
        <v>650</v>
      </c>
      <c r="C15" s="570"/>
      <c r="D15" s="570"/>
      <c r="E15" s="570"/>
      <c r="F15" s="570"/>
      <c r="G15" s="570"/>
      <c r="H15" s="570"/>
    </row>
    <row r="16" spans="1:14" ht="15" x14ac:dyDescent="0.25">
      <c r="B16" s="300" t="s">
        <v>256</v>
      </c>
      <c r="C16" s="300" t="s">
        <v>496</v>
      </c>
      <c r="D16" s="300" t="s">
        <v>240</v>
      </c>
      <c r="E16" s="300" t="s">
        <v>431</v>
      </c>
      <c r="F16" s="300" t="s">
        <v>366</v>
      </c>
      <c r="G16" s="300" t="s">
        <v>433</v>
      </c>
      <c r="H16" s="300" t="s">
        <v>241</v>
      </c>
      <c r="I16" s="418"/>
      <c r="J16" s="419"/>
      <c r="K16" s="419"/>
      <c r="L16" s="419"/>
      <c r="M16" s="419"/>
      <c r="N16" s="419"/>
    </row>
    <row r="17" spans="1:14" x14ac:dyDescent="0.2">
      <c r="A17" s="423" t="s">
        <v>655</v>
      </c>
      <c r="B17" s="427">
        <v>0.35436000000000001</v>
      </c>
      <c r="C17" s="427">
        <v>5.5350000000000003E-2</v>
      </c>
      <c r="D17" s="427">
        <v>0.11779000000000001</v>
      </c>
      <c r="E17" s="427">
        <v>0.36895</v>
      </c>
      <c r="F17" s="427">
        <v>0.47643000000000002</v>
      </c>
      <c r="G17" s="427">
        <v>0.15595999999999999</v>
      </c>
      <c r="H17" s="315">
        <v>0</v>
      </c>
      <c r="I17" s="428">
        <v>40848</v>
      </c>
      <c r="J17" s="419"/>
      <c r="K17" s="419"/>
      <c r="L17" s="419"/>
      <c r="M17" s="419"/>
      <c r="N17" s="419"/>
    </row>
  </sheetData>
  <mergeCells count="6">
    <mergeCell ref="B13:H13"/>
    <mergeCell ref="B3:I3"/>
    <mergeCell ref="B4:I4"/>
    <mergeCell ref="B5:I5"/>
    <mergeCell ref="B15:H15"/>
    <mergeCell ref="B14:H14"/>
  </mergeCells>
  <phoneticPr fontId="43" type="noConversion"/>
  <pageMargins left="0.7" right="0.7" top="0.75" bottom="0.75" header="0.3" footer="0.3"/>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AH53"/>
  <sheetViews>
    <sheetView showGridLines="0" topLeftCell="A13" workbookViewId="0">
      <pane xSplit="1" topLeftCell="U1" activePane="topRight" state="frozen"/>
      <selection activeCell="A9" sqref="A9"/>
      <selection pane="topRight" activeCell="AG12" sqref="AG12"/>
    </sheetView>
  </sheetViews>
  <sheetFormatPr defaultColWidth="8.85546875" defaultRowHeight="12.75" x14ac:dyDescent="0.2"/>
  <cols>
    <col min="1" max="1" width="17.28515625" style="35" customWidth="1"/>
    <col min="2" max="2" width="10.28515625" style="35" customWidth="1"/>
    <col min="3" max="3" width="9.85546875" style="35" customWidth="1"/>
    <col min="4" max="4" width="3.28515625" style="35" customWidth="1"/>
    <col min="5" max="5" width="9.85546875" style="35" customWidth="1"/>
    <col min="6" max="6" width="11.42578125" style="35" customWidth="1"/>
    <col min="7" max="7" width="9.7109375" style="35" customWidth="1"/>
    <col min="8" max="8" width="1.7109375" style="35" customWidth="1"/>
    <col min="9" max="9" width="8.28515625" style="35" customWidth="1"/>
    <col min="10" max="10" width="8.85546875" style="35" customWidth="1"/>
    <col min="11" max="11" width="8.42578125" style="35" customWidth="1"/>
    <col min="12" max="12" width="10.7109375" style="35" customWidth="1"/>
    <col min="13" max="13" width="1.7109375" style="35" customWidth="1"/>
    <col min="14" max="14" width="5.42578125" style="35" customWidth="1"/>
    <col min="15" max="15" width="8.85546875" style="35" customWidth="1"/>
    <col min="16" max="16" width="10.42578125" style="35" customWidth="1"/>
    <col min="17" max="17" width="1.7109375" style="35" customWidth="1"/>
    <col min="18" max="18" width="5.42578125" style="35" customWidth="1"/>
    <col min="19" max="19" width="8.7109375" style="35" customWidth="1"/>
    <col min="20" max="20" width="10.28515625" style="35" customWidth="1"/>
    <col min="21" max="21" width="1.28515625" style="35" customWidth="1"/>
    <col min="22" max="22" width="10" style="35" customWidth="1"/>
    <col min="23" max="23" width="10.140625" style="35" customWidth="1"/>
    <col min="24" max="25" width="8.85546875" style="35"/>
    <col min="26" max="26" width="10.85546875" style="35" customWidth="1"/>
    <col min="27" max="16384" width="8.85546875" style="35"/>
  </cols>
  <sheetData>
    <row r="1" spans="1:34" ht="18" x14ac:dyDescent="0.25">
      <c r="A1" s="255" t="s">
        <v>428</v>
      </c>
    </row>
    <row r="2" spans="1:34" x14ac:dyDescent="0.2">
      <c r="A2" s="36"/>
      <c r="B2" s="37"/>
    </row>
    <row r="3" spans="1:34" x14ac:dyDescent="0.2">
      <c r="A3" s="37" t="s">
        <v>407</v>
      </c>
      <c r="B3" s="37" t="str">
        <f>'Flow Rates &amp; Concentrations'!B2</f>
        <v>P090923CS</v>
      </c>
      <c r="Y3" s="38"/>
    </row>
    <row r="4" spans="1:34" x14ac:dyDescent="0.2">
      <c r="A4" s="35" t="s">
        <v>408</v>
      </c>
      <c r="B4" s="39">
        <f>'Flow Rates &amp; Concentrations'!B3</f>
        <v>0</v>
      </c>
      <c r="Y4" s="254" t="s">
        <v>226</v>
      </c>
      <c r="Z4" s="252"/>
      <c r="AA4" s="252"/>
      <c r="AB4" s="252"/>
      <c r="AC4" s="252"/>
      <c r="AD4" s="252"/>
      <c r="AE4" s="252"/>
      <c r="AF4" s="252"/>
      <c r="AG4" s="252"/>
      <c r="AH4" s="252"/>
    </row>
    <row r="5" spans="1:34" x14ac:dyDescent="0.2">
      <c r="A5" s="35" t="s">
        <v>409</v>
      </c>
      <c r="B5" s="40">
        <f>'Flow Rates &amp; Concentrations'!B4</f>
        <v>0</v>
      </c>
      <c r="Y5" s="41"/>
      <c r="Z5" s="42"/>
      <c r="AA5" s="42"/>
      <c r="AB5" s="42"/>
      <c r="AC5" s="42"/>
      <c r="AD5" s="42"/>
      <c r="AE5" s="42"/>
      <c r="AF5" s="42"/>
      <c r="AG5" s="42"/>
      <c r="AH5" s="43"/>
    </row>
    <row r="6" spans="1:34" x14ac:dyDescent="0.2">
      <c r="A6" s="249" t="s">
        <v>227</v>
      </c>
      <c r="B6" s="42"/>
      <c r="C6" s="44" t="s">
        <v>411</v>
      </c>
      <c r="D6" s="42"/>
      <c r="E6" s="45">
        <f>'Flow Rates &amp; Concentrations'!B8</f>
        <v>189.681404178978</v>
      </c>
      <c r="F6" s="42"/>
      <c r="G6" s="42"/>
      <c r="H6" s="42"/>
      <c r="I6" s="44" t="s">
        <v>538</v>
      </c>
      <c r="J6" s="45">
        <f>'Flow Rates &amp; Concentrations'!B12</f>
        <v>101.48887829902839</v>
      </c>
      <c r="K6" s="42"/>
      <c r="L6" s="43"/>
      <c r="Y6" s="46"/>
      <c r="Z6" s="47"/>
      <c r="AA6" s="47"/>
      <c r="AB6" s="47"/>
      <c r="AC6" s="47"/>
      <c r="AD6" s="47"/>
      <c r="AE6" s="47"/>
      <c r="AF6" s="48" t="s">
        <v>228</v>
      </c>
      <c r="AG6" s="48" t="s">
        <v>229</v>
      </c>
      <c r="AH6" s="49"/>
    </row>
    <row r="7" spans="1:34" x14ac:dyDescent="0.2">
      <c r="A7" s="46"/>
      <c r="B7" s="47"/>
      <c r="C7" s="48" t="s">
        <v>412</v>
      </c>
      <c r="D7" s="47"/>
      <c r="E7" s="11">
        <f>'Flow Rates &amp; Concentrations'!B9</f>
        <v>0</v>
      </c>
      <c r="F7" s="50"/>
      <c r="G7" s="47"/>
      <c r="H7" s="51"/>
      <c r="I7" s="51"/>
      <c r="J7" s="47"/>
      <c r="K7" s="52"/>
      <c r="L7" s="49"/>
      <c r="Y7" s="46"/>
      <c r="Z7" s="47" t="s">
        <v>230</v>
      </c>
      <c r="AA7" s="53" t="s">
        <v>231</v>
      </c>
      <c r="AB7" s="53" t="s">
        <v>232</v>
      </c>
      <c r="AC7" s="53" t="s">
        <v>233</v>
      </c>
      <c r="AD7" s="53" t="s">
        <v>234</v>
      </c>
      <c r="AE7" s="53" t="s">
        <v>235</v>
      </c>
      <c r="AF7" s="48" t="s">
        <v>236</v>
      </c>
      <c r="AG7" s="48" t="s">
        <v>236</v>
      </c>
      <c r="AH7" s="49"/>
    </row>
    <row r="8" spans="1:34" x14ac:dyDescent="0.2">
      <c r="A8" s="54"/>
      <c r="B8" s="55"/>
      <c r="C8" s="56" t="s">
        <v>237</v>
      </c>
      <c r="D8" s="55"/>
      <c r="E8" s="57">
        <f>'Flow Rates &amp; Concentrations'!B10</f>
        <v>2.1297858520718121E-2</v>
      </c>
      <c r="F8" s="55"/>
      <c r="G8" s="55"/>
      <c r="H8" s="58"/>
      <c r="I8" s="58"/>
      <c r="J8" s="55"/>
      <c r="K8" s="59"/>
      <c r="L8" s="60"/>
      <c r="Y8" s="54"/>
      <c r="Z8" s="55"/>
      <c r="AA8" s="55"/>
      <c r="AB8" s="55"/>
      <c r="AC8" s="55"/>
      <c r="AD8" s="55"/>
      <c r="AE8" s="55"/>
      <c r="AF8" s="61"/>
      <c r="AG8" s="55"/>
      <c r="AH8" s="60"/>
    </row>
    <row r="9" spans="1:34" x14ac:dyDescent="0.2">
      <c r="A9" s="48"/>
      <c r="B9" s="62"/>
      <c r="C9" s="48"/>
      <c r="D9" s="48"/>
      <c r="E9" s="63"/>
      <c r="F9" s="64"/>
      <c r="G9" s="64"/>
      <c r="H9" s="64"/>
      <c r="I9" s="64"/>
      <c r="Y9" s="46"/>
      <c r="Z9" s="47"/>
      <c r="AA9" s="47"/>
      <c r="AB9" s="47"/>
      <c r="AC9" s="47"/>
      <c r="AD9" s="47"/>
      <c r="AE9" s="47"/>
      <c r="AF9" s="47"/>
      <c r="AG9" s="47"/>
      <c r="AH9" s="49"/>
    </row>
    <row r="10" spans="1:34" x14ac:dyDescent="0.2">
      <c r="A10" s="250" t="s">
        <v>238</v>
      </c>
      <c r="B10" s="243"/>
      <c r="C10" s="243"/>
      <c r="D10" s="243"/>
      <c r="E10" s="244"/>
      <c r="F10" s="245"/>
      <c r="G10" s="246"/>
      <c r="H10" s="64"/>
      <c r="I10" s="64"/>
      <c r="K10" s="249" t="s">
        <v>239</v>
      </c>
      <c r="L10" s="247"/>
      <c r="M10" s="247"/>
      <c r="N10" s="247"/>
      <c r="O10" s="248"/>
      <c r="P10" s="51"/>
      <c r="Q10" s="51"/>
      <c r="R10" s="51"/>
      <c r="S10" s="51"/>
      <c r="T10" s="51"/>
      <c r="U10" s="51"/>
      <c r="V10" s="51"/>
      <c r="W10" s="51"/>
      <c r="Y10" s="46"/>
      <c r="Z10" s="47" t="s">
        <v>240</v>
      </c>
      <c r="AA10" s="47">
        <v>6</v>
      </c>
      <c r="AB10" s="47">
        <v>12</v>
      </c>
      <c r="AC10" s="47">
        <v>6</v>
      </c>
      <c r="AD10" s="47"/>
      <c r="AE10" s="47"/>
      <c r="AF10" s="65">
        <f t="shared" ref="AF10:AF16" si="0">AA10*12.011+AB10*1.008+AC10*15.9994+AD10*14.0067</f>
        <v>180.1584</v>
      </c>
      <c r="AG10" s="65">
        <f>AF10/AA10</f>
        <v>30.026399999999999</v>
      </c>
      <c r="AH10" s="49"/>
    </row>
    <row r="11" spans="1:34" x14ac:dyDescent="0.2">
      <c r="A11" s="46"/>
      <c r="B11" s="66"/>
      <c r="C11" s="66"/>
      <c r="D11" s="66"/>
      <c r="E11" s="63"/>
      <c r="F11" s="64"/>
      <c r="G11" s="67"/>
      <c r="H11" s="64"/>
      <c r="I11" s="64"/>
      <c r="K11" s="68"/>
      <c r="O11" s="49"/>
      <c r="P11" s="51"/>
      <c r="Q11" s="51"/>
      <c r="R11" s="51"/>
      <c r="S11" s="51"/>
      <c r="T11" s="51"/>
      <c r="U11" s="51"/>
      <c r="V11" s="51"/>
      <c r="W11" s="69"/>
      <c r="Y11" s="46"/>
      <c r="Z11" s="47" t="s">
        <v>241</v>
      </c>
      <c r="AA11" s="47">
        <v>6</v>
      </c>
      <c r="AB11" s="47">
        <v>12</v>
      </c>
      <c r="AC11" s="47">
        <v>6</v>
      </c>
      <c r="AD11" s="47"/>
      <c r="AE11" s="47"/>
      <c r="AF11" s="65">
        <f t="shared" si="0"/>
        <v>180.1584</v>
      </c>
      <c r="AG11" s="65">
        <f t="shared" ref="AG11:AG16" si="1">AF11/AA11</f>
        <v>30.026399999999999</v>
      </c>
      <c r="AH11" s="49"/>
    </row>
    <row r="12" spans="1:34" x14ac:dyDescent="0.2">
      <c r="A12" s="46"/>
      <c r="B12" s="10" t="s">
        <v>540</v>
      </c>
      <c r="C12" s="11">
        <f>'Flow Rates &amp; Concentrations'!B16</f>
        <v>35.179537259615387</v>
      </c>
      <c r="D12" s="70"/>
      <c r="E12" s="47"/>
      <c r="F12" s="48" t="s">
        <v>429</v>
      </c>
      <c r="G12" s="71">
        <f>'Flow Rates &amp; Concentrations'!B31</f>
        <v>0.92</v>
      </c>
      <c r="H12" s="70"/>
      <c r="I12" s="70"/>
      <c r="K12" s="68"/>
      <c r="L12" s="48"/>
      <c r="M12" s="47"/>
      <c r="N12" s="72" t="s">
        <v>430</v>
      </c>
      <c r="O12" s="73">
        <f>(AC50-AC52*G16)/AC50*100</f>
        <v>45.547348506332739</v>
      </c>
      <c r="P12" s="47"/>
      <c r="Q12" s="47"/>
      <c r="R12" s="47"/>
      <c r="S12" s="47"/>
      <c r="T12" s="47"/>
      <c r="U12" s="47"/>
      <c r="V12" s="48"/>
      <c r="W12" s="74"/>
      <c r="Y12" s="46"/>
      <c r="Z12" s="47" t="s">
        <v>431</v>
      </c>
      <c r="AA12" s="47">
        <v>5</v>
      </c>
      <c r="AB12" s="47">
        <v>10</v>
      </c>
      <c r="AC12" s="47">
        <v>5</v>
      </c>
      <c r="AD12" s="47"/>
      <c r="AE12" s="47"/>
      <c r="AF12" s="65">
        <f t="shared" si="0"/>
        <v>150.13200000000001</v>
      </c>
      <c r="AG12" s="65">
        <f t="shared" si="1"/>
        <v>30.026400000000002</v>
      </c>
      <c r="AH12" s="49"/>
    </row>
    <row r="13" spans="1:34" x14ac:dyDescent="0.2">
      <c r="A13" s="46"/>
      <c r="B13" s="10" t="s">
        <v>424</v>
      </c>
      <c r="C13" s="11">
        <f>'Flow Rates &amp; Concentrations'!B17</f>
        <v>19.182254106570515</v>
      </c>
      <c r="D13" s="70"/>
      <c r="E13" s="47"/>
      <c r="F13" s="75" t="s">
        <v>432</v>
      </c>
      <c r="G13" s="71">
        <f>'Flow Rates &amp; Concentrations'!B32</f>
        <v>7.1999999999999995E-2</v>
      </c>
      <c r="H13" s="70"/>
      <c r="I13" s="70"/>
      <c r="K13" s="46"/>
      <c r="L13" s="48"/>
      <c r="M13" s="51"/>
      <c r="N13" s="260" t="s">
        <v>112</v>
      </c>
      <c r="O13" s="76"/>
      <c r="P13" s="47"/>
      <c r="Q13" s="47"/>
      <c r="R13" s="47"/>
      <c r="S13" s="47"/>
      <c r="T13" s="47"/>
      <c r="U13" s="47"/>
      <c r="V13" s="48"/>
      <c r="W13" s="74"/>
      <c r="Y13" s="46"/>
      <c r="Z13" s="47" t="s">
        <v>433</v>
      </c>
      <c r="AA13" s="47">
        <v>5</v>
      </c>
      <c r="AB13" s="47">
        <v>10</v>
      </c>
      <c r="AC13" s="47">
        <v>5</v>
      </c>
      <c r="AD13" s="47"/>
      <c r="AE13" s="47"/>
      <c r="AF13" s="65">
        <f t="shared" si="0"/>
        <v>150.13200000000001</v>
      </c>
      <c r="AG13" s="65">
        <f t="shared" si="1"/>
        <v>30.026400000000002</v>
      </c>
      <c r="AH13" s="49"/>
    </row>
    <row r="14" spans="1:34" x14ac:dyDescent="0.2">
      <c r="A14" s="46"/>
      <c r="B14" s="10" t="s">
        <v>296</v>
      </c>
      <c r="C14" s="11">
        <f>'Flow Rates &amp; Concentrations'!B18</f>
        <v>22.844154814369659</v>
      </c>
      <c r="D14" s="70"/>
      <c r="E14" s="47"/>
      <c r="F14" s="77" t="s">
        <v>364</v>
      </c>
      <c r="G14" s="71">
        <f>'Flow Rates &amp; Concentrations'!B33</f>
        <v>0</v>
      </c>
      <c r="H14" s="70"/>
      <c r="I14" s="70"/>
      <c r="K14" s="68"/>
      <c r="L14" s="51"/>
      <c r="M14" s="51"/>
      <c r="N14" s="48" t="s">
        <v>365</v>
      </c>
      <c r="O14" s="73">
        <f>I28/IF(J28&gt;0,J28,1)*100</f>
        <v>85.026737967914443</v>
      </c>
      <c r="P14" s="47"/>
      <c r="Q14" s="47"/>
      <c r="R14" s="47"/>
      <c r="S14" s="47"/>
      <c r="T14" s="47"/>
      <c r="U14" s="47"/>
      <c r="V14" s="48"/>
      <c r="W14" s="74"/>
      <c r="Y14" s="46"/>
      <c r="Z14" s="47" t="s">
        <v>366</v>
      </c>
      <c r="AA14" s="47">
        <v>6</v>
      </c>
      <c r="AB14" s="47">
        <v>12</v>
      </c>
      <c r="AC14" s="47">
        <v>6</v>
      </c>
      <c r="AD14" s="47"/>
      <c r="AE14" s="47"/>
      <c r="AF14" s="65">
        <f t="shared" si="0"/>
        <v>180.1584</v>
      </c>
      <c r="AG14" s="65">
        <f t="shared" si="1"/>
        <v>30.026399999999999</v>
      </c>
      <c r="AH14" s="49"/>
    </row>
    <row r="15" spans="1:34" x14ac:dyDescent="0.2">
      <c r="A15" s="46"/>
      <c r="B15" s="10" t="s">
        <v>298</v>
      </c>
      <c r="C15" s="11">
        <f>'Flow Rates &amp; Concentrations'!B19</f>
        <v>39.389194586338142</v>
      </c>
      <c r="D15" s="70"/>
      <c r="E15" s="78"/>
      <c r="F15" s="64"/>
      <c r="G15" s="71"/>
      <c r="H15" s="64"/>
      <c r="I15" s="64"/>
      <c r="K15" s="68"/>
      <c r="L15" s="51"/>
      <c r="M15" s="51"/>
      <c r="N15" s="72" t="s">
        <v>490</v>
      </c>
      <c r="O15" s="73">
        <f>I32/IF(J32&gt;0,J32,1)*100</f>
        <v>86.771653543307096</v>
      </c>
      <c r="P15" s="51"/>
      <c r="Q15" s="51"/>
      <c r="R15" s="51"/>
      <c r="S15" s="51"/>
      <c r="T15" s="51"/>
      <c r="U15" s="79"/>
      <c r="V15" s="51"/>
      <c r="W15" s="69"/>
      <c r="Y15" s="46"/>
      <c r="Z15" s="215" t="s">
        <v>354</v>
      </c>
      <c r="AA15" s="215">
        <v>12</v>
      </c>
      <c r="AB15" s="215">
        <v>22</v>
      </c>
      <c r="AC15" s="215">
        <v>11</v>
      </c>
      <c r="AF15" s="65">
        <f t="shared" si="0"/>
        <v>342.3014</v>
      </c>
      <c r="AG15" s="65">
        <f t="shared" si="1"/>
        <v>28.525116666666666</v>
      </c>
      <c r="AH15" s="49"/>
    </row>
    <row r="16" spans="1:34" x14ac:dyDescent="0.2">
      <c r="A16" s="46"/>
      <c r="B16" s="10" t="s">
        <v>491</v>
      </c>
      <c r="C16" s="11">
        <f>'Flow Rates &amp; Concentrations'!B20</f>
        <v>0</v>
      </c>
      <c r="D16" s="70"/>
      <c r="E16" s="47"/>
      <c r="F16" s="77" t="s">
        <v>363</v>
      </c>
      <c r="G16" s="80">
        <f>'Flow Rates &amp; Concentrations'!B34</f>
        <v>0.185</v>
      </c>
      <c r="H16" s="81"/>
      <c r="I16" s="81"/>
      <c r="K16" s="68"/>
      <c r="L16" s="51"/>
      <c r="M16" s="51"/>
      <c r="N16" s="48" t="s">
        <v>109</v>
      </c>
      <c r="O16" s="73">
        <f>I31/IF(J31&gt;0,J31,1)*100</f>
        <v>90.909090909090921</v>
      </c>
      <c r="P16" s="51"/>
      <c r="Q16" s="51"/>
      <c r="R16" s="51"/>
      <c r="S16" s="51"/>
      <c r="T16" s="51"/>
      <c r="U16" s="51"/>
      <c r="V16" s="51"/>
      <c r="W16" s="74"/>
      <c r="Y16" s="46"/>
      <c r="Z16" s="215" t="s">
        <v>355</v>
      </c>
      <c r="AA16" s="215">
        <v>6</v>
      </c>
      <c r="AB16" s="35">
        <v>12</v>
      </c>
      <c r="AC16" s="35">
        <v>6</v>
      </c>
      <c r="AF16" s="65">
        <f t="shared" si="0"/>
        <v>180.1584</v>
      </c>
      <c r="AG16" s="65">
        <f t="shared" si="1"/>
        <v>30.026399999999999</v>
      </c>
      <c r="AH16" s="49"/>
    </row>
    <row r="17" spans="1:34" x14ac:dyDescent="0.2">
      <c r="A17" s="46"/>
      <c r="B17" s="10" t="s">
        <v>310</v>
      </c>
      <c r="C17" s="11">
        <f>'Flow Rates &amp; Concentrations'!B21</f>
        <v>0</v>
      </c>
      <c r="D17" s="70"/>
      <c r="E17" s="78"/>
      <c r="F17" s="64"/>
      <c r="G17" s="82"/>
      <c r="H17" s="64"/>
      <c r="I17" s="64"/>
      <c r="K17" s="68"/>
      <c r="L17" s="51"/>
      <c r="M17" s="51"/>
      <c r="N17" s="48" t="s">
        <v>252</v>
      </c>
      <c r="O17" s="73">
        <f>I33/IF(J33&gt;0,J33,1)*100</f>
        <v>103.84615384615385</v>
      </c>
      <c r="P17" s="51"/>
      <c r="Q17" s="51"/>
      <c r="R17" s="51"/>
      <c r="S17" s="51"/>
      <c r="T17" s="51"/>
      <c r="U17" s="51"/>
      <c r="V17" s="51"/>
      <c r="W17" s="69"/>
      <c r="Y17" s="46"/>
      <c r="Z17" s="47"/>
      <c r="AA17" s="47"/>
      <c r="AB17" s="47"/>
      <c r="AC17" s="47"/>
      <c r="AD17" s="47"/>
      <c r="AE17" s="47"/>
      <c r="AF17" s="65"/>
      <c r="AG17" s="65"/>
      <c r="AH17" s="49"/>
    </row>
    <row r="18" spans="1:34" x14ac:dyDescent="0.2">
      <c r="A18" s="46"/>
      <c r="B18" s="48" t="s">
        <v>441</v>
      </c>
      <c r="C18" s="11">
        <f>'Flow Rates &amp; Concentrations'!B22</f>
        <v>7.0025238775800256</v>
      </c>
      <c r="D18" s="47"/>
      <c r="E18" s="47"/>
      <c r="F18" s="47"/>
      <c r="G18" s="83"/>
      <c r="H18" s="47"/>
      <c r="I18" s="47"/>
      <c r="J18" s="84"/>
      <c r="K18" s="54"/>
      <c r="L18" s="55"/>
      <c r="M18" s="55"/>
      <c r="N18" s="56" t="s">
        <v>254</v>
      </c>
      <c r="O18" s="85">
        <f>I30/IF(J30&gt;0,J30,1)*100</f>
        <v>0</v>
      </c>
      <c r="P18" s="51"/>
      <c r="Q18" s="51"/>
      <c r="R18" s="51"/>
      <c r="S18" s="51"/>
      <c r="T18" s="51"/>
      <c r="U18" s="51"/>
      <c r="V18" s="51"/>
      <c r="W18" s="69"/>
      <c r="Y18" s="46"/>
      <c r="Z18" s="47" t="s">
        <v>251</v>
      </c>
      <c r="AA18" s="47">
        <v>2</v>
      </c>
      <c r="AB18" s="47">
        <v>4</v>
      </c>
      <c r="AC18" s="47">
        <v>2</v>
      </c>
      <c r="AD18" s="47"/>
      <c r="AE18" s="47"/>
      <c r="AF18" s="65">
        <f>AA18*12.011+AB18*1.008+AC18*15.9994+AD18*14.0067</f>
        <v>60.052799999999998</v>
      </c>
      <c r="AG18" s="65">
        <f t="shared" ref="AG18:AG23" si="2">AF18/AA18</f>
        <v>30.026399999999999</v>
      </c>
      <c r="AH18" s="49"/>
    </row>
    <row r="19" spans="1:34" x14ac:dyDescent="0.2">
      <c r="A19" s="54"/>
      <c r="B19" s="56" t="s">
        <v>443</v>
      </c>
      <c r="C19" s="86">
        <f>'Flow Rates &amp; Concentrations'!B23</f>
        <v>14.329397671053504</v>
      </c>
      <c r="D19" s="55"/>
      <c r="E19" s="55"/>
      <c r="F19" s="55"/>
      <c r="G19" s="87"/>
      <c r="H19" s="47"/>
      <c r="I19" s="47"/>
      <c r="J19" s="84"/>
      <c r="K19" s="47"/>
      <c r="L19" s="47"/>
      <c r="M19" s="47"/>
      <c r="N19" s="48"/>
      <c r="O19" s="88"/>
      <c r="Y19" s="46"/>
      <c r="Z19" s="47" t="s">
        <v>253</v>
      </c>
      <c r="AA19" s="47">
        <v>1</v>
      </c>
      <c r="AB19" s="47">
        <v>2</v>
      </c>
      <c r="AC19" s="47">
        <v>2</v>
      </c>
      <c r="AD19" s="47"/>
      <c r="AE19" s="47"/>
      <c r="AF19" s="65">
        <f>AA19*12.011+AB19*1.008+AC19*15.9994+AD19*14.0067</f>
        <v>46.025799999999997</v>
      </c>
      <c r="AG19" s="65">
        <f t="shared" si="2"/>
        <v>46.025799999999997</v>
      </c>
      <c r="AH19" s="49"/>
    </row>
    <row r="20" spans="1:34" x14ac:dyDescent="0.2">
      <c r="Y20" s="46"/>
      <c r="Z20" s="47" t="s">
        <v>255</v>
      </c>
      <c r="AA20" s="47">
        <v>3</v>
      </c>
      <c r="AB20" s="47">
        <v>6</v>
      </c>
      <c r="AC20" s="47">
        <v>3</v>
      </c>
      <c r="AD20" s="47"/>
      <c r="AE20" s="47"/>
      <c r="AF20" s="65">
        <v>90.08</v>
      </c>
      <c r="AG20" s="65">
        <f t="shared" si="2"/>
        <v>30.026666666666667</v>
      </c>
      <c r="AH20" s="49"/>
    </row>
    <row r="21" spans="1:34" x14ac:dyDescent="0.2">
      <c r="A21" s="251" t="s">
        <v>368</v>
      </c>
      <c r="B21" s="252"/>
      <c r="C21" s="252"/>
      <c r="D21" s="252"/>
      <c r="E21" s="252"/>
      <c r="F21" s="252"/>
      <c r="G21" s="252"/>
      <c r="H21" s="252"/>
      <c r="I21" s="252"/>
      <c r="J21" s="252"/>
      <c r="K21" s="252"/>
      <c r="L21" s="252"/>
      <c r="M21" s="252"/>
      <c r="N21" s="252"/>
      <c r="O21" s="252"/>
      <c r="P21" s="252"/>
      <c r="Q21" s="252"/>
      <c r="R21" s="252"/>
      <c r="S21" s="252"/>
      <c r="T21" s="252"/>
      <c r="U21" s="252"/>
      <c r="V21" s="252"/>
      <c r="W21" s="252"/>
      <c r="Y21" s="46"/>
      <c r="Z21" s="47" t="s">
        <v>256</v>
      </c>
      <c r="AA21" s="47">
        <v>9</v>
      </c>
      <c r="AB21" s="47">
        <v>8.6999999999999993</v>
      </c>
      <c r="AC21" s="47">
        <v>2.72</v>
      </c>
      <c r="AD21" s="47"/>
      <c r="AE21" s="47">
        <v>0.9</v>
      </c>
      <c r="AF21" s="65">
        <f>AA21*12.011+AB21*1.008+AC21*15.9994+AD21*14.0067+AE21*(15.9994+12.011+3*1.008)</f>
        <v>188.31792799999999</v>
      </c>
      <c r="AG21" s="65">
        <f t="shared" si="2"/>
        <v>20.924214222222222</v>
      </c>
      <c r="AH21" s="49"/>
    </row>
    <row r="22" spans="1:34" x14ac:dyDescent="0.2">
      <c r="A22" s="42"/>
      <c r="B22" s="42"/>
      <c r="C22" s="89"/>
      <c r="D22" s="89"/>
      <c r="E22" s="90"/>
      <c r="F22" s="42"/>
      <c r="G22" s="42"/>
      <c r="H22" s="42"/>
      <c r="I22" s="42"/>
      <c r="J22" s="42"/>
      <c r="K22" s="91"/>
      <c r="L22" s="91"/>
      <c r="M22" s="91"/>
      <c r="N22" s="91"/>
      <c r="O22" s="91"/>
      <c r="P22" s="91"/>
      <c r="Q22" s="91"/>
      <c r="R22" s="91"/>
      <c r="S22" s="91"/>
      <c r="T22" s="91"/>
      <c r="U22" s="91"/>
      <c r="V22" s="92"/>
      <c r="W22" s="42"/>
      <c r="X22" s="47"/>
      <c r="Y22" s="46"/>
      <c r="Z22" s="47" t="s">
        <v>367</v>
      </c>
      <c r="AA22" s="47">
        <v>5</v>
      </c>
      <c r="AB22" s="47">
        <v>4</v>
      </c>
      <c r="AC22" s="47">
        <v>2</v>
      </c>
      <c r="AD22" s="47"/>
      <c r="AE22" s="47"/>
      <c r="AF22" s="65">
        <f>AA22*12.011+AB22*1.008+AC22*15.9994+AD22*14.0067</f>
        <v>96.085799999999992</v>
      </c>
      <c r="AG22" s="65">
        <f t="shared" si="2"/>
        <v>19.21716</v>
      </c>
      <c r="AH22" s="49"/>
    </row>
    <row r="23" spans="1:34" x14ac:dyDescent="0.2">
      <c r="A23" s="47"/>
      <c r="B23" s="93" t="s">
        <v>370</v>
      </c>
      <c r="C23" s="93"/>
      <c r="D23" s="94"/>
      <c r="E23" s="95"/>
      <c r="F23" s="95"/>
      <c r="G23" s="95"/>
      <c r="H23" s="95"/>
      <c r="I23" s="95"/>
      <c r="J23" s="93"/>
      <c r="K23" s="93" t="s">
        <v>371</v>
      </c>
      <c r="L23" s="96"/>
      <c r="M23" s="96"/>
      <c r="N23" s="96"/>
      <c r="O23" s="96"/>
      <c r="P23" s="96"/>
      <c r="Q23" s="96"/>
      <c r="R23" s="96"/>
      <c r="S23" s="96"/>
      <c r="T23" s="96"/>
      <c r="U23" s="96"/>
      <c r="V23" s="97"/>
      <c r="W23" s="55"/>
      <c r="X23" s="47"/>
      <c r="Y23" s="46"/>
      <c r="Z23" s="47" t="s">
        <v>369</v>
      </c>
      <c r="AA23" s="47">
        <v>6</v>
      </c>
      <c r="AB23" s="47">
        <v>6</v>
      </c>
      <c r="AC23" s="47">
        <v>3</v>
      </c>
      <c r="AD23" s="47"/>
      <c r="AE23" s="47"/>
      <c r="AF23" s="65">
        <f>AA23*12.011+AB23*1.008+AC23*15.9994+AD23*14.0067</f>
        <v>126.1122</v>
      </c>
      <c r="AG23" s="65">
        <f t="shared" si="2"/>
        <v>21.018699999999999</v>
      </c>
      <c r="AH23" s="49"/>
    </row>
    <row r="24" spans="1:34" x14ac:dyDescent="0.2">
      <c r="A24" s="47"/>
      <c r="B24" s="98" t="s">
        <v>373</v>
      </c>
      <c r="C24" s="99" t="s">
        <v>374</v>
      </c>
      <c r="D24" s="66"/>
      <c r="E24" s="100"/>
      <c r="F24" s="100" t="s">
        <v>492</v>
      </c>
      <c r="G24" s="101"/>
      <c r="H24" s="102"/>
      <c r="I24" s="101"/>
      <c r="J24" s="103"/>
      <c r="K24" s="100" t="s">
        <v>493</v>
      </c>
      <c r="L24" s="101"/>
      <c r="M24" s="102"/>
      <c r="N24" s="101"/>
      <c r="O24" s="100" t="s">
        <v>494</v>
      </c>
      <c r="P24" s="101"/>
      <c r="Q24" s="102"/>
      <c r="R24" s="101"/>
      <c r="S24" s="100" t="s">
        <v>495</v>
      </c>
      <c r="T24" s="101"/>
      <c r="U24" s="102"/>
      <c r="V24" s="104" t="s">
        <v>405</v>
      </c>
      <c r="W24" s="55"/>
      <c r="Y24" s="46"/>
      <c r="Z24" s="47"/>
      <c r="AA24" s="47"/>
      <c r="AB24" s="47"/>
      <c r="AC24" s="47"/>
      <c r="AD24" s="47"/>
      <c r="AE24" s="47"/>
      <c r="AF24" s="65"/>
      <c r="AG24" s="65"/>
      <c r="AH24" s="49"/>
    </row>
    <row r="25" spans="1:34" x14ac:dyDescent="0.2">
      <c r="A25" s="47" t="s">
        <v>230</v>
      </c>
      <c r="B25" s="48" t="s">
        <v>497</v>
      </c>
      <c r="C25" s="48" t="s">
        <v>498</v>
      </c>
      <c r="D25" s="63"/>
      <c r="E25" s="48" t="s">
        <v>497</v>
      </c>
      <c r="F25" s="48" t="s">
        <v>498</v>
      </c>
      <c r="G25" s="48" t="s">
        <v>499</v>
      </c>
      <c r="H25" s="48"/>
      <c r="I25" s="48" t="s">
        <v>500</v>
      </c>
      <c r="J25" s="63" t="s">
        <v>501</v>
      </c>
      <c r="K25" s="48" t="s">
        <v>498</v>
      </c>
      <c r="L25" s="48" t="s">
        <v>499</v>
      </c>
      <c r="M25" s="48"/>
      <c r="N25" s="48" t="s">
        <v>502</v>
      </c>
      <c r="O25" s="48" t="s">
        <v>498</v>
      </c>
      <c r="P25" s="48" t="s">
        <v>499</v>
      </c>
      <c r="Q25" s="48"/>
      <c r="R25" s="48" t="s">
        <v>502</v>
      </c>
      <c r="S25" s="48" t="s">
        <v>498</v>
      </c>
      <c r="T25" s="48" t="s">
        <v>499</v>
      </c>
      <c r="U25" s="48"/>
      <c r="V25" s="48" t="s">
        <v>498</v>
      </c>
      <c r="W25" s="48" t="s">
        <v>499</v>
      </c>
      <c r="X25" s="48"/>
      <c r="Y25" s="46"/>
      <c r="Z25" s="47" t="s">
        <v>372</v>
      </c>
      <c r="AA25" s="47">
        <v>6</v>
      </c>
      <c r="AB25" s="47">
        <v>10</v>
      </c>
      <c r="AC25" s="47">
        <v>5</v>
      </c>
      <c r="AD25" s="47"/>
      <c r="AE25" s="47"/>
      <c r="AF25" s="65">
        <f t="shared" ref="AF25:AF31" si="3">AA25*12.011+AB25*1.008+AC25*15.9994+AD25*14.0067</f>
        <v>162.143</v>
      </c>
      <c r="AG25" s="65">
        <f t="shared" ref="AG25:AG31" si="4">AF25/AA25</f>
        <v>27.023833333333332</v>
      </c>
      <c r="AH25" s="49"/>
    </row>
    <row r="26" spans="1:34" x14ac:dyDescent="0.2">
      <c r="A26" s="55"/>
      <c r="B26" s="55"/>
      <c r="C26" s="55"/>
      <c r="D26" s="55"/>
      <c r="E26" s="55"/>
      <c r="F26" s="55"/>
      <c r="G26" s="55"/>
      <c r="H26" s="55"/>
      <c r="I26" s="55"/>
      <c r="J26" s="55"/>
      <c r="K26" s="55"/>
      <c r="L26" s="55"/>
      <c r="M26" s="55"/>
      <c r="N26" s="55"/>
      <c r="O26" s="55"/>
      <c r="P26" s="55"/>
      <c r="Q26" s="55"/>
      <c r="R26" s="55"/>
      <c r="S26" s="55"/>
      <c r="T26" s="55"/>
      <c r="U26" s="55"/>
      <c r="V26" s="55"/>
      <c r="W26" s="55"/>
      <c r="X26" s="47"/>
      <c r="Y26" s="46"/>
      <c r="Z26" s="47" t="s">
        <v>496</v>
      </c>
      <c r="AA26" s="47">
        <v>12</v>
      </c>
      <c r="AB26" s="47">
        <v>22</v>
      </c>
      <c r="AC26" s="47">
        <v>11</v>
      </c>
      <c r="AD26" s="47"/>
      <c r="AE26" s="47"/>
      <c r="AF26" s="65">
        <f t="shared" si="3"/>
        <v>342.3014</v>
      </c>
      <c r="AG26" s="65">
        <f t="shared" si="4"/>
        <v>28.525116666666666</v>
      </c>
      <c r="AH26" s="49"/>
    </row>
    <row r="27" spans="1:34" x14ac:dyDescent="0.2">
      <c r="A27" s="47"/>
      <c r="B27" s="47"/>
      <c r="C27" s="47"/>
      <c r="D27" s="47"/>
      <c r="E27" s="47"/>
      <c r="F27" s="47"/>
      <c r="G27" s="47"/>
      <c r="H27" s="47"/>
      <c r="I27" s="47"/>
      <c r="J27" s="47"/>
      <c r="K27" s="47"/>
      <c r="L27" s="47"/>
      <c r="M27" s="47"/>
      <c r="N27" s="47"/>
      <c r="O27" s="105"/>
      <c r="P27" s="47"/>
      <c r="Q27" s="47"/>
      <c r="R27" s="47"/>
      <c r="S27" s="105"/>
      <c r="T27" s="47"/>
      <c r="U27" s="47"/>
      <c r="Y27" s="46"/>
      <c r="Z27" s="47" t="s">
        <v>503</v>
      </c>
      <c r="AA27" s="47">
        <v>6</v>
      </c>
      <c r="AB27" s="47">
        <v>10</v>
      </c>
      <c r="AC27" s="47">
        <v>5</v>
      </c>
      <c r="AD27" s="47"/>
      <c r="AE27" s="47"/>
      <c r="AF27" s="65">
        <f t="shared" si="3"/>
        <v>162.143</v>
      </c>
      <c r="AG27" s="65">
        <f t="shared" si="4"/>
        <v>27.023833333333332</v>
      </c>
      <c r="AH27" s="49"/>
    </row>
    <row r="28" spans="1:34" x14ac:dyDescent="0.2">
      <c r="A28" s="35" t="s">
        <v>240</v>
      </c>
      <c r="B28" s="106">
        <f>'Flow Rates &amp; Concentrations'!B38</f>
        <v>0.37555453642772113</v>
      </c>
      <c r="C28" s="107">
        <f>B28*$C$12*1000*$G$12/$AG10</f>
        <v>404.80670419012841</v>
      </c>
      <c r="D28" s="107"/>
      <c r="E28" s="106">
        <f>'Flow Rates &amp; Concentrations'!B54</f>
        <v>0.58444285846444199</v>
      </c>
      <c r="F28" s="107">
        <f>($AC$52*1000*$G$16*E28)/AG10</f>
        <v>343.03289795287742</v>
      </c>
      <c r="G28" s="108">
        <f>F28/IF($C28&gt;0,$C28,1)*100</f>
        <v>84.739925105529565</v>
      </c>
      <c r="H28" s="108"/>
      <c r="I28" s="109">
        <f>'Flow Rates &amp; Concentrations'!B69</f>
        <v>15.9</v>
      </c>
      <c r="J28" s="339">
        <f>'Flow Rates &amp; Concentrations'!B79</f>
        <v>18.7</v>
      </c>
      <c r="K28" s="107">
        <f>$AC$52*1000*(1-$G$16)/1000/'Flow Rates &amp; Concentrations'!$B$67*J28/AG10</f>
        <v>45.231761142053251</v>
      </c>
      <c r="L28" s="108">
        <f>K28/IF($C28&gt;0,$C28,1)*100</f>
        <v>11.173668981729348</v>
      </c>
      <c r="M28" s="108"/>
      <c r="N28" s="110"/>
      <c r="O28" s="111"/>
      <c r="P28" s="108"/>
      <c r="Q28" s="108"/>
      <c r="R28" s="110"/>
      <c r="S28" s="111"/>
      <c r="T28" s="108"/>
      <c r="U28" s="108"/>
      <c r="V28" s="112">
        <f>F28+K28+K34+K35+K42</f>
        <v>395.17547463459306</v>
      </c>
      <c r="W28" s="113">
        <f>IF($C28&gt;0,100*V28/($C28+C34)," ")</f>
        <v>92.438900247761239</v>
      </c>
      <c r="Y28" s="46"/>
      <c r="Z28" s="47" t="s">
        <v>504</v>
      </c>
      <c r="AA28" s="47">
        <v>5</v>
      </c>
      <c r="AB28" s="47">
        <v>8</v>
      </c>
      <c r="AC28" s="47">
        <v>4</v>
      </c>
      <c r="AD28" s="47"/>
      <c r="AE28" s="47"/>
      <c r="AF28" s="65">
        <f t="shared" si="3"/>
        <v>132.11660000000001</v>
      </c>
      <c r="AG28" s="65">
        <f t="shared" si="4"/>
        <v>26.42332</v>
      </c>
      <c r="AH28" s="49"/>
    </row>
    <row r="29" spans="1:34" x14ac:dyDescent="0.2">
      <c r="A29" s="35" t="s">
        <v>496</v>
      </c>
      <c r="B29" s="106"/>
      <c r="C29" s="107"/>
      <c r="D29" s="107"/>
      <c r="E29" s="106"/>
      <c r="F29" s="107"/>
      <c r="G29" s="108"/>
      <c r="H29" s="108"/>
      <c r="I29" s="114"/>
      <c r="J29" s="114">
        <f>'Flow Rates &amp; Concentrations'!B68</f>
        <v>2.8</v>
      </c>
      <c r="K29" s="107">
        <f>$AC$52*1000*(1-$G$16)/1000/'Flow Rates &amp; Concentrations'!$B$67*J29/AG26</f>
        <v>7.1291172756022636</v>
      </c>
      <c r="L29" s="108">
        <f>K29/IF($C28&gt;0,$C28,1)*100</f>
        <v>1.7611164048937988</v>
      </c>
      <c r="M29" s="108"/>
      <c r="N29" s="110"/>
      <c r="O29" s="111"/>
      <c r="P29" s="108"/>
      <c r="Q29" s="108"/>
      <c r="R29" s="110"/>
      <c r="S29" s="111"/>
      <c r="T29" s="108"/>
      <c r="U29" s="108"/>
      <c r="V29" s="112"/>
      <c r="W29" s="256" t="s">
        <v>108</v>
      </c>
      <c r="Y29" s="46"/>
      <c r="Z29" s="47" t="s">
        <v>505</v>
      </c>
      <c r="AA29" s="47">
        <v>5</v>
      </c>
      <c r="AB29" s="47">
        <v>8</v>
      </c>
      <c r="AC29" s="47">
        <v>4</v>
      </c>
      <c r="AD29" s="47"/>
      <c r="AE29" s="47"/>
      <c r="AF29" s="65">
        <f t="shared" si="3"/>
        <v>132.11660000000001</v>
      </c>
      <c r="AG29" s="65">
        <f t="shared" si="4"/>
        <v>26.42332</v>
      </c>
      <c r="AH29" s="49"/>
    </row>
    <row r="30" spans="1:34" x14ac:dyDescent="0.2">
      <c r="A30" s="35" t="s">
        <v>241</v>
      </c>
      <c r="B30" s="106">
        <f>'Flow Rates &amp; Concentrations'!B42</f>
        <v>0</v>
      </c>
      <c r="C30" s="107">
        <f>B30*$C$12*1000*$G$12/$AG11</f>
        <v>0</v>
      </c>
      <c r="D30" s="107"/>
      <c r="E30" s="106">
        <f>'Flow Rates &amp; Concentrations'!B58</f>
        <v>0</v>
      </c>
      <c r="F30" s="107">
        <f>($AC$52*1000*$G$16*E30)/AG11</f>
        <v>0</v>
      </c>
      <c r="G30" s="108">
        <f>F30/IF($C30&gt;0,$C30,1)*100</f>
        <v>0</v>
      </c>
      <c r="H30" s="108"/>
      <c r="I30" s="109">
        <f>'Flow Rates &amp; Concentrations'!B73</f>
        <v>0</v>
      </c>
      <c r="J30" s="109">
        <f>'Flow Rates &amp; Concentrations'!B83</f>
        <v>0</v>
      </c>
      <c r="K30" s="107">
        <f>$AC$52*1000*(1-$G$16)/1000/'Flow Rates &amp; Concentrations'!$B$67*J30/AG11</f>
        <v>0</v>
      </c>
      <c r="L30" s="108">
        <f>K30/IF($C30&gt;0,$C30,1)*100</f>
        <v>0</v>
      </c>
      <c r="M30" s="108"/>
      <c r="N30" s="110"/>
      <c r="O30" s="111"/>
      <c r="P30" s="108"/>
      <c r="Q30" s="108"/>
      <c r="R30" s="110"/>
      <c r="S30" s="111"/>
      <c r="T30" s="108"/>
      <c r="U30" s="108"/>
      <c r="V30" s="112">
        <f>F30+K30</f>
        <v>0</v>
      </c>
      <c r="W30" s="113" t="str">
        <f>IF($C30&gt;0,100*V30/$C30," ")</f>
        <v xml:space="preserve"> </v>
      </c>
      <c r="Y30" s="46"/>
      <c r="Z30" s="47" t="s">
        <v>506</v>
      </c>
      <c r="AA30" s="47">
        <v>6</v>
      </c>
      <c r="AB30" s="47">
        <v>10</v>
      </c>
      <c r="AC30" s="47">
        <v>5</v>
      </c>
      <c r="AD30" s="47"/>
      <c r="AE30" s="47"/>
      <c r="AF30" s="65">
        <f t="shared" si="3"/>
        <v>162.143</v>
      </c>
      <c r="AG30" s="65">
        <f t="shared" si="4"/>
        <v>27.023833333333332</v>
      </c>
      <c r="AH30" s="49"/>
    </row>
    <row r="31" spans="1:34" x14ac:dyDescent="0.2">
      <c r="A31" s="35" t="s">
        <v>366</v>
      </c>
      <c r="B31" s="106">
        <f>'Flow Rates &amp; Concentrations'!B40</f>
        <v>1.6666621439100054E-2</v>
      </c>
      <c r="C31" s="107">
        <f>B31*$C$12*1000*$G$12/$AG14</f>
        <v>17.964794564650674</v>
      </c>
      <c r="D31" s="107"/>
      <c r="E31" s="106">
        <f>'Flow Rates &amp; Concentrations'!B56</f>
        <v>0</v>
      </c>
      <c r="F31" s="107">
        <f>($AC$52*1000*$G$16*E31)/AG14</f>
        <v>0</v>
      </c>
      <c r="G31" s="108">
        <f>F31/IF($C31&gt;0,$C31,1)*100</f>
        <v>0</v>
      </c>
      <c r="H31" s="108"/>
      <c r="I31" s="109">
        <f>'Flow Rates &amp; Concentrations'!B71</f>
        <v>6</v>
      </c>
      <c r="J31" s="109">
        <f>'Flow Rates &amp; Concentrations'!B81</f>
        <v>6.6</v>
      </c>
      <c r="K31" s="107">
        <f>$AC$52*1000*(1-$G$16)/1000/'Flow Rates &amp; Concentrations'!$B$67*J31/AG14</f>
        <v>15.964150991312909</v>
      </c>
      <c r="L31" s="108">
        <f>K31/IF($C31&gt;0,$C31,1)*100</f>
        <v>88.863532137047471</v>
      </c>
      <c r="M31" s="108"/>
      <c r="N31" s="110"/>
      <c r="O31" s="111"/>
      <c r="P31" s="108"/>
      <c r="Q31" s="108"/>
      <c r="R31" s="110"/>
      <c r="S31" s="111"/>
      <c r="T31" s="108"/>
      <c r="U31" s="108"/>
      <c r="V31" s="112">
        <f>F31+K31</f>
        <v>15.964150991312909</v>
      </c>
      <c r="W31" s="113">
        <f>IF($C31&gt;0,100*V31/$C31," ")</f>
        <v>88.863532137047471</v>
      </c>
      <c r="Y31" s="46"/>
      <c r="Z31" s="215" t="s">
        <v>212</v>
      </c>
      <c r="AA31" s="215">
        <v>2</v>
      </c>
      <c r="AB31" s="215">
        <v>3</v>
      </c>
      <c r="AC31" s="215">
        <v>1</v>
      </c>
      <c r="AD31" s="47"/>
      <c r="AE31" s="47"/>
      <c r="AF31" s="65">
        <f t="shared" si="3"/>
        <v>43.045400000000001</v>
      </c>
      <c r="AG31" s="65">
        <f t="shared" si="4"/>
        <v>21.5227</v>
      </c>
      <c r="AH31" s="49"/>
    </row>
    <row r="32" spans="1:34" x14ac:dyDescent="0.2">
      <c r="A32" s="200" t="s">
        <v>431</v>
      </c>
      <c r="B32" s="201">
        <f>'Flow Rates &amp; Concentrations'!B39</f>
        <v>0.21931745140277606</v>
      </c>
      <c r="C32" s="202">
        <f>B32*$C$12*1000*$G$12/$AG12</f>
        <v>236.400219042017</v>
      </c>
      <c r="D32" s="202"/>
      <c r="E32" s="201">
        <f>'Flow Rates &amp; Concentrations'!B55</f>
        <v>2.8408996295696379E-2</v>
      </c>
      <c r="F32" s="202">
        <f>($AC$52*1000*$G$16*E32)/AG12</f>
        <v>16.674376606893205</v>
      </c>
      <c r="G32" s="203">
        <f>F32/IF($C32&gt;0,$C32,1)*100</f>
        <v>7.0534522660190753</v>
      </c>
      <c r="H32" s="203"/>
      <c r="I32" s="204">
        <f>'Flow Rates &amp; Concentrations'!B70</f>
        <v>55.1</v>
      </c>
      <c r="J32" s="204">
        <f>'Flow Rates &amp; Concentrations'!B80</f>
        <v>63.5</v>
      </c>
      <c r="K32" s="202">
        <f>$AC$52*1000*(1-$G$16)/1000/'Flow Rates &amp; Concentrations'!$B$67*J32/AG12</f>
        <v>153.59448302248026</v>
      </c>
      <c r="L32" s="203">
        <f>K32/IF($C32&gt;0,$C32,1)*100</f>
        <v>64.972225340950672</v>
      </c>
      <c r="M32" s="203"/>
      <c r="N32" s="205"/>
      <c r="O32" s="206"/>
      <c r="P32" s="203"/>
      <c r="Q32" s="203"/>
      <c r="R32" s="205"/>
      <c r="S32" s="206"/>
      <c r="T32" s="203"/>
      <c r="U32" s="203"/>
      <c r="V32" s="202">
        <f>F32+K32+K41+O41+S41</f>
        <v>178.95866927997119</v>
      </c>
      <c r="W32" s="203">
        <f>IF($C32&gt;0,100*V32/$C32," ")</f>
        <v>75.701566608177998</v>
      </c>
      <c r="Y32" s="46"/>
      <c r="Z32" s="47" t="s">
        <v>507</v>
      </c>
      <c r="AA32" s="115">
        <f>AB41</f>
        <v>3.8739488801931565</v>
      </c>
      <c r="AB32" s="115">
        <f>AB42</f>
        <v>6.6567460317460316</v>
      </c>
      <c r="AC32" s="115">
        <f>AB44</f>
        <v>2.0807030263634885</v>
      </c>
      <c r="AD32" s="115">
        <f>AB45</f>
        <v>0.75249701928362844</v>
      </c>
      <c r="AE32" s="115"/>
      <c r="AF32" s="65">
        <f>AA32*12.011+AB32*1.008+AC32*15.9994+AD32*14.0067</f>
        <v>97.07</v>
      </c>
      <c r="AG32" s="65">
        <f>AF32/AA32</f>
        <v>25.057119492800339</v>
      </c>
      <c r="AH32" s="49"/>
    </row>
    <row r="33" spans="1:34" x14ac:dyDescent="0.2">
      <c r="A33" s="35" t="s">
        <v>433</v>
      </c>
      <c r="B33" s="106">
        <f>'Flow Rates &amp; Concentrations'!B41</f>
        <v>2.9545356147524231E-2</v>
      </c>
      <c r="C33" s="107">
        <f>B33*$C$12*1000*$G$12/$AG13</f>
        <v>31.846661632603318</v>
      </c>
      <c r="D33" s="107"/>
      <c r="E33" s="106">
        <f>'Flow Rates &amp; Concentrations'!B57</f>
        <v>2.2727197036557104E-3</v>
      </c>
      <c r="F33" s="107">
        <f>($AC$52*1000*$G$16*E33)/AG13</f>
        <v>1.3339501285514563</v>
      </c>
      <c r="G33" s="108">
        <f>F33/IF($C33&gt;0,$C33,1)*100</f>
        <v>4.1886654995128669</v>
      </c>
      <c r="H33" s="108"/>
      <c r="I33" s="109">
        <f>'Flow Rates &amp; Concentrations'!B72</f>
        <v>10.8</v>
      </c>
      <c r="J33" s="109">
        <f>'Flow Rates &amp; Concentrations'!B82</f>
        <v>10.4</v>
      </c>
      <c r="K33" s="107">
        <f>$AC$52*1000*(1-$G$16)/1000/'Flow Rates &amp; Concentrations'!$B$67*J33/AG13</f>
        <v>25.155631865099132</v>
      </c>
      <c r="L33" s="108">
        <f>K33/IF($C33&gt;0,$C33,1)*100</f>
        <v>78.989855060179423</v>
      </c>
      <c r="M33" s="108"/>
      <c r="N33" s="110"/>
      <c r="O33" s="111"/>
      <c r="P33" s="108"/>
      <c r="Q33" s="108"/>
      <c r="R33" s="110"/>
      <c r="S33" s="111"/>
      <c r="T33" s="108"/>
      <c r="U33" s="108"/>
      <c r="V33" s="112">
        <f>F33+K33</f>
        <v>26.489581993650589</v>
      </c>
      <c r="W33" s="113">
        <f>IF($C33&gt;0,100*V33/$C33," ")</f>
        <v>83.178520559692302</v>
      </c>
      <c r="Y33" s="46"/>
      <c r="Z33" s="47"/>
      <c r="AA33" s="115"/>
      <c r="AB33" s="115"/>
      <c r="AC33" s="115"/>
      <c r="AD33" s="115"/>
      <c r="AE33" s="115"/>
      <c r="AF33" s="65"/>
      <c r="AG33" s="65"/>
      <c r="AH33" s="49"/>
    </row>
    <row r="34" spans="1:34" x14ac:dyDescent="0.2">
      <c r="A34" s="35" t="s">
        <v>354</v>
      </c>
      <c r="B34" s="116">
        <f>'Flow Rates &amp; Concentrations'!B49</f>
        <v>0.02</v>
      </c>
      <c r="C34" s="107">
        <f>B34*$C$12*1000*$G$12/$AG15</f>
        <v>22.692404491839877</v>
      </c>
      <c r="E34" s="116"/>
      <c r="F34" s="107"/>
      <c r="G34" s="108"/>
      <c r="H34" s="108"/>
      <c r="I34" s="253">
        <f>'Flow Rates &amp; Concentrations'!B74</f>
        <v>0</v>
      </c>
      <c r="J34" s="117"/>
      <c r="K34" s="107">
        <f>$AC$52*1000*(1-$G$16)/1000/'Flow Rates &amp; Concentrations'!$B$67*I34/AG15</f>
        <v>0</v>
      </c>
      <c r="L34" s="108">
        <f>K34/IF($C34&gt;0,$C34,1)*100</f>
        <v>0</v>
      </c>
      <c r="M34" s="108"/>
      <c r="N34" s="110"/>
      <c r="O34" s="111"/>
      <c r="P34" s="108"/>
      <c r="Q34" s="108"/>
      <c r="R34" s="110"/>
      <c r="S34" s="111"/>
      <c r="T34" s="108"/>
      <c r="U34" s="108"/>
      <c r="V34" s="112"/>
      <c r="W34" s="256" t="s">
        <v>108</v>
      </c>
      <c r="Y34" s="46"/>
      <c r="Z34" s="47" t="s">
        <v>508</v>
      </c>
      <c r="AA34" s="115"/>
      <c r="AB34" s="115"/>
      <c r="AC34" s="115"/>
      <c r="AD34" s="115"/>
      <c r="AE34" s="115"/>
      <c r="AF34" s="65">
        <v>98.07</v>
      </c>
      <c r="AG34" s="65"/>
      <c r="AH34" s="49"/>
    </row>
    <row r="35" spans="1:34" x14ac:dyDescent="0.2">
      <c r="A35" s="35" t="s">
        <v>355</v>
      </c>
      <c r="I35" s="253">
        <f>'Flow Rates &amp; Concentrations'!B75</f>
        <v>0</v>
      </c>
      <c r="K35" s="107">
        <f>$AC$52*1000*(1-$G$16)/1000/'Flow Rates &amp; Concentrations'!$B$67*I35/AG16</f>
        <v>0</v>
      </c>
      <c r="L35" s="257" t="s">
        <v>108</v>
      </c>
      <c r="V35" s="112"/>
      <c r="W35" s="256" t="s">
        <v>108</v>
      </c>
      <c r="Y35" s="46"/>
      <c r="Z35" s="47" t="s">
        <v>509</v>
      </c>
      <c r="AA35" s="115"/>
      <c r="AB35" s="115"/>
      <c r="AC35" s="115"/>
      <c r="AD35" s="115"/>
      <c r="AE35" s="115"/>
      <c r="AF35" s="65">
        <v>74.09</v>
      </c>
      <c r="AG35" s="65"/>
      <c r="AH35" s="49"/>
    </row>
    <row r="36" spans="1:34" x14ac:dyDescent="0.2">
      <c r="Y36" s="46"/>
      <c r="Z36" s="47" t="s">
        <v>510</v>
      </c>
      <c r="AA36" s="115"/>
      <c r="AB36" s="115"/>
      <c r="AC36" s="115"/>
      <c r="AD36" s="115"/>
      <c r="AE36" s="115"/>
      <c r="AF36" s="65">
        <v>136.13999999999999</v>
      </c>
      <c r="AG36" s="65"/>
      <c r="AH36" s="49"/>
    </row>
    <row r="37" spans="1:34" x14ac:dyDescent="0.2">
      <c r="A37" s="35" t="s">
        <v>353</v>
      </c>
      <c r="B37" s="106">
        <f>'Flow Rates &amp; Concentrations'!B46</f>
        <v>2.1000000000000001E-2</v>
      </c>
      <c r="C37" s="107">
        <f>B37*$C$12*1000*$G$12/$AG31</f>
        <v>31.579154095711477</v>
      </c>
      <c r="E37" s="106">
        <f>'Flow Rates &amp; Concentrations'!B61</f>
        <v>6.9999999999999993E-3</v>
      </c>
      <c r="F37" s="107">
        <f>($AC$52*1000*$G$16*E37)/AG31</f>
        <v>5.7318955747953053</v>
      </c>
      <c r="G37" s="108">
        <f>F37/IF($C37&gt;0,$C37,1)*100</f>
        <v>18.150883831222416</v>
      </c>
      <c r="H37" s="108"/>
      <c r="I37" s="108"/>
      <c r="J37" s="117"/>
      <c r="K37" s="107"/>
      <c r="L37" s="108"/>
      <c r="M37" s="108"/>
      <c r="N37" s="110"/>
      <c r="O37" s="111"/>
      <c r="P37" s="108"/>
      <c r="Q37" s="108"/>
      <c r="R37" s="110"/>
      <c r="S37" s="111"/>
      <c r="T37" s="108"/>
      <c r="U37" s="108"/>
      <c r="V37" s="112"/>
      <c r="W37" s="113"/>
      <c r="Y37" s="54"/>
      <c r="Z37" s="55"/>
      <c r="AA37" s="55"/>
      <c r="AB37" s="55"/>
      <c r="AC37" s="55"/>
      <c r="AD37" s="55"/>
      <c r="AE37" s="55"/>
      <c r="AF37" s="55"/>
      <c r="AG37" s="55"/>
      <c r="AH37" s="60"/>
    </row>
    <row r="38" spans="1:34" x14ac:dyDescent="0.2">
      <c r="A38" s="35" t="s">
        <v>251</v>
      </c>
      <c r="B38" s="116"/>
      <c r="E38" s="116"/>
      <c r="F38" s="107"/>
      <c r="G38" s="108"/>
      <c r="H38" s="108"/>
      <c r="I38" s="109">
        <f>'Flow Rates &amp; Concentrations'!B76</f>
        <v>9.9</v>
      </c>
      <c r="J38" s="109">
        <f>'Flow Rates &amp; Concentrations'!B84</f>
        <v>0</v>
      </c>
      <c r="K38" s="107">
        <f>$AC$52*1000*(1-$G$16)/1000/'Flow Rates &amp; Concentrations'!$B$67*I38/AG18</f>
        <v>23.946226486969369</v>
      </c>
      <c r="L38" s="108"/>
      <c r="M38" s="108"/>
      <c r="N38" s="109">
        <f>'Flow Rates &amp; Concentrations'!B92</f>
        <v>20.6</v>
      </c>
      <c r="O38" s="111">
        <f>$C$19/'Flow Rates &amp; Concentrations'!$B$91*N38/AG18</f>
        <v>9.830868569782</v>
      </c>
      <c r="P38" s="108"/>
      <c r="Q38" s="108"/>
      <c r="R38" s="109">
        <f>'Flow Rates &amp; Concentrations'!B97</f>
        <v>2.1</v>
      </c>
      <c r="S38" s="111">
        <f>$C$18/'Flow Rates &amp; Concentrations'!$B$96*R38/AG18</f>
        <v>0.48974569521880923</v>
      </c>
      <c r="T38" s="108"/>
      <c r="U38" s="108"/>
      <c r="V38" s="112">
        <f>F38+K38+O38+S38</f>
        <v>34.266840751970179</v>
      </c>
      <c r="W38" s="113">
        <f>IF($C37&gt;0,100*V38/$C37," ")</f>
        <v>108.51095202902758</v>
      </c>
    </row>
    <row r="39" spans="1:34" x14ac:dyDescent="0.2">
      <c r="B39" s="116"/>
      <c r="E39" s="116"/>
      <c r="F39" s="107"/>
      <c r="G39" s="108"/>
      <c r="H39" s="108"/>
      <c r="I39" s="108"/>
      <c r="J39" s="109"/>
      <c r="K39" s="107"/>
      <c r="L39" s="108"/>
      <c r="M39" s="108"/>
      <c r="N39" s="110"/>
      <c r="O39" s="111"/>
      <c r="P39" s="108"/>
      <c r="Q39" s="108"/>
      <c r="R39" s="110"/>
      <c r="S39" s="111"/>
      <c r="T39" s="108"/>
      <c r="U39" s="108"/>
      <c r="V39" s="112"/>
      <c r="W39" s="118"/>
    </row>
    <row r="40" spans="1:34" x14ac:dyDescent="0.2">
      <c r="A40" s="35" t="s">
        <v>256</v>
      </c>
      <c r="B40" s="106">
        <f>'Flow Rates &amp; Concentrations'!B43</f>
        <v>0.161</v>
      </c>
      <c r="C40" s="107">
        <f>B40*$C$12*1000*$G$12/$AG21</f>
        <v>249.03172007100713</v>
      </c>
      <c r="D40" s="107"/>
      <c r="E40" s="106">
        <f>'Flow Rates &amp; Concentrations'!B60</f>
        <v>0.316</v>
      </c>
      <c r="F40" s="107">
        <f>($AC$52*1000*$G$16*E40)/AG21</f>
        <v>266.15517009880978</v>
      </c>
      <c r="G40" s="108">
        <f>F40/IF($C40&gt;0,$C40,1)*100</f>
        <v>106.8760116273221</v>
      </c>
      <c r="H40" s="108"/>
      <c r="I40" s="108"/>
      <c r="J40" s="109">
        <f>'Flow Rates &amp; Concentrations'!B85</f>
        <v>5.9</v>
      </c>
      <c r="K40" s="107">
        <f>$AC$52*1000*(1-$G$16)/1000/'Flow Rates &amp; Concentrations'!$B$67*J40/AG21</f>
        <v>20.478965339890472</v>
      </c>
      <c r="L40" s="108">
        <f>K40/IF($C40&gt;0,$C40,1)*100</f>
        <v>8.2234364899584875</v>
      </c>
      <c r="M40" s="108"/>
      <c r="N40" s="110"/>
      <c r="O40" s="111"/>
      <c r="P40" s="108"/>
      <c r="Q40" s="108"/>
      <c r="R40" s="110"/>
      <c r="S40" s="111"/>
      <c r="T40" s="108"/>
      <c r="U40" s="108"/>
      <c r="V40" s="112">
        <f>F40+K40</f>
        <v>286.63413543870024</v>
      </c>
      <c r="W40" s="113">
        <f>V40/IF($C40&gt;0,$C40,1)*100</f>
        <v>115.09944811728057</v>
      </c>
      <c r="AA40" s="122" t="s">
        <v>512</v>
      </c>
      <c r="AB40" s="122" t="s">
        <v>513</v>
      </c>
      <c r="AC40" s="122" t="s">
        <v>229</v>
      </c>
    </row>
    <row r="41" spans="1:34" x14ac:dyDescent="0.2">
      <c r="A41" s="35" t="s">
        <v>367</v>
      </c>
      <c r="B41" s="119"/>
      <c r="E41" s="116"/>
      <c r="G41" s="108"/>
      <c r="H41" s="108"/>
      <c r="I41" s="108"/>
      <c r="J41" s="109">
        <f>'Flow Rates &amp; Concentrations'!B78</f>
        <v>0.9</v>
      </c>
      <c r="K41" s="107">
        <f>$AC$52*1000*(1-$G$16)/1000/'Flow Rates &amp; Concentrations'!$B$67*J41/AG22</f>
        <v>3.4014058977796977</v>
      </c>
      <c r="L41" s="108">
        <f>K41/IF(C32+C33&gt;0,(C32+C33),1)*100</f>
        <v>1.2680132157456678</v>
      </c>
      <c r="M41" s="108"/>
      <c r="N41" s="109">
        <f>'Flow Rates &amp; Concentrations'!B93</f>
        <v>4.5999999999999996</v>
      </c>
      <c r="O41" s="111">
        <f>$C$19/'Flow Rates &amp; Concentrations'!$B$91*N41/AG22</f>
        <v>3.4300192789593318</v>
      </c>
      <c r="P41" s="108">
        <f>O41/IF(C32+C33&gt;0,(C32+C33),1)*100</f>
        <v>1.2786800242869913</v>
      </c>
      <c r="Q41" s="108"/>
      <c r="R41" s="109">
        <f>'Flow Rates &amp; Concentrations'!B98</f>
        <v>5.0999999999999996</v>
      </c>
      <c r="S41" s="111">
        <f>$C$18/'Flow Rates &amp; Concentrations'!$B$96*R41/AG22</f>
        <v>1.858384473858683</v>
      </c>
      <c r="T41" s="108">
        <f>S41/IF(G32+G33&gt;0,(G32+G33),1)*100</f>
        <v>16.530555119751941</v>
      </c>
      <c r="U41" s="108"/>
      <c r="V41" s="258"/>
      <c r="W41" s="121"/>
      <c r="Z41" s="123" t="s">
        <v>231</v>
      </c>
      <c r="AA41" s="35">
        <v>46.53</v>
      </c>
      <c r="AB41" s="107">
        <f>AA41/12.011</f>
        <v>3.8739488801931565</v>
      </c>
      <c r="AC41" s="35">
        <f>AB41/$AB$41</f>
        <v>1</v>
      </c>
    </row>
    <row r="42" spans="1:34" x14ac:dyDescent="0.2">
      <c r="A42" s="35" t="s">
        <v>369</v>
      </c>
      <c r="B42" s="119"/>
      <c r="E42" s="116"/>
      <c r="G42" s="108"/>
      <c r="H42" s="108"/>
      <c r="I42" s="108"/>
      <c r="J42" s="109">
        <f>'Flow Rates &amp; Concentrations'!B77</f>
        <v>2</v>
      </c>
      <c r="K42" s="107">
        <f>$AC$52*1000*(1-$G$16)/1000/'Flow Rates &amp; Concentrations'!$B$67*J42/AG23</f>
        <v>6.9108155396624165</v>
      </c>
      <c r="L42" s="108">
        <f>K42/IF(C28+C30+C31&gt;0,(C28+C30+C31),1)*100</f>
        <v>1.6346455614953621</v>
      </c>
      <c r="M42" s="108"/>
      <c r="N42" s="110"/>
      <c r="O42" s="111"/>
      <c r="P42" s="108"/>
      <c r="Q42" s="108"/>
      <c r="R42" s="110"/>
      <c r="S42" s="111"/>
      <c r="T42" s="108"/>
      <c r="U42" s="108"/>
      <c r="V42" s="258"/>
      <c r="W42" s="121"/>
      <c r="Z42" s="123" t="s">
        <v>232</v>
      </c>
      <c r="AA42" s="35">
        <v>6.71</v>
      </c>
      <c r="AB42" s="107">
        <f>AA42/1.008</f>
        <v>6.6567460317460316</v>
      </c>
      <c r="AC42" s="107">
        <f>AB42/$AB$41</f>
        <v>1.7183360538856991</v>
      </c>
    </row>
    <row r="43" spans="1:34" x14ac:dyDescent="0.2">
      <c r="B43" s="124"/>
      <c r="C43" s="55"/>
      <c r="D43" s="47"/>
      <c r="E43" s="124"/>
      <c r="F43" s="55"/>
      <c r="G43" s="125"/>
      <c r="H43" s="126"/>
      <c r="I43" s="126"/>
      <c r="J43" s="47"/>
      <c r="K43" s="127"/>
      <c r="L43" s="125"/>
      <c r="M43" s="126"/>
      <c r="N43" s="128"/>
      <c r="O43" s="129"/>
      <c r="P43" s="125"/>
      <c r="Q43" s="126"/>
      <c r="R43" s="128"/>
      <c r="S43" s="129"/>
      <c r="T43" s="125"/>
      <c r="U43" s="126"/>
      <c r="V43" s="130"/>
      <c r="W43" s="120"/>
      <c r="X43" s="47"/>
      <c r="Z43" s="123"/>
      <c r="AB43" s="107"/>
      <c r="AC43" s="107"/>
    </row>
    <row r="44" spans="1:34" x14ac:dyDescent="0.2">
      <c r="A44" s="131" t="s">
        <v>405</v>
      </c>
      <c r="B44" s="132">
        <f>(B28+B30+B31)*AF25/AF10+(B32+B33)*AF28/AF12+B37+B40+B34</f>
        <v>0.77400000000000002</v>
      </c>
      <c r="C44" s="133">
        <f>SUM(C28:C42)</f>
        <v>994.32165808795787</v>
      </c>
      <c r="D44" s="134"/>
      <c r="E44" s="132">
        <f>(E28+E30+E31)*AF25/AF10+(E32+E33)*AF28/AF12+E37+E40</f>
        <v>0.87600000000000011</v>
      </c>
      <c r="F44" s="135">
        <f>SUM(F28:F42)</f>
        <v>632.92829036192711</v>
      </c>
      <c r="G44" s="136">
        <f>F44/IF($C44&gt;0,$C44,1)*100</f>
        <v>63.654279801067972</v>
      </c>
      <c r="H44" s="137"/>
      <c r="I44" s="137"/>
      <c r="J44" s="131"/>
      <c r="K44" s="138">
        <f>SUM(K28:K42)</f>
        <v>301.81255756084971</v>
      </c>
      <c r="L44" s="137">
        <f>K44/IF(C44&gt;0,C44,1)*100</f>
        <v>30.353613954384095</v>
      </c>
      <c r="M44" s="137"/>
      <c r="N44" s="137"/>
      <c r="O44" s="139">
        <f>SUM(O28:O43)</f>
        <v>13.260887848741332</v>
      </c>
      <c r="P44" s="137">
        <f>O44/IF(C44&gt;0,C44,1)*100</f>
        <v>1.3336617724129138</v>
      </c>
      <c r="Q44" s="137"/>
      <c r="R44" s="137"/>
      <c r="S44" s="139">
        <f>SUM(S28:S43)</f>
        <v>2.3481301690774923</v>
      </c>
      <c r="T44" s="137">
        <f>S44/IF(C44&gt;0,C44,1)*100</f>
        <v>0.23615397994979367</v>
      </c>
      <c r="U44" s="137"/>
      <c r="V44" s="133">
        <f>SUM(V28:V40)</f>
        <v>937.48885309019829</v>
      </c>
      <c r="W44" s="120"/>
      <c r="Z44" s="123" t="s">
        <v>233</v>
      </c>
      <c r="AA44" s="35">
        <v>33.29</v>
      </c>
      <c r="AB44" s="107">
        <f>AA44/15.9994</f>
        <v>2.0807030263634885</v>
      </c>
      <c r="AC44" s="107">
        <f>AB44/$AB$41</f>
        <v>0.53710131204925549</v>
      </c>
    </row>
    <row r="45" spans="1:34" x14ac:dyDescent="0.2">
      <c r="A45" s="55"/>
      <c r="B45" s="55"/>
      <c r="C45" s="55"/>
      <c r="D45" s="55"/>
      <c r="E45" s="55"/>
      <c r="F45" s="55"/>
      <c r="G45" s="55"/>
      <c r="H45" s="55"/>
      <c r="I45" s="55"/>
      <c r="J45" s="55"/>
      <c r="K45" s="55"/>
      <c r="L45" s="55"/>
      <c r="M45" s="55"/>
      <c r="N45" s="55"/>
      <c r="O45" s="140"/>
      <c r="P45" s="55"/>
      <c r="Q45" s="55"/>
      <c r="R45" s="55"/>
      <c r="S45" s="55"/>
      <c r="T45" s="55"/>
      <c r="U45" s="55"/>
      <c r="V45" s="55"/>
      <c r="W45" s="55"/>
      <c r="Z45" s="123" t="s">
        <v>234</v>
      </c>
      <c r="AA45" s="35">
        <v>10.54</v>
      </c>
      <c r="AB45" s="107">
        <f>AA45/14.0067</f>
        <v>0.75249701928362844</v>
      </c>
      <c r="AC45" s="107">
        <f>AB45/$AB$41</f>
        <v>0.1942454695597606</v>
      </c>
    </row>
    <row r="46" spans="1:34" x14ac:dyDescent="0.2">
      <c r="Z46" s="123" t="s">
        <v>514</v>
      </c>
      <c r="AA46" s="55">
        <v>5.99</v>
      </c>
    </row>
    <row r="47" spans="1:34" x14ac:dyDescent="0.2">
      <c r="A47" s="141"/>
      <c r="B47" s="141"/>
      <c r="AA47" s="35">
        <f>SUM(AA41:AA46)</f>
        <v>103.05999999999999</v>
      </c>
    </row>
    <row r="48" spans="1:34" x14ac:dyDescent="0.2">
      <c r="A48" s="142" t="s">
        <v>515</v>
      </c>
      <c r="B48" s="143">
        <f>V44/IF(C44&gt;0,C44,1)</f>
        <v>0.94284263594635276</v>
      </c>
      <c r="F48" s="35" t="s">
        <v>111</v>
      </c>
    </row>
    <row r="50" spans="26:29" x14ac:dyDescent="0.2">
      <c r="Z50" s="35" t="s">
        <v>481</v>
      </c>
      <c r="AC50" s="35">
        <f>$C$12*$G$12</f>
        <v>32.365174278846155</v>
      </c>
    </row>
    <row r="51" spans="26:29" x14ac:dyDescent="0.2">
      <c r="Z51" s="35" t="s">
        <v>482</v>
      </c>
      <c r="AC51" s="35">
        <f>C12*(1-G12)+C13+C14+C15+C16*(1-G14)+C17-C19-C18</f>
        <v>62.898044939414028</v>
      </c>
    </row>
    <row r="52" spans="26:29" x14ac:dyDescent="0.2">
      <c r="Z52" s="35" t="s">
        <v>516</v>
      </c>
      <c r="AC52" s="35">
        <f>AC50+AC51</f>
        <v>95.26321921826019</v>
      </c>
    </row>
    <row r="53" spans="26:29" x14ac:dyDescent="0.2">
      <c r="Z53" s="35" t="s">
        <v>484</v>
      </c>
      <c r="AC53" s="35">
        <f>C12*(1-G12)+C13+C14+C15</f>
        <v>84.229966488047552</v>
      </c>
    </row>
  </sheetData>
  <phoneticPr fontId="0" type="noConversion"/>
  <pageMargins left="0.75" right="0.75" top="1" bottom="0.25" header="0" footer="0"/>
  <headerFooter alignWithMargins="0">
    <oddFooter>&amp;L&amp;F  Carbon Balance&amp;RPage &amp;P</oddFooter>
  </headerFooter>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Q42" sqref="Q42"/>
    </sheetView>
  </sheetViews>
  <sheetFormatPr defaultColWidth="8.85546875" defaultRowHeight="12.75" x14ac:dyDescent="0.2"/>
  <sheetData/>
  <phoneticPr fontId="33" type="noConversion"/>
  <pageMargins left="0.75" right="0.75" top="1" bottom="1" header="0.5" footer="0.5"/>
  <headerFooter alignWithMargins="0"/>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23"/>
  <sheetViews>
    <sheetView showGridLines="0" topLeftCell="A58" workbookViewId="0">
      <selection activeCell="B67" sqref="B67"/>
    </sheetView>
  </sheetViews>
  <sheetFormatPr defaultColWidth="8.85546875" defaultRowHeight="12.75" x14ac:dyDescent="0.2"/>
  <cols>
    <col min="1" max="1" width="34.42578125" customWidth="1"/>
    <col min="2" max="2" width="12.42578125" customWidth="1"/>
    <col min="3" max="3" width="16.85546875" customWidth="1"/>
    <col min="4" max="4" width="28.85546875" customWidth="1"/>
    <col min="5" max="5" width="36.85546875" bestFit="1" customWidth="1"/>
    <col min="6" max="6" width="10" customWidth="1"/>
    <col min="7" max="7" width="10.140625" bestFit="1" customWidth="1"/>
    <col min="8" max="8" width="36" bestFit="1" customWidth="1"/>
    <col min="9" max="9" width="20.85546875" customWidth="1"/>
    <col min="10" max="10" width="10.140625" bestFit="1" customWidth="1"/>
  </cols>
  <sheetData>
    <row r="1" spans="1:7" x14ac:dyDescent="0.2">
      <c r="A1" s="227" t="s">
        <v>406</v>
      </c>
      <c r="B1" s="228"/>
      <c r="C1" s="229"/>
      <c r="D1" s="217"/>
    </row>
    <row r="2" spans="1:7" x14ac:dyDescent="0.2">
      <c r="A2" s="7" t="s">
        <v>407</v>
      </c>
      <c r="B2" s="221" t="s">
        <v>257</v>
      </c>
      <c r="C2" s="8"/>
      <c r="D2" s="34"/>
      <c r="E2" s="220"/>
      <c r="F2" s="220"/>
      <c r="G2" s="220"/>
    </row>
    <row r="3" spans="1:7" x14ac:dyDescent="0.2">
      <c r="A3" s="7" t="s">
        <v>408</v>
      </c>
      <c r="B3" s="222"/>
      <c r="C3" s="8"/>
      <c r="D3" s="34"/>
      <c r="E3" s="220"/>
      <c r="F3" s="220"/>
      <c r="G3" s="220"/>
    </row>
    <row r="4" spans="1:7" x14ac:dyDescent="0.2">
      <c r="A4" s="7" t="s">
        <v>409</v>
      </c>
      <c r="B4" s="223"/>
      <c r="C4" s="8"/>
      <c r="D4" s="34"/>
      <c r="E4" s="220"/>
      <c r="F4" s="220"/>
      <c r="G4" s="220"/>
    </row>
    <row r="5" spans="1:7" x14ac:dyDescent="0.2">
      <c r="A5" s="183" t="s">
        <v>316</v>
      </c>
      <c r="B5" s="224"/>
      <c r="C5" s="9"/>
      <c r="D5" s="34"/>
      <c r="E5" s="220"/>
      <c r="F5" s="220"/>
      <c r="G5" s="220"/>
    </row>
    <row r="6" spans="1:7" x14ac:dyDescent="0.2">
      <c r="E6" s="220"/>
      <c r="F6" s="220"/>
      <c r="G6" s="220"/>
    </row>
    <row r="7" spans="1:7" x14ac:dyDescent="0.2">
      <c r="A7" s="227" t="s">
        <v>410</v>
      </c>
      <c r="B7" s="228"/>
      <c r="C7" s="229"/>
      <c r="D7" s="217"/>
      <c r="E7" s="220"/>
      <c r="F7" s="220"/>
      <c r="G7" s="220"/>
    </row>
    <row r="8" spans="1:7" x14ac:dyDescent="0.2">
      <c r="A8" s="10" t="s">
        <v>411</v>
      </c>
      <c r="B8" s="225">
        <f>'FLow Rate Uncertainties'!C236</f>
        <v>189.681404178978</v>
      </c>
      <c r="C8" s="8" t="s">
        <v>455</v>
      </c>
      <c r="D8" s="34"/>
      <c r="E8" s="220"/>
      <c r="F8" s="220"/>
      <c r="G8" s="220"/>
    </row>
    <row r="9" spans="1:7" x14ac:dyDescent="0.2">
      <c r="A9" s="10" t="s">
        <v>412</v>
      </c>
      <c r="B9" s="225"/>
      <c r="C9" s="8" t="s">
        <v>455</v>
      </c>
      <c r="D9" s="34"/>
      <c r="E9" s="220"/>
      <c r="F9" s="220"/>
      <c r="G9" s="220"/>
    </row>
    <row r="10" spans="1:7" x14ac:dyDescent="0.2">
      <c r="A10" s="12" t="s">
        <v>536</v>
      </c>
      <c r="B10" s="13">
        <f>B18*B32/(B27-B22)</f>
        <v>2.1297858520718121E-2</v>
      </c>
      <c r="C10" s="8" t="s">
        <v>537</v>
      </c>
      <c r="D10" s="34"/>
      <c r="G10" s="220"/>
    </row>
    <row r="11" spans="1:7" x14ac:dyDescent="0.2">
      <c r="A11" s="12" t="s">
        <v>448</v>
      </c>
      <c r="B11" s="209">
        <f>B18*B32/(B16*B31)</f>
        <v>5.0819412633586261E-2</v>
      </c>
      <c r="C11" s="8" t="s">
        <v>537</v>
      </c>
      <c r="D11" s="34"/>
      <c r="G11" s="220"/>
    </row>
    <row r="12" spans="1:7" x14ac:dyDescent="0.2">
      <c r="A12" s="10" t="s">
        <v>538</v>
      </c>
      <c r="B12" s="225">
        <f>'FLow Rate Uncertainties'!L236</f>
        <v>101.48887829902839</v>
      </c>
      <c r="C12" s="8" t="s">
        <v>455</v>
      </c>
      <c r="D12" s="34"/>
      <c r="G12" s="220"/>
    </row>
    <row r="13" spans="1:7" x14ac:dyDescent="0.2">
      <c r="A13" s="14" t="s">
        <v>315</v>
      </c>
      <c r="B13" s="226"/>
      <c r="C13" s="9" t="s">
        <v>446</v>
      </c>
      <c r="D13" s="34"/>
      <c r="G13" s="220"/>
    </row>
    <row r="14" spans="1:7" x14ac:dyDescent="0.2">
      <c r="G14" s="220"/>
    </row>
    <row r="15" spans="1:7" x14ac:dyDescent="0.2">
      <c r="A15" s="227" t="s">
        <v>539</v>
      </c>
      <c r="B15" s="228"/>
      <c r="C15" s="229"/>
      <c r="D15" s="217"/>
    </row>
    <row r="16" spans="1:7" x14ac:dyDescent="0.2">
      <c r="A16" s="10" t="s">
        <v>540</v>
      </c>
      <c r="B16" s="225">
        <f>'FLow Rate Uncertainties'!I236</f>
        <v>35.179537259615387</v>
      </c>
      <c r="C16" s="8" t="s">
        <v>455</v>
      </c>
      <c r="D16" s="34"/>
    </row>
    <row r="17" spans="1:7" x14ac:dyDescent="0.2">
      <c r="A17" s="10" t="s">
        <v>424</v>
      </c>
      <c r="B17" s="225">
        <f>'FLow Rate Uncertainties'!G236</f>
        <v>19.182254106570515</v>
      </c>
      <c r="C17" s="8" t="s">
        <v>455</v>
      </c>
      <c r="D17" s="34"/>
      <c r="E17" t="s">
        <v>295</v>
      </c>
      <c r="F17" s="4">
        <f>SUM(B16:B19)</f>
        <v>116.59514076689371</v>
      </c>
      <c r="G17" t="s">
        <v>537</v>
      </c>
    </row>
    <row r="18" spans="1:7" x14ac:dyDescent="0.2">
      <c r="A18" s="10" t="s">
        <v>296</v>
      </c>
      <c r="B18" s="225">
        <f>'FLow Rate Uncertainties'!F236</f>
        <v>22.844154814369659</v>
      </c>
      <c r="C18" s="8" t="s">
        <v>455</v>
      </c>
      <c r="D18" s="34"/>
      <c r="E18" t="s">
        <v>297</v>
      </c>
      <c r="F18">
        <f>B16*B31</f>
        <v>32.365174278846155</v>
      </c>
      <c r="G18" t="s">
        <v>537</v>
      </c>
    </row>
    <row r="19" spans="1:7" x14ac:dyDescent="0.2">
      <c r="A19" s="10" t="s">
        <v>298</v>
      </c>
      <c r="B19" s="225">
        <f>'FLow Rate Uncertainties'!H236</f>
        <v>39.389194586338142</v>
      </c>
      <c r="C19" s="8" t="s">
        <v>455</v>
      </c>
      <c r="D19" s="34"/>
      <c r="E19" t="s">
        <v>299</v>
      </c>
      <c r="F19" s="4">
        <f>F17-F18-B22</f>
        <v>77.22744261046752</v>
      </c>
      <c r="G19" t="s">
        <v>537</v>
      </c>
    </row>
    <row r="20" spans="1:7" x14ac:dyDescent="0.2">
      <c r="A20" s="12" t="s">
        <v>440</v>
      </c>
      <c r="B20" s="225"/>
      <c r="C20" s="8" t="s">
        <v>455</v>
      </c>
      <c r="D20" s="34"/>
    </row>
    <row r="21" spans="1:7" x14ac:dyDescent="0.2">
      <c r="A21" s="10" t="s">
        <v>310</v>
      </c>
      <c r="B21" s="225"/>
      <c r="C21" s="265" t="s">
        <v>455</v>
      </c>
      <c r="D21" s="34"/>
      <c r="E21" t="s">
        <v>311</v>
      </c>
      <c r="F21">
        <v>1.3397760000000001</v>
      </c>
      <c r="G21" t="s">
        <v>312</v>
      </c>
    </row>
    <row r="22" spans="1:7" x14ac:dyDescent="0.2">
      <c r="A22" s="10" t="s">
        <v>441</v>
      </c>
      <c r="B22" s="225">
        <f>'FLow Rate Uncertainties'!J236</f>
        <v>7.0025238775800256</v>
      </c>
      <c r="C22" s="8" t="str">
        <f>[2]Input!$C$8</f>
        <v>SUNDS Summary</v>
      </c>
      <c r="D22" s="34"/>
      <c r="E22" t="s">
        <v>442</v>
      </c>
      <c r="F22">
        <v>4.1867999999999999</v>
      </c>
      <c r="G22" t="s">
        <v>312</v>
      </c>
    </row>
    <row r="23" spans="1:7" x14ac:dyDescent="0.2">
      <c r="A23" s="10" t="s">
        <v>443</v>
      </c>
      <c r="B23" s="208">
        <f>((B8-B12)*(F18*F21+F19*F22))/F23</f>
        <v>14.329397671053504</v>
      </c>
      <c r="C23" s="8" t="s">
        <v>537</v>
      </c>
      <c r="D23" s="34"/>
      <c r="E23" t="s">
        <v>444</v>
      </c>
      <c r="F23">
        <v>2256.9</v>
      </c>
      <c r="G23" t="s">
        <v>312</v>
      </c>
    </row>
    <row r="24" spans="1:7" x14ac:dyDescent="0.2">
      <c r="A24" s="10" t="s">
        <v>481</v>
      </c>
      <c r="B24" s="15">
        <f>B16*B31</f>
        <v>32.365174278846155</v>
      </c>
      <c r="C24" s="8" t="s">
        <v>537</v>
      </c>
      <c r="D24" s="34"/>
    </row>
    <row r="25" spans="1:7" x14ac:dyDescent="0.2">
      <c r="A25" s="10" t="s">
        <v>482</v>
      </c>
      <c r="B25" s="15">
        <f>B16*(1-B31)+B17+B18+B19+B20*(1-B33)+B21-B23-B22</f>
        <v>62.898044939414028</v>
      </c>
      <c r="C25" s="8" t="s">
        <v>537</v>
      </c>
      <c r="D25" s="34"/>
    </row>
    <row r="26" spans="1:7" x14ac:dyDescent="0.2">
      <c r="A26" s="10" t="s">
        <v>483</v>
      </c>
      <c r="B26" s="15">
        <f>B24+B25</f>
        <v>95.26321921826019</v>
      </c>
      <c r="C26" s="8" t="s">
        <v>537</v>
      </c>
      <c r="D26" s="34"/>
      <c r="F26" s="4"/>
    </row>
    <row r="27" spans="1:7" x14ac:dyDescent="0.2">
      <c r="A27" s="10" t="s">
        <v>484</v>
      </c>
      <c r="B27" s="15">
        <f>B16*(1-B31)+B17+B18+B19</f>
        <v>84.229966488047552</v>
      </c>
      <c r="C27" s="8" t="s">
        <v>537</v>
      </c>
      <c r="D27" s="34"/>
    </row>
    <row r="28" spans="1:7" x14ac:dyDescent="0.2">
      <c r="A28" s="56" t="s">
        <v>445</v>
      </c>
      <c r="B28" s="207">
        <f>B24/(B16+B17+B18+B19-B22)</f>
        <v>0.29532257918007676</v>
      </c>
      <c r="C28" s="9" t="s">
        <v>537</v>
      </c>
      <c r="D28" s="34"/>
    </row>
    <row r="30" spans="1:7" x14ac:dyDescent="0.2">
      <c r="A30" s="227" t="s">
        <v>485</v>
      </c>
      <c r="B30" s="228"/>
      <c r="C30" s="229"/>
      <c r="D30" s="217"/>
    </row>
    <row r="31" spans="1:7" x14ac:dyDescent="0.2">
      <c r="A31" s="12" t="s">
        <v>486</v>
      </c>
      <c r="B31" s="230">
        <v>0.92</v>
      </c>
      <c r="C31" s="8" t="s">
        <v>447</v>
      </c>
      <c r="D31" s="34"/>
    </row>
    <row r="32" spans="1:7" x14ac:dyDescent="0.2">
      <c r="A32" s="17" t="s">
        <v>487</v>
      </c>
      <c r="B32" s="230">
        <v>7.1999999999999995E-2</v>
      </c>
      <c r="C32" s="8" t="s">
        <v>447</v>
      </c>
      <c r="D32" s="34"/>
    </row>
    <row r="33" spans="1:7" x14ac:dyDescent="0.2">
      <c r="A33" s="18" t="s">
        <v>488</v>
      </c>
      <c r="B33" s="230"/>
      <c r="C33" s="8" t="s">
        <v>447</v>
      </c>
      <c r="D33" s="34"/>
    </row>
    <row r="34" spans="1:7" x14ac:dyDescent="0.2">
      <c r="A34" s="18" t="s">
        <v>489</v>
      </c>
      <c r="B34" s="231">
        <v>0.185</v>
      </c>
      <c r="C34" s="8" t="s">
        <v>456</v>
      </c>
      <c r="D34" s="34"/>
    </row>
    <row r="35" spans="1:7" x14ac:dyDescent="0.2">
      <c r="A35" s="219" t="s">
        <v>473</v>
      </c>
      <c r="B35" s="232">
        <v>0.33</v>
      </c>
      <c r="C35" s="9" t="s">
        <v>456</v>
      </c>
      <c r="D35" s="34"/>
    </row>
    <row r="37" spans="1:7" x14ac:dyDescent="0.2">
      <c r="A37" s="227" t="s">
        <v>457</v>
      </c>
      <c r="B37" s="228"/>
      <c r="C37" s="233"/>
      <c r="D37" s="234"/>
      <c r="E37" s="235"/>
      <c r="F37" s="235" t="s">
        <v>458</v>
      </c>
    </row>
    <row r="38" spans="1:7" x14ac:dyDescent="0.2">
      <c r="A38" s="21" t="s">
        <v>459</v>
      </c>
      <c r="B38" s="216">
        <f>E38*Carbon_Balance!AF10/Carbon_Balance!AF25/100</f>
        <v>0.37555453642772113</v>
      </c>
      <c r="C38" s="178" t="s">
        <v>456</v>
      </c>
      <c r="D38" s="21" t="s">
        <v>213</v>
      </c>
      <c r="E38" s="236">
        <v>33.799999999999997</v>
      </c>
      <c r="F38" s="22">
        <f t="shared" ref="F38:F50" si="0">E38/$E$51</f>
        <v>0.3535564853556486</v>
      </c>
      <c r="G38" s="16"/>
    </row>
    <row r="39" spans="1:7" x14ac:dyDescent="0.2">
      <c r="A39" s="21" t="s">
        <v>460</v>
      </c>
      <c r="B39" s="216">
        <f>E39*Carbon_Balance!AF12/Carbon_Balance!AF28/100</f>
        <v>0.21931745140277606</v>
      </c>
      <c r="C39" s="8" t="s">
        <v>456</v>
      </c>
      <c r="D39" s="21" t="s">
        <v>343</v>
      </c>
      <c r="E39" s="237">
        <v>19.3</v>
      </c>
      <c r="F39" s="23">
        <f t="shared" si="0"/>
        <v>0.20188284518828456</v>
      </c>
      <c r="G39" s="16"/>
    </row>
    <row r="40" spans="1:7" x14ac:dyDescent="0.2">
      <c r="A40" s="21" t="s">
        <v>461</v>
      </c>
      <c r="B40" s="216">
        <f>E40*Carbon_Balance!AF14/Carbon_Balance!AF30/100</f>
        <v>1.6666621439100054E-2</v>
      </c>
      <c r="C40" s="8" t="s">
        <v>456</v>
      </c>
      <c r="D40" s="21" t="s">
        <v>344</v>
      </c>
      <c r="E40" s="237">
        <v>1.5</v>
      </c>
      <c r="F40" s="23">
        <f t="shared" si="0"/>
        <v>1.569037656903766E-2</v>
      </c>
      <c r="G40" s="16"/>
    </row>
    <row r="41" spans="1:7" x14ac:dyDescent="0.2">
      <c r="A41" s="21" t="s">
        <v>462</v>
      </c>
      <c r="B41" s="216">
        <f>E41*Carbon_Balance!AF13/Carbon_Balance!AF29/100</f>
        <v>2.9545356147524231E-2</v>
      </c>
      <c r="C41" s="8" t="s">
        <v>456</v>
      </c>
      <c r="D41" s="21" t="s">
        <v>345</v>
      </c>
      <c r="E41" s="237">
        <v>2.6</v>
      </c>
      <c r="F41" s="23">
        <f t="shared" si="0"/>
        <v>2.7196652719665277E-2</v>
      </c>
      <c r="G41" s="16"/>
    </row>
    <row r="42" spans="1:7" x14ac:dyDescent="0.2">
      <c r="A42" s="21" t="s">
        <v>463</v>
      </c>
      <c r="B42" s="216">
        <f>E42*Carbon_Balance!AF11/Carbon_Balance!AF27/100</f>
        <v>0</v>
      </c>
      <c r="C42" s="8" t="s">
        <v>456</v>
      </c>
      <c r="D42" s="21" t="s">
        <v>346</v>
      </c>
      <c r="E42" s="237"/>
      <c r="F42" s="23">
        <f t="shared" si="0"/>
        <v>0</v>
      </c>
      <c r="G42" s="16"/>
    </row>
    <row r="43" spans="1:7" x14ac:dyDescent="0.2">
      <c r="A43" s="24" t="s">
        <v>464</v>
      </c>
      <c r="B43" s="216">
        <f>E43/100</f>
        <v>0.161</v>
      </c>
      <c r="C43" s="8" t="s">
        <v>456</v>
      </c>
      <c r="D43" s="24" t="s">
        <v>464</v>
      </c>
      <c r="E43" s="237">
        <v>16.100000000000001</v>
      </c>
      <c r="F43" s="23">
        <f t="shared" si="0"/>
        <v>0.16841004184100422</v>
      </c>
      <c r="G43" s="16"/>
    </row>
    <row r="44" spans="1:7" x14ac:dyDescent="0.2">
      <c r="A44" s="24" t="s">
        <v>336</v>
      </c>
      <c r="B44" s="216">
        <f t="shared" ref="B44:B50" si="1">E44/100</f>
        <v>6.6000000000000003E-2</v>
      </c>
      <c r="C44" s="8" t="s">
        <v>456</v>
      </c>
      <c r="D44" s="24" t="s">
        <v>336</v>
      </c>
      <c r="E44" s="237">
        <v>6.6</v>
      </c>
      <c r="F44" s="23">
        <f t="shared" si="0"/>
        <v>6.9037656903765704E-2</v>
      </c>
      <c r="G44" s="16"/>
    </row>
    <row r="45" spans="1:7" x14ac:dyDescent="0.2">
      <c r="A45" s="24" t="s">
        <v>337</v>
      </c>
      <c r="B45" s="216">
        <f t="shared" si="1"/>
        <v>0</v>
      </c>
      <c r="C45" s="8" t="s">
        <v>456</v>
      </c>
      <c r="D45" s="24" t="s">
        <v>337</v>
      </c>
      <c r="E45" s="237"/>
      <c r="F45" s="23">
        <f t="shared" si="0"/>
        <v>0</v>
      </c>
      <c r="G45" s="16"/>
    </row>
    <row r="46" spans="1:7" x14ac:dyDescent="0.2">
      <c r="A46" s="21" t="s">
        <v>352</v>
      </c>
      <c r="B46" s="216">
        <f t="shared" si="1"/>
        <v>2.1000000000000001E-2</v>
      </c>
      <c r="C46" s="8" t="s">
        <v>456</v>
      </c>
      <c r="D46" s="21" t="s">
        <v>352</v>
      </c>
      <c r="E46" s="237">
        <v>2.1</v>
      </c>
      <c r="F46" s="23">
        <f t="shared" si="0"/>
        <v>2.1966527196652725E-2</v>
      </c>
      <c r="G46" s="16"/>
    </row>
    <row r="47" spans="1:7" x14ac:dyDescent="0.2">
      <c r="A47" s="24" t="s">
        <v>450</v>
      </c>
      <c r="B47" s="216">
        <f t="shared" si="1"/>
        <v>0</v>
      </c>
      <c r="C47" s="8" t="s">
        <v>456</v>
      </c>
      <c r="D47" s="24" t="s">
        <v>450</v>
      </c>
      <c r="E47" s="237"/>
      <c r="F47" s="23">
        <f t="shared" si="0"/>
        <v>0</v>
      </c>
      <c r="G47" s="16"/>
    </row>
    <row r="48" spans="1:7" x14ac:dyDescent="0.2">
      <c r="A48" s="24" t="s">
        <v>451</v>
      </c>
      <c r="B48" s="216">
        <f t="shared" si="1"/>
        <v>0</v>
      </c>
      <c r="C48" s="8" t="s">
        <v>456</v>
      </c>
      <c r="D48" s="24" t="s">
        <v>451</v>
      </c>
      <c r="E48" s="237"/>
      <c r="F48" s="23">
        <f t="shared" si="0"/>
        <v>0</v>
      </c>
      <c r="G48" s="16"/>
    </row>
    <row r="49" spans="1:7" x14ac:dyDescent="0.2">
      <c r="A49" s="24" t="s">
        <v>474</v>
      </c>
      <c r="B49" s="216">
        <f t="shared" si="1"/>
        <v>0.02</v>
      </c>
      <c r="C49" s="8" t="s">
        <v>456</v>
      </c>
      <c r="D49" s="24" t="s">
        <v>474</v>
      </c>
      <c r="E49" s="237">
        <v>2</v>
      </c>
      <c r="F49" s="23">
        <f t="shared" si="0"/>
        <v>2.0920502092050215E-2</v>
      </c>
      <c r="G49" s="16"/>
    </row>
    <row r="50" spans="1:7" x14ac:dyDescent="0.2">
      <c r="A50" s="24" t="s">
        <v>475</v>
      </c>
      <c r="B50" s="216">
        <f t="shared" si="1"/>
        <v>0.11599999999999999</v>
      </c>
      <c r="C50" s="8" t="str">
        <f>[2]Input!$C$31</f>
        <v>Analytical Data</v>
      </c>
      <c r="D50" s="24" t="s">
        <v>475</v>
      </c>
      <c r="E50" s="237">
        <v>11.6</v>
      </c>
      <c r="F50" s="23">
        <f t="shared" si="0"/>
        <v>0.12133891213389124</v>
      </c>
    </row>
    <row r="51" spans="1:7" x14ac:dyDescent="0.2">
      <c r="A51" s="25" t="s">
        <v>466</v>
      </c>
      <c r="B51" s="26">
        <f>(B38+B42+B40)*0.9+(B39+B41)*0.88+SUM(B43:B50)</f>
        <v>0.95599831272440339</v>
      </c>
      <c r="C51" s="9" t="s">
        <v>537</v>
      </c>
      <c r="D51" s="25" t="s">
        <v>523</v>
      </c>
      <c r="E51" s="218">
        <f>SUM(E38:E50)</f>
        <v>95.59999999999998</v>
      </c>
      <c r="F51" s="27">
        <f>B51/$B$51</f>
        <v>1</v>
      </c>
    </row>
    <row r="53" spans="1:7" x14ac:dyDescent="0.2">
      <c r="A53" s="227" t="s">
        <v>467</v>
      </c>
      <c r="B53" s="228"/>
      <c r="C53" s="229"/>
      <c r="D53" s="228"/>
      <c r="E53" s="235"/>
      <c r="F53" s="235" t="s">
        <v>458</v>
      </c>
    </row>
    <row r="54" spans="1:7" x14ac:dyDescent="0.2">
      <c r="A54" s="21" t="s">
        <v>459</v>
      </c>
      <c r="B54" s="216">
        <f>E54*Carbon_Balance!AF10/Carbon_Balance!AF25/100</f>
        <v>0.58444285846444199</v>
      </c>
      <c r="C54" s="8" t="s">
        <v>456</v>
      </c>
      <c r="D54" s="21" t="s">
        <v>213</v>
      </c>
      <c r="E54" s="236">
        <v>52.6</v>
      </c>
      <c r="F54" s="22">
        <f t="shared" ref="F54:F64" si="2">E54/$E$64</f>
        <v>0.55602536997885832</v>
      </c>
    </row>
    <row r="55" spans="1:7" x14ac:dyDescent="0.2">
      <c r="A55" s="21" t="s">
        <v>460</v>
      </c>
      <c r="B55" s="216">
        <f>E55*Carbon_Balance!AF12/Carbon_Balance!AF28/100</f>
        <v>2.8408996295696379E-2</v>
      </c>
      <c r="C55" s="8" t="s">
        <v>456</v>
      </c>
      <c r="D55" s="21" t="s">
        <v>343</v>
      </c>
      <c r="E55" s="237">
        <v>2.5</v>
      </c>
      <c r="F55" s="23">
        <f t="shared" si="2"/>
        <v>2.6427061310782238E-2</v>
      </c>
    </row>
    <row r="56" spans="1:7" x14ac:dyDescent="0.2">
      <c r="A56" s="21" t="s">
        <v>461</v>
      </c>
      <c r="B56" s="216">
        <f>E56*Carbon_Balance!AF14/Carbon_Balance!AF30/100</f>
        <v>0</v>
      </c>
      <c r="C56" s="8" t="s">
        <v>456</v>
      </c>
      <c r="D56" s="21" t="s">
        <v>344</v>
      </c>
      <c r="E56" s="237"/>
      <c r="F56" s="23">
        <f t="shared" si="2"/>
        <v>0</v>
      </c>
    </row>
    <row r="57" spans="1:7" x14ac:dyDescent="0.2">
      <c r="A57" s="21" t="s">
        <v>462</v>
      </c>
      <c r="B57" s="216">
        <f>E57*Carbon_Balance!AF13/Carbon_Balance!AF29/100</f>
        <v>2.2727197036557104E-3</v>
      </c>
      <c r="C57" s="8" t="s">
        <v>456</v>
      </c>
      <c r="D57" s="21" t="s">
        <v>345</v>
      </c>
      <c r="E57" s="237">
        <v>0.2</v>
      </c>
      <c r="F57" s="23">
        <f t="shared" si="2"/>
        <v>2.1141649048625794E-3</v>
      </c>
    </row>
    <row r="58" spans="1:7" x14ac:dyDescent="0.2">
      <c r="A58" s="21" t="s">
        <v>463</v>
      </c>
      <c r="B58" s="216">
        <f>E58*Carbon_Balance!AF11/Carbon_Balance!AF27/100</f>
        <v>0</v>
      </c>
      <c r="C58" s="8" t="s">
        <v>456</v>
      </c>
      <c r="D58" s="21" t="s">
        <v>346</v>
      </c>
      <c r="E58" s="237"/>
      <c r="F58" s="23">
        <f t="shared" si="2"/>
        <v>0</v>
      </c>
    </row>
    <row r="59" spans="1:7" x14ac:dyDescent="0.2">
      <c r="A59" s="24" t="s">
        <v>465</v>
      </c>
      <c r="B59" s="216">
        <f>E59/100</f>
        <v>7.0000000000000007E-2</v>
      </c>
      <c r="C59" s="8" t="s">
        <v>456</v>
      </c>
      <c r="D59" s="24" t="s">
        <v>465</v>
      </c>
      <c r="E59" s="237">
        <v>7</v>
      </c>
      <c r="F59" s="23">
        <f t="shared" si="2"/>
        <v>7.3995771670190266E-2</v>
      </c>
    </row>
    <row r="60" spans="1:7" x14ac:dyDescent="0.2">
      <c r="A60" s="24" t="s">
        <v>464</v>
      </c>
      <c r="B60" s="216">
        <f>E60/100</f>
        <v>0.316</v>
      </c>
      <c r="C60" s="8" t="s">
        <v>456</v>
      </c>
      <c r="D60" s="24" t="s">
        <v>464</v>
      </c>
      <c r="E60" s="237">
        <v>31.6</v>
      </c>
      <c r="F60" s="23">
        <f t="shared" si="2"/>
        <v>0.33403805496828753</v>
      </c>
    </row>
    <row r="61" spans="1:7" x14ac:dyDescent="0.2">
      <c r="A61" s="24" t="s">
        <v>352</v>
      </c>
      <c r="B61" s="216">
        <f>E61/100</f>
        <v>6.9999999999999993E-3</v>
      </c>
      <c r="C61" s="8" t="s">
        <v>456</v>
      </c>
      <c r="D61" s="24" t="s">
        <v>352</v>
      </c>
      <c r="E61" s="237">
        <v>0.7</v>
      </c>
      <c r="F61" s="23">
        <f t="shared" si="2"/>
        <v>7.3995771670190263E-3</v>
      </c>
    </row>
    <row r="62" spans="1:7" x14ac:dyDescent="0.2">
      <c r="A62" s="24" t="s">
        <v>450</v>
      </c>
      <c r="B62" s="216">
        <f>E62/100</f>
        <v>0</v>
      </c>
      <c r="C62" s="8" t="s">
        <v>456</v>
      </c>
      <c r="D62" s="24" t="s">
        <v>450</v>
      </c>
      <c r="E62" s="237"/>
      <c r="F62" s="23">
        <f t="shared" si="2"/>
        <v>0</v>
      </c>
    </row>
    <row r="63" spans="1:7" x14ac:dyDescent="0.2">
      <c r="A63" s="24" t="s">
        <v>451</v>
      </c>
      <c r="B63" s="216">
        <f>E63/100</f>
        <v>0</v>
      </c>
      <c r="C63" s="8" t="s">
        <v>456</v>
      </c>
      <c r="D63" s="24" t="s">
        <v>451</v>
      </c>
      <c r="E63" s="237"/>
      <c r="F63" s="23">
        <f t="shared" si="2"/>
        <v>0</v>
      </c>
    </row>
    <row r="64" spans="1:7" x14ac:dyDescent="0.2">
      <c r="A64" s="25" t="s">
        <v>523</v>
      </c>
      <c r="B64" s="28">
        <f>(B54+B58+B56)*0.9+(B55+B57)*0.88+(SUM(B59:B63))</f>
        <v>0.94599848269742759</v>
      </c>
      <c r="C64" s="9" t="s">
        <v>537</v>
      </c>
      <c r="D64" s="25" t="s">
        <v>523</v>
      </c>
      <c r="E64" s="218">
        <f>SUM(E54:E63)</f>
        <v>94.600000000000009</v>
      </c>
      <c r="F64" s="27">
        <f t="shared" si="2"/>
        <v>1</v>
      </c>
    </row>
    <row r="66" spans="1:5" x14ac:dyDescent="0.2">
      <c r="A66" s="227" t="s">
        <v>524</v>
      </c>
      <c r="B66" s="228"/>
      <c r="C66" s="229"/>
      <c r="D66" s="217"/>
    </row>
    <row r="67" spans="1:5" x14ac:dyDescent="0.2">
      <c r="A67" s="24" t="s">
        <v>525</v>
      </c>
      <c r="B67" s="241">
        <v>1.069</v>
      </c>
      <c r="C67" s="8" t="s">
        <v>456</v>
      </c>
      <c r="D67" s="34"/>
    </row>
    <row r="68" spans="1:5" x14ac:dyDescent="0.2">
      <c r="A68" s="24" t="s">
        <v>526</v>
      </c>
      <c r="B68" s="241">
        <v>2.8</v>
      </c>
      <c r="C68" s="8" t="s">
        <v>456</v>
      </c>
      <c r="D68" s="34"/>
    </row>
    <row r="69" spans="1:5" x14ac:dyDescent="0.2">
      <c r="A69" s="24" t="s">
        <v>527</v>
      </c>
      <c r="B69" s="241">
        <v>15.9</v>
      </c>
      <c r="C69" s="8" t="s">
        <v>456</v>
      </c>
      <c r="D69" s="34"/>
      <c r="E69" t="s">
        <v>39</v>
      </c>
    </row>
    <row r="70" spans="1:5" x14ac:dyDescent="0.2">
      <c r="A70" s="24" t="s">
        <v>528</v>
      </c>
      <c r="B70" s="241">
        <v>55.1</v>
      </c>
      <c r="C70" s="8" t="s">
        <v>456</v>
      </c>
      <c r="D70" s="34"/>
    </row>
    <row r="71" spans="1:5" x14ac:dyDescent="0.2">
      <c r="A71" s="24" t="s">
        <v>529</v>
      </c>
      <c r="B71" s="241">
        <v>6</v>
      </c>
      <c r="C71" s="8" t="s">
        <v>456</v>
      </c>
      <c r="D71" s="34"/>
    </row>
    <row r="72" spans="1:5" x14ac:dyDescent="0.2">
      <c r="A72" s="24" t="s">
        <v>530</v>
      </c>
      <c r="B72" s="241">
        <v>10.8</v>
      </c>
      <c r="C72" s="8" t="s">
        <v>456</v>
      </c>
      <c r="D72" s="34"/>
    </row>
    <row r="73" spans="1:5" x14ac:dyDescent="0.2">
      <c r="A73" s="24" t="s">
        <v>531</v>
      </c>
      <c r="B73" s="241"/>
      <c r="C73" s="8" t="s">
        <v>456</v>
      </c>
      <c r="D73" s="34"/>
    </row>
    <row r="74" spans="1:5" x14ac:dyDescent="0.2">
      <c r="A74" s="24" t="s">
        <v>476</v>
      </c>
      <c r="B74" s="241"/>
      <c r="C74" s="8" t="s">
        <v>456</v>
      </c>
      <c r="D74" s="34"/>
    </row>
    <row r="75" spans="1:5" x14ac:dyDescent="0.2">
      <c r="A75" s="24" t="s">
        <v>351</v>
      </c>
      <c r="B75" s="241"/>
      <c r="C75" s="8" t="s">
        <v>456</v>
      </c>
      <c r="D75" s="34"/>
    </row>
    <row r="76" spans="1:5" x14ac:dyDescent="0.2">
      <c r="A76" s="24" t="s">
        <v>532</v>
      </c>
      <c r="B76" s="241">
        <v>9.9</v>
      </c>
      <c r="C76" s="8" t="s">
        <v>456</v>
      </c>
      <c r="D76" s="34"/>
    </row>
    <row r="77" spans="1:5" x14ac:dyDescent="0.2">
      <c r="A77" s="24" t="s">
        <v>533</v>
      </c>
      <c r="B77" s="241">
        <v>2</v>
      </c>
      <c r="C77" s="8" t="s">
        <v>456</v>
      </c>
      <c r="D77" s="34"/>
    </row>
    <row r="78" spans="1:5" x14ac:dyDescent="0.2">
      <c r="A78" s="24" t="s">
        <v>534</v>
      </c>
      <c r="B78" s="241">
        <v>0.9</v>
      </c>
      <c r="C78" s="8" t="s">
        <v>456</v>
      </c>
      <c r="D78" s="34"/>
    </row>
    <row r="79" spans="1:5" x14ac:dyDescent="0.2">
      <c r="A79" s="21" t="s">
        <v>535</v>
      </c>
      <c r="B79" s="241">
        <v>18.7</v>
      </c>
      <c r="C79" s="8" t="s">
        <v>456</v>
      </c>
      <c r="D79" s="34"/>
    </row>
    <row r="80" spans="1:5" x14ac:dyDescent="0.2">
      <c r="A80" s="21" t="s">
        <v>356</v>
      </c>
      <c r="B80" s="241">
        <v>63.5</v>
      </c>
      <c r="C80" s="8" t="s">
        <v>456</v>
      </c>
      <c r="D80" s="34"/>
    </row>
    <row r="81" spans="1:4" x14ac:dyDescent="0.2">
      <c r="A81" s="21" t="s">
        <v>339</v>
      </c>
      <c r="B81" s="241">
        <v>6.6</v>
      </c>
      <c r="C81" s="8" t="s">
        <v>456</v>
      </c>
      <c r="D81" s="34"/>
    </row>
    <row r="82" spans="1:4" x14ac:dyDescent="0.2">
      <c r="A82" s="21" t="s">
        <v>340</v>
      </c>
      <c r="B82" s="241">
        <v>10.4</v>
      </c>
      <c r="C82" s="8" t="s">
        <v>456</v>
      </c>
      <c r="D82" s="34"/>
    </row>
    <row r="83" spans="1:4" x14ac:dyDescent="0.2">
      <c r="A83" s="21" t="s">
        <v>341</v>
      </c>
      <c r="B83" s="241"/>
      <c r="C83" s="8" t="s">
        <v>456</v>
      </c>
      <c r="D83" s="34"/>
    </row>
    <row r="84" spans="1:4" x14ac:dyDescent="0.2">
      <c r="A84" s="21" t="s">
        <v>342</v>
      </c>
      <c r="B84" s="241"/>
      <c r="C84" s="8" t="s">
        <v>456</v>
      </c>
      <c r="D84" s="34"/>
    </row>
    <row r="85" spans="1:4" x14ac:dyDescent="0.2">
      <c r="A85" s="24" t="s">
        <v>468</v>
      </c>
      <c r="B85" s="239">
        <v>5.9</v>
      </c>
      <c r="C85" s="8" t="s">
        <v>456</v>
      </c>
      <c r="D85" s="34"/>
    </row>
    <row r="86" spans="1:4" x14ac:dyDescent="0.2">
      <c r="A86" s="24" t="s">
        <v>332</v>
      </c>
      <c r="B86" s="239"/>
      <c r="C86" s="8" t="s">
        <v>456</v>
      </c>
      <c r="D86" s="34" t="e">
        <f>-#REF!</f>
        <v>#REF!</v>
      </c>
    </row>
    <row r="87" spans="1:4" x14ac:dyDescent="0.2">
      <c r="A87" s="24" t="s">
        <v>333</v>
      </c>
      <c r="B87" s="239"/>
      <c r="C87" s="8" t="s">
        <v>456</v>
      </c>
      <c r="D87" s="34"/>
    </row>
    <row r="88" spans="1:4" x14ac:dyDescent="0.2">
      <c r="A88" s="30" t="s">
        <v>469</v>
      </c>
      <c r="B88" s="240"/>
      <c r="C88" s="9" t="s">
        <v>456</v>
      </c>
      <c r="D88" s="34"/>
    </row>
    <row r="90" spans="1:4" x14ac:dyDescent="0.2">
      <c r="A90" s="227" t="s">
        <v>470</v>
      </c>
      <c r="B90" s="228"/>
      <c r="C90" s="229"/>
      <c r="D90" s="217"/>
    </row>
    <row r="91" spans="1:4" x14ac:dyDescent="0.2">
      <c r="A91" s="24" t="s">
        <v>525</v>
      </c>
      <c r="B91" s="211">
        <v>1</v>
      </c>
      <c r="C91" s="8" t="str">
        <f>[2]Input!$C$78</f>
        <v>Estimate</v>
      </c>
      <c r="D91" s="34"/>
    </row>
    <row r="92" spans="1:4" x14ac:dyDescent="0.2">
      <c r="A92" s="24" t="s">
        <v>532</v>
      </c>
      <c r="B92" s="239">
        <v>20.6</v>
      </c>
      <c r="C92" s="8" t="s">
        <v>456</v>
      </c>
      <c r="D92" s="34"/>
    </row>
    <row r="93" spans="1:4" x14ac:dyDescent="0.2">
      <c r="A93" s="30" t="s">
        <v>534</v>
      </c>
      <c r="B93" s="240">
        <v>4.5999999999999996</v>
      </c>
      <c r="C93" s="9" t="s">
        <v>456</v>
      </c>
      <c r="D93" s="34"/>
    </row>
    <row r="94" spans="1:4" x14ac:dyDescent="0.2">
      <c r="A94" s="31"/>
      <c r="B94" s="29"/>
    </row>
    <row r="95" spans="1:4" x14ac:dyDescent="0.2">
      <c r="A95" s="227" t="s">
        <v>471</v>
      </c>
      <c r="B95" s="228"/>
      <c r="C95" s="229"/>
      <c r="D95" s="217"/>
    </row>
    <row r="96" spans="1:4" x14ac:dyDescent="0.2">
      <c r="A96" s="24" t="s">
        <v>525</v>
      </c>
      <c r="B96" s="211">
        <v>1</v>
      </c>
      <c r="C96" s="8" t="str">
        <f>[2]Input!$C$83</f>
        <v>Estimate</v>
      </c>
      <c r="D96" s="34"/>
    </row>
    <row r="97" spans="1:10" x14ac:dyDescent="0.2">
      <c r="A97" s="24" t="s">
        <v>532</v>
      </c>
      <c r="B97" s="239">
        <v>2.1</v>
      </c>
      <c r="C97" s="8" t="s">
        <v>456</v>
      </c>
      <c r="D97" s="34"/>
    </row>
    <row r="98" spans="1:10" x14ac:dyDescent="0.2">
      <c r="A98" s="30" t="s">
        <v>534</v>
      </c>
      <c r="B98" s="240">
        <v>5.0999999999999996</v>
      </c>
      <c r="C98" s="9" t="s">
        <v>456</v>
      </c>
      <c r="D98" s="34"/>
    </row>
    <row r="100" spans="1:10" x14ac:dyDescent="0.2">
      <c r="A100" s="227" t="s">
        <v>472</v>
      </c>
      <c r="B100" s="228"/>
      <c r="C100" s="229"/>
      <c r="D100" s="217"/>
    </row>
    <row r="101" spans="1:10" x14ac:dyDescent="0.2">
      <c r="A101" s="262" t="s">
        <v>242</v>
      </c>
      <c r="B101" s="261">
        <v>0</v>
      </c>
      <c r="C101" s="8" t="s">
        <v>334</v>
      </c>
      <c r="D101" s="217"/>
    </row>
    <row r="102" spans="1:10" x14ac:dyDescent="0.2">
      <c r="A102" s="24" t="s">
        <v>107</v>
      </c>
      <c r="B102" s="16">
        <v>0</v>
      </c>
      <c r="C102" s="8" t="s">
        <v>334</v>
      </c>
      <c r="D102" s="34"/>
      <c r="I102" s="1"/>
      <c r="J102" s="1"/>
    </row>
    <row r="103" spans="1:10" x14ac:dyDescent="0.2">
      <c r="A103" s="21" t="s">
        <v>358</v>
      </c>
      <c r="B103" s="16">
        <v>0</v>
      </c>
      <c r="C103" s="8" t="s">
        <v>334</v>
      </c>
      <c r="D103" s="34"/>
      <c r="I103" s="1"/>
      <c r="J103" s="1"/>
    </row>
    <row r="104" spans="1:10" x14ac:dyDescent="0.2">
      <c r="A104" s="24" t="s">
        <v>110</v>
      </c>
      <c r="B104" s="16">
        <v>0</v>
      </c>
      <c r="C104" s="8" t="s">
        <v>334</v>
      </c>
      <c r="D104" s="34"/>
      <c r="I104" s="1"/>
      <c r="J104" s="1"/>
    </row>
    <row r="105" spans="1:10" x14ac:dyDescent="0.2">
      <c r="A105" s="259" t="s">
        <v>359</v>
      </c>
      <c r="B105" s="32">
        <v>0</v>
      </c>
      <c r="C105" s="9" t="s">
        <v>334</v>
      </c>
      <c r="D105" s="34"/>
      <c r="I105" s="1"/>
      <c r="J105" s="1"/>
    </row>
    <row r="106" spans="1:10" x14ac:dyDescent="0.2">
      <c r="A106" s="33"/>
      <c r="B106" s="32"/>
      <c r="C106" s="34"/>
      <c r="D106" s="34"/>
      <c r="I106" s="1"/>
      <c r="J106" s="1"/>
    </row>
    <row r="107" spans="1:10" x14ac:dyDescent="0.2">
      <c r="A107" s="227" t="s">
        <v>360</v>
      </c>
      <c r="B107" s="228"/>
      <c r="C107" s="229"/>
      <c r="D107" s="217"/>
      <c r="I107" s="1"/>
      <c r="J107" s="1"/>
    </row>
    <row r="108" spans="1:10" x14ac:dyDescent="0.2">
      <c r="A108" s="24" t="s">
        <v>425</v>
      </c>
      <c r="B108" s="16">
        <v>0</v>
      </c>
      <c r="C108" s="8" t="s">
        <v>426</v>
      </c>
      <c r="D108" s="34"/>
      <c r="I108" s="1"/>
      <c r="J108" s="1"/>
    </row>
    <row r="109" spans="1:10" x14ac:dyDescent="0.2">
      <c r="A109" s="24" t="s">
        <v>427</v>
      </c>
      <c r="B109" s="16">
        <v>0</v>
      </c>
      <c r="C109" s="8"/>
      <c r="D109" s="34"/>
      <c r="I109" s="1"/>
      <c r="J109" s="1"/>
    </row>
    <row r="110" spans="1:10" x14ac:dyDescent="0.2">
      <c r="A110" s="30"/>
      <c r="B110" s="32"/>
      <c r="C110" s="9"/>
      <c r="D110" s="34"/>
      <c r="I110" s="1"/>
      <c r="J110" s="1"/>
    </row>
    <row r="111" spans="1:10" x14ac:dyDescent="0.2">
      <c r="I111" s="1"/>
      <c r="J111" s="1"/>
    </row>
    <row r="112" spans="1:10" x14ac:dyDescent="0.2">
      <c r="I112" s="1"/>
      <c r="J112" s="1"/>
    </row>
    <row r="113" spans="1:10" x14ac:dyDescent="0.2">
      <c r="I113" s="1"/>
      <c r="J113" s="1"/>
    </row>
    <row r="114" spans="1:10" x14ac:dyDescent="0.2">
      <c r="I114" s="1"/>
      <c r="J114" s="1"/>
    </row>
    <row r="115" spans="1:10" x14ac:dyDescent="0.2">
      <c r="I115" s="1"/>
      <c r="J115" s="1"/>
    </row>
    <row r="116" spans="1:10" x14ac:dyDescent="0.2">
      <c r="A116" s="238"/>
      <c r="B116" s="572" t="s">
        <v>452</v>
      </c>
      <c r="C116" s="572"/>
      <c r="I116" s="1"/>
      <c r="J116" s="1"/>
    </row>
    <row r="117" spans="1:10" ht="25.5" x14ac:dyDescent="0.2">
      <c r="B117" s="242" t="s">
        <v>454</v>
      </c>
      <c r="C117" s="242" t="s">
        <v>449</v>
      </c>
      <c r="I117" s="1"/>
      <c r="J117" s="1"/>
    </row>
    <row r="118" spans="1:10" x14ac:dyDescent="0.2">
      <c r="B118" s="1" t="s">
        <v>502</v>
      </c>
      <c r="C118" s="1" t="s">
        <v>453</v>
      </c>
      <c r="I118" s="1"/>
      <c r="J118" s="1"/>
    </row>
    <row r="119" spans="1:10" x14ac:dyDescent="0.2">
      <c r="B119" s="1">
        <v>20.100000000000001</v>
      </c>
      <c r="C119" s="1">
        <v>1.0058</v>
      </c>
      <c r="I119" s="1"/>
      <c r="J119" s="1"/>
    </row>
    <row r="120" spans="1:10" x14ac:dyDescent="0.2">
      <c r="B120" s="1">
        <v>25.2</v>
      </c>
      <c r="C120" s="1">
        <v>1.0078</v>
      </c>
      <c r="I120" s="1"/>
      <c r="J120" s="1"/>
    </row>
    <row r="121" spans="1:10" x14ac:dyDescent="0.2">
      <c r="B121" s="1">
        <v>30.3</v>
      </c>
      <c r="C121" s="1">
        <v>1.0097</v>
      </c>
      <c r="I121" s="1"/>
      <c r="J121" s="1"/>
    </row>
    <row r="122" spans="1:10" x14ac:dyDescent="0.2">
      <c r="B122" s="1">
        <v>35.4</v>
      </c>
      <c r="C122" s="1">
        <v>1.0116000000000001</v>
      </c>
      <c r="I122" s="1"/>
      <c r="J122" s="1"/>
    </row>
    <row r="123" spans="1:10" x14ac:dyDescent="0.2">
      <c r="B123" s="1">
        <v>40.5</v>
      </c>
      <c r="C123" s="1">
        <v>1.0136000000000001</v>
      </c>
      <c r="I123" s="1"/>
      <c r="J123" s="1"/>
    </row>
    <row r="124" spans="1:10" x14ac:dyDescent="0.2">
      <c r="B124" s="1">
        <v>45.7</v>
      </c>
      <c r="C124" s="1">
        <v>1.0155000000000001</v>
      </c>
      <c r="I124" s="1"/>
      <c r="J124" s="1"/>
    </row>
    <row r="125" spans="1:10" x14ac:dyDescent="0.2">
      <c r="B125" s="1">
        <v>50.9</v>
      </c>
      <c r="C125" s="1">
        <v>1.0175000000000001</v>
      </c>
      <c r="I125" s="1"/>
      <c r="J125" s="1"/>
    </row>
    <row r="126" spans="1:10" x14ac:dyDescent="0.2">
      <c r="B126" s="1">
        <v>56.1</v>
      </c>
      <c r="C126" s="1">
        <v>1.0214000000000001</v>
      </c>
      <c r="I126" s="1"/>
      <c r="J126" s="1"/>
    </row>
    <row r="127" spans="1:10" x14ac:dyDescent="0.2">
      <c r="B127" s="1">
        <v>61.3</v>
      </c>
      <c r="C127" s="1">
        <v>1.0214000000000001</v>
      </c>
      <c r="I127" s="1"/>
      <c r="J127" s="1"/>
    </row>
    <row r="128" spans="1:10" x14ac:dyDescent="0.2">
      <c r="B128" s="1">
        <v>66.5</v>
      </c>
      <c r="C128" s="1">
        <v>1.0234000000000001</v>
      </c>
      <c r="I128" s="1"/>
      <c r="J128" s="1"/>
    </row>
    <row r="129" spans="2:10" x14ac:dyDescent="0.2">
      <c r="B129" s="1">
        <v>71.8</v>
      </c>
      <c r="C129" s="1">
        <v>1.0254000000000001</v>
      </c>
      <c r="I129" s="1"/>
      <c r="J129" s="1"/>
    </row>
    <row r="130" spans="2:10" x14ac:dyDescent="0.2">
      <c r="B130" s="1">
        <v>77.099999999999994</v>
      </c>
      <c r="C130" s="1">
        <v>1.0274000000000001</v>
      </c>
      <c r="I130" s="1"/>
      <c r="J130" s="1"/>
    </row>
    <row r="131" spans="2:10" x14ac:dyDescent="0.2">
      <c r="B131" s="1">
        <v>82.4</v>
      </c>
      <c r="C131" s="1">
        <v>1.0294000000000001</v>
      </c>
      <c r="I131" s="1"/>
      <c r="J131" s="1"/>
    </row>
    <row r="132" spans="2:10" x14ac:dyDescent="0.2">
      <c r="B132" s="1">
        <v>87.7</v>
      </c>
      <c r="C132" s="1">
        <v>1.0314000000000001</v>
      </c>
      <c r="I132" s="1"/>
      <c r="J132" s="1"/>
    </row>
    <row r="133" spans="2:10" x14ac:dyDescent="0.2">
      <c r="B133" s="1">
        <v>93</v>
      </c>
      <c r="C133" s="1">
        <v>1.0334000000000001</v>
      </c>
      <c r="I133" s="1"/>
      <c r="J133" s="1"/>
    </row>
    <row r="134" spans="2:10" x14ac:dyDescent="0.2">
      <c r="B134" s="1">
        <v>98.4</v>
      </c>
      <c r="C134" s="1">
        <v>1.0354000000000001</v>
      </c>
      <c r="I134" s="1"/>
      <c r="J134" s="1"/>
    </row>
    <row r="135" spans="2:10" x14ac:dyDescent="0.2">
      <c r="B135" s="1">
        <v>103.7</v>
      </c>
      <c r="C135" s="1">
        <v>1.0375000000000001</v>
      </c>
      <c r="I135" s="1"/>
      <c r="J135" s="1"/>
    </row>
    <row r="136" spans="2:10" x14ac:dyDescent="0.2">
      <c r="B136" s="1">
        <v>114.6</v>
      </c>
      <c r="C136" s="1">
        <v>1.0416000000000001</v>
      </c>
      <c r="I136" s="1"/>
      <c r="J136" s="1"/>
    </row>
    <row r="137" spans="2:10" x14ac:dyDescent="0.2">
      <c r="B137" s="1">
        <v>125.5</v>
      </c>
      <c r="C137" s="1">
        <v>1.0457000000000001</v>
      </c>
      <c r="I137" s="1"/>
      <c r="J137" s="1"/>
    </row>
    <row r="138" spans="2:10" x14ac:dyDescent="0.2">
      <c r="B138" s="1">
        <v>136.5</v>
      </c>
      <c r="C138" s="1">
        <v>1.0498000000000001</v>
      </c>
      <c r="I138" s="1"/>
      <c r="J138" s="1"/>
    </row>
    <row r="139" spans="2:10" x14ac:dyDescent="0.2">
      <c r="B139" s="1">
        <v>147.6</v>
      </c>
      <c r="C139" s="1">
        <v>1.054</v>
      </c>
      <c r="I139" s="1"/>
      <c r="J139" s="1"/>
    </row>
    <row r="140" spans="2:10" x14ac:dyDescent="0.2">
      <c r="B140" s="1">
        <v>158.69999999999999</v>
      </c>
      <c r="C140" s="1">
        <v>1.0582</v>
      </c>
      <c r="I140" s="1"/>
      <c r="J140" s="1"/>
    </row>
    <row r="141" spans="2:10" x14ac:dyDescent="0.2">
      <c r="B141" s="1">
        <v>170</v>
      </c>
      <c r="C141" s="1">
        <v>1.0624</v>
      </c>
      <c r="I141" s="1"/>
      <c r="J141" s="1"/>
    </row>
    <row r="142" spans="2:10" x14ac:dyDescent="0.2">
      <c r="B142" s="1">
        <v>181.3</v>
      </c>
      <c r="C142" s="1">
        <v>1.0667</v>
      </c>
      <c r="I142" s="1"/>
      <c r="J142" s="1"/>
    </row>
    <row r="143" spans="2:10" x14ac:dyDescent="0.2">
      <c r="B143" s="1">
        <v>192.8</v>
      </c>
      <c r="C143" s="1">
        <v>1.071</v>
      </c>
      <c r="I143" s="1"/>
      <c r="J143" s="1"/>
    </row>
    <row r="144" spans="2:10" x14ac:dyDescent="0.2">
      <c r="B144" s="1">
        <v>204.3</v>
      </c>
      <c r="C144" s="1">
        <v>1.0752999999999999</v>
      </c>
      <c r="I144" s="1"/>
      <c r="J144" s="1"/>
    </row>
    <row r="145" spans="9:10" x14ac:dyDescent="0.2">
      <c r="I145" s="1"/>
      <c r="J145" s="1"/>
    </row>
    <row r="146" spans="9:10" x14ac:dyDescent="0.2">
      <c r="I146" s="1"/>
      <c r="J146" s="1"/>
    </row>
    <row r="147" spans="9:10" x14ac:dyDescent="0.2">
      <c r="I147" s="1"/>
      <c r="J147" s="1"/>
    </row>
    <row r="148" spans="9:10" x14ac:dyDescent="0.2">
      <c r="I148" s="1"/>
      <c r="J148" s="1"/>
    </row>
    <row r="149" spans="9:10" x14ac:dyDescent="0.2">
      <c r="I149" s="1"/>
      <c r="J149" s="1"/>
    </row>
    <row r="150" spans="9:10" x14ac:dyDescent="0.2">
      <c r="I150" s="1"/>
      <c r="J150" s="1"/>
    </row>
    <row r="151" spans="9:10" x14ac:dyDescent="0.2">
      <c r="I151" s="1"/>
      <c r="J151" s="1"/>
    </row>
    <row r="152" spans="9:10" x14ac:dyDescent="0.2">
      <c r="I152" s="1"/>
      <c r="J152" s="1"/>
    </row>
    <row r="153" spans="9:10" x14ac:dyDescent="0.2">
      <c r="I153" s="1"/>
      <c r="J153" s="1"/>
    </row>
    <row r="154" spans="9:10" x14ac:dyDescent="0.2">
      <c r="I154" s="1"/>
      <c r="J154" s="1"/>
    </row>
    <row r="155" spans="9:10" x14ac:dyDescent="0.2">
      <c r="I155" s="1"/>
      <c r="J155" s="1"/>
    </row>
    <row r="156" spans="9:10" x14ac:dyDescent="0.2">
      <c r="I156" s="1"/>
      <c r="J156" s="1"/>
    </row>
    <row r="157" spans="9:10" x14ac:dyDescent="0.2">
      <c r="I157" s="1"/>
      <c r="J157" s="1"/>
    </row>
    <row r="158" spans="9:10" x14ac:dyDescent="0.2">
      <c r="I158" s="1"/>
      <c r="J158" s="1"/>
    </row>
    <row r="159" spans="9:10" x14ac:dyDescent="0.2">
      <c r="I159" s="1"/>
      <c r="J159" s="1"/>
    </row>
    <row r="160" spans="9:10" x14ac:dyDescent="0.2">
      <c r="I160" s="1"/>
      <c r="J160" s="1"/>
    </row>
    <row r="161" spans="9:10" x14ac:dyDescent="0.2">
      <c r="I161" s="1"/>
      <c r="J161" s="1"/>
    </row>
    <row r="162" spans="9:10" x14ac:dyDescent="0.2">
      <c r="I162" s="1"/>
      <c r="J162" s="1"/>
    </row>
    <row r="163" spans="9:10" x14ac:dyDescent="0.2">
      <c r="I163" s="1"/>
      <c r="J163" s="1"/>
    </row>
    <row r="164" spans="9:10" x14ac:dyDescent="0.2">
      <c r="I164" s="1"/>
      <c r="J164" s="1"/>
    </row>
    <row r="165" spans="9:10" x14ac:dyDescent="0.2">
      <c r="I165" s="1"/>
      <c r="J165" s="1"/>
    </row>
    <row r="166" spans="9:10" x14ac:dyDescent="0.2">
      <c r="I166" s="1"/>
      <c r="J166" s="1"/>
    </row>
    <row r="167" spans="9:10" x14ac:dyDescent="0.2">
      <c r="I167" s="1"/>
      <c r="J167" s="1"/>
    </row>
    <row r="168" spans="9:10" x14ac:dyDescent="0.2">
      <c r="I168" s="1"/>
      <c r="J168" s="1"/>
    </row>
    <row r="169" spans="9:10" x14ac:dyDescent="0.2">
      <c r="I169" s="1"/>
      <c r="J169" s="1"/>
    </row>
    <row r="170" spans="9:10" x14ac:dyDescent="0.2">
      <c r="I170" s="1"/>
      <c r="J170" s="1"/>
    </row>
    <row r="171" spans="9:10" x14ac:dyDescent="0.2">
      <c r="I171" s="1"/>
      <c r="J171" s="1"/>
    </row>
    <row r="172" spans="9:10" x14ac:dyDescent="0.2">
      <c r="I172" s="1"/>
      <c r="J172" s="1"/>
    </row>
    <row r="173" spans="9:10" x14ac:dyDescent="0.2">
      <c r="I173" s="1"/>
      <c r="J173" s="1"/>
    </row>
    <row r="174" spans="9:10" x14ac:dyDescent="0.2">
      <c r="I174" s="1"/>
      <c r="J174" s="1"/>
    </row>
    <row r="175" spans="9:10" x14ac:dyDescent="0.2">
      <c r="I175" s="1"/>
      <c r="J175" s="1"/>
    </row>
    <row r="176" spans="9:10" x14ac:dyDescent="0.2">
      <c r="I176" s="1"/>
      <c r="J176" s="1"/>
    </row>
    <row r="177" spans="9:10" x14ac:dyDescent="0.2">
      <c r="I177" s="1"/>
      <c r="J177" s="1"/>
    </row>
    <row r="178" spans="9:10" x14ac:dyDescent="0.2">
      <c r="I178" s="1"/>
      <c r="J178" s="1"/>
    </row>
    <row r="179" spans="9:10" x14ac:dyDescent="0.2">
      <c r="I179" s="1"/>
      <c r="J179" s="1"/>
    </row>
    <row r="180" spans="9:10" x14ac:dyDescent="0.2">
      <c r="I180" s="1"/>
      <c r="J180" s="1"/>
    </row>
    <row r="181" spans="9:10" x14ac:dyDescent="0.2">
      <c r="I181" s="1"/>
      <c r="J181" s="1"/>
    </row>
    <row r="182" spans="9:10" x14ac:dyDescent="0.2">
      <c r="I182" s="1"/>
      <c r="J182" s="1"/>
    </row>
    <row r="183" spans="9:10" x14ac:dyDescent="0.2">
      <c r="I183" s="1"/>
      <c r="J183" s="1"/>
    </row>
    <row r="184" spans="9:10" x14ac:dyDescent="0.2">
      <c r="I184" s="1"/>
      <c r="J184" s="1"/>
    </row>
    <row r="185" spans="9:10" x14ac:dyDescent="0.2">
      <c r="I185" s="1"/>
      <c r="J185" s="1"/>
    </row>
    <row r="186" spans="9:10" x14ac:dyDescent="0.2">
      <c r="I186" s="1"/>
      <c r="J186" s="1"/>
    </row>
    <row r="187" spans="9:10" x14ac:dyDescent="0.2">
      <c r="I187" s="1"/>
      <c r="J187" s="1"/>
    </row>
    <row r="188" spans="9:10" x14ac:dyDescent="0.2">
      <c r="I188" s="1"/>
      <c r="J188" s="1"/>
    </row>
    <row r="189" spans="9:10" x14ac:dyDescent="0.2">
      <c r="I189" s="1"/>
      <c r="J189" s="1"/>
    </row>
    <row r="190" spans="9:10" x14ac:dyDescent="0.2">
      <c r="I190" s="1"/>
      <c r="J190" s="1"/>
    </row>
    <row r="191" spans="9:10" x14ac:dyDescent="0.2">
      <c r="I191" s="1"/>
      <c r="J191" s="1"/>
    </row>
    <row r="192" spans="9:10" x14ac:dyDescent="0.2">
      <c r="I192" s="1"/>
      <c r="J192" s="1"/>
    </row>
    <row r="193" spans="9:10" x14ac:dyDescent="0.2">
      <c r="I193" s="1"/>
      <c r="J193" s="1"/>
    </row>
    <row r="194" spans="9:10" x14ac:dyDescent="0.2">
      <c r="I194" s="1"/>
      <c r="J194" s="1"/>
    </row>
    <row r="195" spans="9:10" x14ac:dyDescent="0.2">
      <c r="I195" s="1"/>
      <c r="J195" s="1"/>
    </row>
    <row r="196" spans="9:10" x14ac:dyDescent="0.2">
      <c r="I196" s="1"/>
      <c r="J196" s="1"/>
    </row>
    <row r="197" spans="9:10" x14ac:dyDescent="0.2">
      <c r="I197" s="1"/>
      <c r="J197" s="1"/>
    </row>
    <row r="198" spans="9:10" x14ac:dyDescent="0.2">
      <c r="I198" s="1"/>
      <c r="J198" s="1"/>
    </row>
    <row r="199" spans="9:10" x14ac:dyDescent="0.2">
      <c r="I199" s="1"/>
      <c r="J199" s="1"/>
    </row>
    <row r="200" spans="9:10" x14ac:dyDescent="0.2">
      <c r="I200" s="1"/>
      <c r="J200" s="1"/>
    </row>
    <row r="201" spans="9:10" x14ac:dyDescent="0.2">
      <c r="I201" s="1"/>
      <c r="J201" s="1"/>
    </row>
    <row r="202" spans="9:10" x14ac:dyDescent="0.2">
      <c r="I202" s="1"/>
      <c r="J202" s="1"/>
    </row>
    <row r="203" spans="9:10" x14ac:dyDescent="0.2">
      <c r="I203" s="1"/>
      <c r="J203" s="1"/>
    </row>
    <row r="204" spans="9:10" x14ac:dyDescent="0.2">
      <c r="I204" s="1"/>
      <c r="J204" s="1"/>
    </row>
    <row r="205" spans="9:10" x14ac:dyDescent="0.2">
      <c r="I205" s="1"/>
      <c r="J205" s="1"/>
    </row>
    <row r="206" spans="9:10" x14ac:dyDescent="0.2">
      <c r="I206" s="1"/>
      <c r="J206" s="1"/>
    </row>
    <row r="207" spans="9:10" x14ac:dyDescent="0.2">
      <c r="I207" s="1"/>
      <c r="J207" s="1"/>
    </row>
    <row r="208" spans="9:10" x14ac:dyDescent="0.2">
      <c r="I208" s="1"/>
      <c r="J208" s="1"/>
    </row>
    <row r="209" spans="9:10" x14ac:dyDescent="0.2">
      <c r="I209" s="1"/>
      <c r="J209" s="1"/>
    </row>
    <row r="210" spans="9:10" x14ac:dyDescent="0.2">
      <c r="I210" s="1"/>
      <c r="J210" s="1"/>
    </row>
    <row r="211" spans="9:10" x14ac:dyDescent="0.2">
      <c r="I211" s="1"/>
      <c r="J211" s="1"/>
    </row>
    <row r="212" spans="9:10" x14ac:dyDescent="0.2">
      <c r="I212" s="1"/>
      <c r="J212" s="1"/>
    </row>
    <row r="213" spans="9:10" x14ac:dyDescent="0.2">
      <c r="I213" s="1"/>
      <c r="J213" s="1"/>
    </row>
    <row r="214" spans="9:10" x14ac:dyDescent="0.2">
      <c r="I214" s="1"/>
      <c r="J214" s="1"/>
    </row>
    <row r="215" spans="9:10" x14ac:dyDescent="0.2">
      <c r="I215" s="1"/>
      <c r="J215" s="1"/>
    </row>
    <row r="216" spans="9:10" x14ac:dyDescent="0.2">
      <c r="I216" s="1"/>
      <c r="J216" s="1"/>
    </row>
    <row r="217" spans="9:10" x14ac:dyDescent="0.2">
      <c r="I217" s="1"/>
      <c r="J217" s="1"/>
    </row>
    <row r="218" spans="9:10" x14ac:dyDescent="0.2">
      <c r="I218" s="1"/>
      <c r="J218" s="1"/>
    </row>
    <row r="219" spans="9:10" x14ac:dyDescent="0.2">
      <c r="I219" s="1"/>
      <c r="J219" s="1"/>
    </row>
    <row r="220" spans="9:10" x14ac:dyDescent="0.2">
      <c r="I220" s="1"/>
      <c r="J220" s="1"/>
    </row>
    <row r="221" spans="9:10" x14ac:dyDescent="0.2">
      <c r="I221" s="1"/>
      <c r="J221" s="1"/>
    </row>
    <row r="222" spans="9:10" x14ac:dyDescent="0.2">
      <c r="I222" s="1"/>
      <c r="J222" s="1"/>
    </row>
    <row r="223" spans="9:10" x14ac:dyDescent="0.2">
      <c r="I223" s="1"/>
      <c r="J223" s="1"/>
    </row>
    <row r="224" spans="9:10" x14ac:dyDescent="0.2">
      <c r="I224" s="1"/>
      <c r="J224" s="1"/>
    </row>
    <row r="225" spans="9:10" x14ac:dyDescent="0.2">
      <c r="I225" s="1"/>
      <c r="J225" s="1"/>
    </row>
    <row r="226" spans="9:10" x14ac:dyDescent="0.2">
      <c r="I226" s="1"/>
      <c r="J226" s="1"/>
    </row>
    <row r="227" spans="9:10" x14ac:dyDescent="0.2">
      <c r="I227" s="1"/>
      <c r="J227" s="1"/>
    </row>
    <row r="228" spans="9:10" x14ac:dyDescent="0.2">
      <c r="I228" s="1"/>
      <c r="J228" s="1"/>
    </row>
    <row r="229" spans="9:10" x14ac:dyDescent="0.2">
      <c r="I229" s="1"/>
      <c r="J229" s="1"/>
    </row>
    <row r="230" spans="9:10" x14ac:dyDescent="0.2">
      <c r="I230" s="1"/>
      <c r="J230" s="1"/>
    </row>
    <row r="231" spans="9:10" x14ac:dyDescent="0.2">
      <c r="I231" s="1"/>
      <c r="J231" s="1"/>
    </row>
    <row r="232" spans="9:10" x14ac:dyDescent="0.2">
      <c r="I232" s="1"/>
      <c r="J232" s="1"/>
    </row>
    <row r="233" spans="9:10" x14ac:dyDescent="0.2">
      <c r="I233" s="1"/>
      <c r="J233" s="1"/>
    </row>
    <row r="234" spans="9:10" x14ac:dyDescent="0.2">
      <c r="I234" s="1"/>
      <c r="J234" s="1"/>
    </row>
    <row r="235" spans="9:10" x14ac:dyDescent="0.2">
      <c r="I235" s="1"/>
      <c r="J235" s="1"/>
    </row>
    <row r="236" spans="9:10" x14ac:dyDescent="0.2">
      <c r="I236" s="1"/>
      <c r="J236" s="1"/>
    </row>
    <row r="237" spans="9:10" x14ac:dyDescent="0.2">
      <c r="I237" s="1"/>
      <c r="J237" s="1"/>
    </row>
    <row r="238" spans="9:10" x14ac:dyDescent="0.2">
      <c r="I238" s="1"/>
      <c r="J238" s="1"/>
    </row>
    <row r="239" spans="9:10" x14ac:dyDescent="0.2">
      <c r="I239" s="1"/>
      <c r="J239" s="1"/>
    </row>
    <row r="240" spans="9:10" x14ac:dyDescent="0.2">
      <c r="I240" s="1"/>
      <c r="J240" s="1"/>
    </row>
    <row r="241" spans="9:10" x14ac:dyDescent="0.2">
      <c r="I241" s="1"/>
      <c r="J241" s="1"/>
    </row>
    <row r="242" spans="9:10" x14ac:dyDescent="0.2">
      <c r="I242" s="1"/>
      <c r="J242" s="1"/>
    </row>
    <row r="243" spans="9:10" x14ac:dyDescent="0.2">
      <c r="I243" s="1"/>
      <c r="J243" s="1"/>
    </row>
    <row r="244" spans="9:10" x14ac:dyDescent="0.2">
      <c r="I244" s="1"/>
      <c r="J244" s="1"/>
    </row>
    <row r="245" spans="9:10" x14ac:dyDescent="0.2">
      <c r="I245" s="1"/>
      <c r="J245" s="1"/>
    </row>
    <row r="246" spans="9:10" x14ac:dyDescent="0.2">
      <c r="I246" s="1"/>
      <c r="J246" s="1"/>
    </row>
    <row r="247" spans="9:10" x14ac:dyDescent="0.2">
      <c r="I247" s="1"/>
      <c r="J247" s="1"/>
    </row>
    <row r="248" spans="9:10" x14ac:dyDescent="0.2">
      <c r="I248" s="1"/>
      <c r="J248" s="1"/>
    </row>
    <row r="249" spans="9:10" x14ac:dyDescent="0.2">
      <c r="I249" s="1"/>
      <c r="J249" s="1"/>
    </row>
    <row r="250" spans="9:10" x14ac:dyDescent="0.2">
      <c r="I250" s="1"/>
      <c r="J250" s="1"/>
    </row>
    <row r="251" spans="9:10" x14ac:dyDescent="0.2">
      <c r="I251" s="1"/>
      <c r="J251" s="1"/>
    </row>
    <row r="252" spans="9:10" x14ac:dyDescent="0.2">
      <c r="I252" s="1"/>
      <c r="J252" s="1"/>
    </row>
    <row r="253" spans="9:10" x14ac:dyDescent="0.2">
      <c r="I253" s="1"/>
      <c r="J253" s="1"/>
    </row>
    <row r="254" spans="9:10" x14ac:dyDescent="0.2">
      <c r="I254" s="1"/>
      <c r="J254" s="1"/>
    </row>
    <row r="255" spans="9:10" x14ac:dyDescent="0.2">
      <c r="I255" s="1"/>
      <c r="J255" s="1"/>
    </row>
    <row r="256" spans="9:10" x14ac:dyDescent="0.2">
      <c r="I256" s="1"/>
      <c r="J256" s="1"/>
    </row>
    <row r="257" spans="9:10" x14ac:dyDescent="0.2">
      <c r="I257" s="1"/>
      <c r="J257" s="1"/>
    </row>
    <row r="258" spans="9:10" x14ac:dyDescent="0.2">
      <c r="I258" s="1"/>
      <c r="J258" s="1"/>
    </row>
    <row r="259" spans="9:10" x14ac:dyDescent="0.2">
      <c r="I259" s="1"/>
      <c r="J259" s="1"/>
    </row>
    <row r="260" spans="9:10" x14ac:dyDescent="0.2">
      <c r="I260" s="1"/>
      <c r="J260" s="1"/>
    </row>
    <row r="261" spans="9:10" x14ac:dyDescent="0.2">
      <c r="I261" s="1"/>
      <c r="J261" s="1"/>
    </row>
    <row r="262" spans="9:10" x14ac:dyDescent="0.2">
      <c r="I262" s="1"/>
      <c r="J262" s="1"/>
    </row>
    <row r="263" spans="9:10" x14ac:dyDescent="0.2">
      <c r="I263" s="1"/>
      <c r="J263" s="1"/>
    </row>
    <row r="264" spans="9:10" x14ac:dyDescent="0.2">
      <c r="I264" s="1"/>
      <c r="J264" s="1"/>
    </row>
    <row r="265" spans="9:10" x14ac:dyDescent="0.2">
      <c r="I265" s="1"/>
      <c r="J265" s="1"/>
    </row>
    <row r="266" spans="9:10" x14ac:dyDescent="0.2">
      <c r="I266" s="1"/>
      <c r="J266" s="1"/>
    </row>
    <row r="267" spans="9:10" x14ac:dyDescent="0.2">
      <c r="I267" s="1"/>
      <c r="J267" s="1"/>
    </row>
    <row r="268" spans="9:10" x14ac:dyDescent="0.2">
      <c r="I268" s="1"/>
      <c r="J268" s="1"/>
    </row>
    <row r="269" spans="9:10" x14ac:dyDescent="0.2">
      <c r="I269" s="1"/>
      <c r="J269" s="1"/>
    </row>
    <row r="270" spans="9:10" x14ac:dyDescent="0.2">
      <c r="I270" s="1"/>
      <c r="J270" s="1"/>
    </row>
    <row r="271" spans="9:10" x14ac:dyDescent="0.2">
      <c r="I271" s="1"/>
      <c r="J271" s="1"/>
    </row>
    <row r="272" spans="9:10" x14ac:dyDescent="0.2">
      <c r="I272" s="1"/>
      <c r="J272" s="1"/>
    </row>
    <row r="273" spans="9:10" x14ac:dyDescent="0.2">
      <c r="I273" s="1"/>
      <c r="J273" s="1"/>
    </row>
    <row r="274" spans="9:10" x14ac:dyDescent="0.2">
      <c r="I274" s="1"/>
      <c r="J274" s="1"/>
    </row>
    <row r="275" spans="9:10" x14ac:dyDescent="0.2">
      <c r="I275" s="1"/>
      <c r="J275" s="1"/>
    </row>
    <row r="276" spans="9:10" x14ac:dyDescent="0.2">
      <c r="I276" s="1"/>
      <c r="J276" s="1"/>
    </row>
    <row r="277" spans="9:10" x14ac:dyDescent="0.2">
      <c r="I277" s="1"/>
      <c r="J277" s="1"/>
    </row>
    <row r="278" spans="9:10" x14ac:dyDescent="0.2">
      <c r="I278" s="1"/>
      <c r="J278" s="1"/>
    </row>
    <row r="279" spans="9:10" x14ac:dyDescent="0.2">
      <c r="I279" s="1"/>
      <c r="J279" s="1"/>
    </row>
    <row r="280" spans="9:10" x14ac:dyDescent="0.2">
      <c r="I280" s="1"/>
      <c r="J280" s="1"/>
    </row>
    <row r="281" spans="9:10" x14ac:dyDescent="0.2">
      <c r="I281" s="1"/>
      <c r="J281" s="1"/>
    </row>
    <row r="282" spans="9:10" x14ac:dyDescent="0.2">
      <c r="I282" s="1"/>
      <c r="J282" s="1"/>
    </row>
    <row r="283" spans="9:10" x14ac:dyDescent="0.2">
      <c r="I283" s="1"/>
      <c r="J283" s="1"/>
    </row>
    <row r="284" spans="9:10" x14ac:dyDescent="0.2">
      <c r="I284" s="1"/>
      <c r="J284" s="1"/>
    </row>
    <row r="285" spans="9:10" x14ac:dyDescent="0.2">
      <c r="I285" s="1"/>
      <c r="J285" s="1"/>
    </row>
    <row r="286" spans="9:10" x14ac:dyDescent="0.2">
      <c r="I286" s="1"/>
      <c r="J286" s="1"/>
    </row>
    <row r="287" spans="9:10" x14ac:dyDescent="0.2">
      <c r="I287" s="1"/>
      <c r="J287" s="1"/>
    </row>
    <row r="288" spans="9:10" x14ac:dyDescent="0.2">
      <c r="I288" s="1"/>
      <c r="J288" s="1"/>
    </row>
    <row r="289" spans="9:10" x14ac:dyDescent="0.2">
      <c r="I289" s="1"/>
      <c r="J289" s="1"/>
    </row>
    <row r="290" spans="9:10" x14ac:dyDescent="0.2">
      <c r="I290" s="1"/>
      <c r="J290" s="1"/>
    </row>
    <row r="291" spans="9:10" x14ac:dyDescent="0.2">
      <c r="I291" s="1"/>
      <c r="J291" s="1"/>
    </row>
    <row r="292" spans="9:10" x14ac:dyDescent="0.2">
      <c r="I292" s="1"/>
      <c r="J292" s="1"/>
    </row>
    <row r="293" spans="9:10" x14ac:dyDescent="0.2">
      <c r="I293" s="1"/>
      <c r="J293" s="1"/>
    </row>
    <row r="294" spans="9:10" x14ac:dyDescent="0.2">
      <c r="I294" s="1"/>
      <c r="J294" s="1"/>
    </row>
    <row r="295" spans="9:10" x14ac:dyDescent="0.2">
      <c r="I295" s="1"/>
      <c r="J295" s="1"/>
    </row>
    <row r="296" spans="9:10" x14ac:dyDescent="0.2">
      <c r="I296" s="1"/>
      <c r="J296" s="1"/>
    </row>
    <row r="297" spans="9:10" x14ac:dyDescent="0.2">
      <c r="I297" s="1"/>
      <c r="J297" s="1"/>
    </row>
    <row r="298" spans="9:10" x14ac:dyDescent="0.2">
      <c r="I298" s="1"/>
      <c r="J298" s="1"/>
    </row>
    <row r="299" spans="9:10" x14ac:dyDescent="0.2">
      <c r="I299" s="1"/>
      <c r="J299" s="1"/>
    </row>
    <row r="300" spans="9:10" x14ac:dyDescent="0.2">
      <c r="I300" s="1"/>
      <c r="J300" s="1"/>
    </row>
    <row r="301" spans="9:10" x14ac:dyDescent="0.2">
      <c r="I301" s="1"/>
      <c r="J301" s="1"/>
    </row>
    <row r="302" spans="9:10" x14ac:dyDescent="0.2">
      <c r="I302" s="1"/>
      <c r="J302" s="1"/>
    </row>
    <row r="303" spans="9:10" x14ac:dyDescent="0.2">
      <c r="I303" s="1"/>
      <c r="J303" s="1"/>
    </row>
    <row r="304" spans="9:10" x14ac:dyDescent="0.2">
      <c r="I304" s="1"/>
      <c r="J304" s="1"/>
    </row>
    <row r="305" spans="9:10" x14ac:dyDescent="0.2">
      <c r="I305" s="1"/>
      <c r="J305" s="1"/>
    </row>
    <row r="306" spans="9:10" x14ac:dyDescent="0.2">
      <c r="I306" s="1"/>
      <c r="J306" s="1"/>
    </row>
    <row r="307" spans="9:10" x14ac:dyDescent="0.2">
      <c r="I307" s="1"/>
      <c r="J307" s="1"/>
    </row>
    <row r="308" spans="9:10" x14ac:dyDescent="0.2">
      <c r="I308" s="1"/>
      <c r="J308" s="1"/>
    </row>
    <row r="309" spans="9:10" x14ac:dyDescent="0.2">
      <c r="I309" s="1"/>
      <c r="J309" s="1"/>
    </row>
    <row r="310" spans="9:10" x14ac:dyDescent="0.2">
      <c r="I310" s="1"/>
      <c r="J310" s="1"/>
    </row>
    <row r="311" spans="9:10" x14ac:dyDescent="0.2">
      <c r="I311" s="1"/>
      <c r="J311" s="1"/>
    </row>
    <row r="312" spans="9:10" x14ac:dyDescent="0.2">
      <c r="I312" s="1"/>
      <c r="J312" s="1"/>
    </row>
    <row r="313" spans="9:10" x14ac:dyDescent="0.2">
      <c r="I313" s="1"/>
      <c r="J313" s="1"/>
    </row>
    <row r="314" spans="9:10" x14ac:dyDescent="0.2">
      <c r="I314" s="1"/>
      <c r="J314" s="1"/>
    </row>
    <row r="315" spans="9:10" x14ac:dyDescent="0.2">
      <c r="I315" s="1"/>
      <c r="J315" s="1"/>
    </row>
    <row r="316" spans="9:10" x14ac:dyDescent="0.2">
      <c r="I316" s="1"/>
      <c r="J316" s="1"/>
    </row>
    <row r="317" spans="9:10" x14ac:dyDescent="0.2">
      <c r="I317" s="1"/>
      <c r="J317" s="1"/>
    </row>
    <row r="318" spans="9:10" x14ac:dyDescent="0.2">
      <c r="I318" s="1"/>
      <c r="J318" s="1"/>
    </row>
    <row r="319" spans="9:10" x14ac:dyDescent="0.2">
      <c r="I319" s="1"/>
      <c r="J319" s="1"/>
    </row>
    <row r="320" spans="9:10" x14ac:dyDescent="0.2">
      <c r="I320" s="1"/>
      <c r="J320" s="1"/>
    </row>
    <row r="321" spans="9:10" x14ac:dyDescent="0.2">
      <c r="I321" s="1"/>
      <c r="J321" s="1"/>
    </row>
    <row r="322" spans="9:10" x14ac:dyDescent="0.2">
      <c r="I322" s="1"/>
      <c r="J322" s="1"/>
    </row>
    <row r="323" spans="9:10" x14ac:dyDescent="0.2">
      <c r="I323" s="1"/>
      <c r="J323" s="1"/>
    </row>
  </sheetData>
  <mergeCells count="1">
    <mergeCell ref="B116:C116"/>
  </mergeCells>
  <phoneticPr fontId="0" type="noConversion"/>
  <printOptions gridLinesSet="0"/>
  <pageMargins left="0.75" right="0.75" top="1" bottom="1" header="0.5" footer="0.5"/>
  <headerFooter alignWithMargins="0">
    <oddFooter>&amp;L&amp;F  Material Balance Input&amp;RPage &amp;P</oddFooter>
  </headerFooter>
  <legacyDrawing r:id="rId1"/>
  <extLst>
    <ext xmlns:mx="http://schemas.microsoft.com/office/mac/excel/2008/main" uri="http://schemas.microsoft.com/office/mac/excel/2008/main">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8"/>
  <sheetViews>
    <sheetView workbookViewId="0">
      <pane ySplit="1" topLeftCell="A2" activePane="bottomLeft" state="frozen"/>
      <selection pane="bottomLeft" activeCell="A241" sqref="A241"/>
    </sheetView>
  </sheetViews>
  <sheetFormatPr defaultColWidth="8.85546875" defaultRowHeight="12.75" x14ac:dyDescent="0.2"/>
  <cols>
    <col min="1" max="1" width="23.85546875" customWidth="1"/>
  </cols>
  <sheetData>
    <row r="1" spans="1:12" ht="51" x14ac:dyDescent="0.2">
      <c r="A1" s="263"/>
      <c r="B1" s="263" t="s">
        <v>375</v>
      </c>
      <c r="C1" s="263" t="s">
        <v>376</v>
      </c>
      <c r="D1" s="263" t="s">
        <v>377</v>
      </c>
      <c r="E1" s="263" t="s">
        <v>378</v>
      </c>
      <c r="F1" s="263" t="s">
        <v>379</v>
      </c>
      <c r="G1" s="414" t="s">
        <v>380</v>
      </c>
      <c r="H1" s="415" t="s">
        <v>381</v>
      </c>
      <c r="I1" s="415" t="s">
        <v>382</v>
      </c>
      <c r="J1" s="415" t="s">
        <v>383</v>
      </c>
      <c r="K1" s="416" t="s">
        <v>384</v>
      </c>
      <c r="L1" s="263" t="s">
        <v>385</v>
      </c>
    </row>
    <row r="2" spans="1:12" x14ac:dyDescent="0.2">
      <c r="A2" t="s">
        <v>386</v>
      </c>
      <c r="B2">
        <v>0.244140625</v>
      </c>
      <c r="C2">
        <v>189.56568908691401</v>
      </c>
      <c r="D2">
        <v>186.71115112304699</v>
      </c>
      <c r="E2">
        <v>191.72917175293</v>
      </c>
      <c r="F2">
        <v>22.2900390625</v>
      </c>
      <c r="G2">
        <v>16.5771484375</v>
      </c>
      <c r="H2">
        <v>40.740966796875</v>
      </c>
      <c r="I2">
        <v>37.734375</v>
      </c>
      <c r="J2">
        <v>7.0036214192708304</v>
      </c>
      <c r="K2">
        <v>13.766813411238701</v>
      </c>
      <c r="L2">
        <v>101.673095703125</v>
      </c>
    </row>
    <row r="3" spans="1:12" x14ac:dyDescent="0.2">
      <c r="A3" t="s">
        <v>387</v>
      </c>
      <c r="B3">
        <v>0.244140625</v>
      </c>
      <c r="C3">
        <v>189.64724731445301</v>
      </c>
      <c r="D3">
        <v>186.874267578125</v>
      </c>
      <c r="E3">
        <v>192.31520080566401</v>
      </c>
      <c r="F3">
        <v>22.8759765625</v>
      </c>
      <c r="G3">
        <v>16.30859375</v>
      </c>
      <c r="H3">
        <v>40.496826171875</v>
      </c>
      <c r="I3">
        <v>36.9140625</v>
      </c>
      <c r="J3">
        <v>6.9924437802140904</v>
      </c>
      <c r="K3">
        <v>13.825097233264801</v>
      </c>
      <c r="L3">
        <v>101.673095703125</v>
      </c>
    </row>
    <row r="4" spans="1:12" x14ac:dyDescent="0.2">
      <c r="A4" t="s">
        <v>388</v>
      </c>
      <c r="B4">
        <v>0.244140625</v>
      </c>
      <c r="C4">
        <v>189.72880554199199</v>
      </c>
      <c r="D4">
        <v>186.874267578125</v>
      </c>
      <c r="E4">
        <v>191.53382873535199</v>
      </c>
      <c r="F4">
        <v>22.9248046875</v>
      </c>
      <c r="G4">
        <v>18.603515625</v>
      </c>
      <c r="H4">
        <v>40.252685546875</v>
      </c>
      <c r="I4">
        <v>35.859375</v>
      </c>
      <c r="J4">
        <v>6.9983517135704396</v>
      </c>
      <c r="K4">
        <v>14.1990883265312</v>
      </c>
      <c r="L4">
        <v>101.61880493164</v>
      </c>
    </row>
    <row r="5" spans="1:12" x14ac:dyDescent="0.2">
      <c r="A5" t="s">
        <v>389</v>
      </c>
      <c r="B5">
        <v>0.244140625</v>
      </c>
      <c r="C5">
        <v>189.72880554199199</v>
      </c>
      <c r="D5">
        <v>186.874267578125</v>
      </c>
      <c r="E5">
        <v>191.72917175293</v>
      </c>
      <c r="F5">
        <v>23.73046875</v>
      </c>
      <c r="G5">
        <v>21.4599609375</v>
      </c>
      <c r="H5">
        <v>39.73388671875</v>
      </c>
      <c r="I5">
        <v>35.56640625</v>
      </c>
      <c r="J5">
        <v>7.0399244937150796</v>
      </c>
      <c r="K5">
        <v>14.750105035585699</v>
      </c>
      <c r="L5">
        <v>101.673095703125</v>
      </c>
    </row>
    <row r="6" spans="1:12" x14ac:dyDescent="0.2">
      <c r="A6" t="s">
        <v>390</v>
      </c>
      <c r="B6">
        <v>0.244140625</v>
      </c>
      <c r="C6">
        <v>189.72880554199199</v>
      </c>
      <c r="D6">
        <v>186.874267578125</v>
      </c>
      <c r="E6">
        <v>192.11985778808599</v>
      </c>
      <c r="F6">
        <v>23.583984375</v>
      </c>
      <c r="G6">
        <v>21.435546875</v>
      </c>
      <c r="H6">
        <v>39.4287109375</v>
      </c>
      <c r="I6">
        <v>37.265625</v>
      </c>
      <c r="J6">
        <v>7.0463894465782104</v>
      </c>
      <c r="K6">
        <v>14.678917847191601</v>
      </c>
      <c r="L6">
        <v>101.673095703125</v>
      </c>
    </row>
    <row r="7" spans="1:12" x14ac:dyDescent="0.2">
      <c r="A7" t="s">
        <v>391</v>
      </c>
      <c r="B7">
        <v>0.244140625</v>
      </c>
      <c r="C7">
        <v>189.64724731445301</v>
      </c>
      <c r="D7">
        <v>186.79270935058599</v>
      </c>
      <c r="E7">
        <v>191.24081420898401</v>
      </c>
      <c r="F7">
        <v>23.4130859375</v>
      </c>
      <c r="G7">
        <v>20.8740234375</v>
      </c>
      <c r="H7">
        <v>39.459228515625</v>
      </c>
      <c r="I7">
        <v>36.09375</v>
      </c>
      <c r="J7">
        <v>7.0389404296875</v>
      </c>
      <c r="K7">
        <v>14.529164149386901</v>
      </c>
      <c r="L7">
        <v>101.673095703125</v>
      </c>
    </row>
    <row r="8" spans="1:12" x14ac:dyDescent="0.2">
      <c r="A8" t="s">
        <v>392</v>
      </c>
      <c r="B8">
        <v>0.244140625</v>
      </c>
      <c r="C8">
        <v>189.484130859375</v>
      </c>
      <c r="D8">
        <v>186.71115112304699</v>
      </c>
      <c r="E8">
        <v>190.75245666503901</v>
      </c>
      <c r="F8">
        <v>23.4375</v>
      </c>
      <c r="G8">
        <v>21.044921875</v>
      </c>
      <c r="H8">
        <v>39.764404296875</v>
      </c>
      <c r="I8">
        <v>35.9765625</v>
      </c>
      <c r="J8">
        <v>7.0370686848958304</v>
      </c>
      <c r="K8">
        <v>14.6218646408796</v>
      </c>
      <c r="L8">
        <v>101.645950317383</v>
      </c>
    </row>
    <row r="9" spans="1:12" x14ac:dyDescent="0.2">
      <c r="A9" t="s">
        <v>393</v>
      </c>
      <c r="B9">
        <v>0.244140625</v>
      </c>
      <c r="C9">
        <v>189.40257263183599</v>
      </c>
      <c r="D9">
        <v>186.62959289550801</v>
      </c>
      <c r="E9">
        <v>191.33848571777301</v>
      </c>
      <c r="F9">
        <v>23.53515625</v>
      </c>
      <c r="G9">
        <v>19.873046875</v>
      </c>
      <c r="H9">
        <v>40.4052734375</v>
      </c>
      <c r="I9">
        <v>35.390625</v>
      </c>
      <c r="J9">
        <v>7.0470917090940999</v>
      </c>
      <c r="K9">
        <v>14.5227965044486</v>
      </c>
      <c r="L9">
        <v>101.673095703125</v>
      </c>
    </row>
    <row r="10" spans="1:12" x14ac:dyDescent="0.2">
      <c r="A10" t="s">
        <v>272</v>
      </c>
      <c r="B10">
        <v>0.244140625</v>
      </c>
      <c r="C10">
        <v>189.484130859375</v>
      </c>
      <c r="D10">
        <v>186.62959289550801</v>
      </c>
      <c r="E10">
        <v>191.72917175293</v>
      </c>
      <c r="F10">
        <v>23.6083984375</v>
      </c>
      <c r="G10">
        <v>19.7021484375</v>
      </c>
      <c r="H10">
        <v>41.778564453125</v>
      </c>
      <c r="I10">
        <v>36.15234375</v>
      </c>
      <c r="J10">
        <v>7.0480380969101102</v>
      </c>
      <c r="K10">
        <v>14.7169302187139</v>
      </c>
      <c r="L10">
        <v>101.700241088867</v>
      </c>
    </row>
    <row r="11" spans="1:12" x14ac:dyDescent="0.2">
      <c r="A11" t="s">
        <v>273</v>
      </c>
      <c r="B11">
        <v>0.244140625</v>
      </c>
      <c r="C11">
        <v>189.40257263183599</v>
      </c>
      <c r="D11">
        <v>186.62959289550801</v>
      </c>
      <c r="E11">
        <v>191.24081420898401</v>
      </c>
      <c r="F11">
        <v>23.388671875</v>
      </c>
      <c r="G11">
        <v>20.361328125</v>
      </c>
      <c r="H11">
        <v>41.229248046875</v>
      </c>
      <c r="I11">
        <v>35.5078125</v>
      </c>
      <c r="J11">
        <v>7.0161514708449699</v>
      </c>
      <c r="K11">
        <v>14.702323575048799</v>
      </c>
      <c r="L11">
        <v>101.673095703125</v>
      </c>
    </row>
    <row r="12" spans="1:12" x14ac:dyDescent="0.2">
      <c r="A12" t="s">
        <v>274</v>
      </c>
      <c r="B12">
        <v>0.244140625</v>
      </c>
      <c r="C12">
        <v>189.32101440429699</v>
      </c>
      <c r="D12">
        <v>186.71115112304699</v>
      </c>
      <c r="E12">
        <v>190.85012817382801</v>
      </c>
      <c r="F12">
        <v>23.291015625</v>
      </c>
      <c r="G12">
        <v>18.45703125</v>
      </c>
      <c r="H12">
        <v>41.778564453125</v>
      </c>
      <c r="I12">
        <v>36.15234375</v>
      </c>
      <c r="J12">
        <v>7.0169698193086596</v>
      </c>
      <c r="K12">
        <v>14.460811748932</v>
      </c>
      <c r="L12">
        <v>101.673095703125</v>
      </c>
    </row>
    <row r="13" spans="1:12" x14ac:dyDescent="0.2">
      <c r="A13" t="s">
        <v>275</v>
      </c>
      <c r="B13">
        <v>0.244140625</v>
      </c>
      <c r="C13">
        <v>189.40257263183599</v>
      </c>
      <c r="D13">
        <v>186.62959289550801</v>
      </c>
      <c r="E13">
        <v>191.53382873535199</v>
      </c>
      <c r="F13">
        <v>23.1689453125</v>
      </c>
      <c r="G13">
        <v>17.724609375</v>
      </c>
      <c r="H13">
        <v>41.56494140625</v>
      </c>
      <c r="I13">
        <v>35.859375</v>
      </c>
      <c r="J13">
        <v>7.0148011958798904</v>
      </c>
      <c r="K13">
        <v>14.4886761090145</v>
      </c>
      <c r="L13">
        <v>100.3701171875</v>
      </c>
    </row>
    <row r="14" spans="1:12" x14ac:dyDescent="0.2">
      <c r="A14" t="s">
        <v>276</v>
      </c>
      <c r="B14">
        <v>0.244140625</v>
      </c>
      <c r="C14">
        <v>189.64724731445301</v>
      </c>
      <c r="D14">
        <v>186.79270935058599</v>
      </c>
      <c r="E14">
        <v>193.09657287597699</v>
      </c>
      <c r="F14">
        <v>23.1201171875</v>
      </c>
      <c r="G14">
        <v>17.1875</v>
      </c>
      <c r="H14">
        <v>41.259765625</v>
      </c>
      <c r="I14">
        <v>35.390625</v>
      </c>
      <c r="J14">
        <v>6.9930331267458099</v>
      </c>
      <c r="K14">
        <v>14.488480886520801</v>
      </c>
      <c r="L14">
        <v>99.664337158203097</v>
      </c>
    </row>
    <row r="15" spans="1:12" x14ac:dyDescent="0.2">
      <c r="A15" t="s">
        <v>277</v>
      </c>
      <c r="B15">
        <v>0.244140625</v>
      </c>
      <c r="C15">
        <v>189.81036376953099</v>
      </c>
      <c r="D15">
        <v>186.95582580566401</v>
      </c>
      <c r="E15">
        <v>193.38958740234401</v>
      </c>
      <c r="F15">
        <v>23.3154296875</v>
      </c>
      <c r="G15">
        <v>16.796875</v>
      </c>
      <c r="H15">
        <v>40.771484375</v>
      </c>
      <c r="I15">
        <v>33.515625</v>
      </c>
      <c r="J15">
        <v>7.0144569017610499</v>
      </c>
      <c r="K15">
        <v>14.352803603420201</v>
      </c>
      <c r="L15">
        <v>100.04437255859401</v>
      </c>
    </row>
    <row r="16" spans="1:12" x14ac:dyDescent="0.2">
      <c r="A16" t="s">
        <v>151</v>
      </c>
      <c r="B16">
        <v>0.3173828125</v>
      </c>
      <c r="C16">
        <v>189.89192199707</v>
      </c>
      <c r="D16">
        <v>187.11894226074199</v>
      </c>
      <c r="E16">
        <v>193.68260192871</v>
      </c>
      <c r="F16">
        <v>23.4130859375</v>
      </c>
      <c r="G16">
        <v>17.67578125</v>
      </c>
      <c r="H16">
        <v>40.8935546875</v>
      </c>
      <c r="I16">
        <v>33.22265625</v>
      </c>
      <c r="J16">
        <v>7.0144569017610499</v>
      </c>
      <c r="K16">
        <v>14.4344501849249</v>
      </c>
      <c r="L16">
        <v>100.75015258789</v>
      </c>
    </row>
    <row r="17" spans="1:12" x14ac:dyDescent="0.2">
      <c r="A17" t="s">
        <v>152</v>
      </c>
      <c r="B17">
        <v>0.3173828125</v>
      </c>
      <c r="C17">
        <v>190.05503845214801</v>
      </c>
      <c r="D17">
        <v>187.11894226074199</v>
      </c>
      <c r="E17">
        <v>193.58493041992199</v>
      </c>
      <c r="F17">
        <v>22.7294921875</v>
      </c>
      <c r="G17">
        <v>17.529296875</v>
      </c>
      <c r="H17">
        <v>39.459228515625</v>
      </c>
      <c r="I17">
        <v>35.0390625</v>
      </c>
      <c r="J17">
        <v>7.0135091145833304</v>
      </c>
      <c r="K17">
        <v>13.9227094052889</v>
      </c>
      <c r="L17">
        <v>101.401641845703</v>
      </c>
    </row>
    <row r="18" spans="1:12" x14ac:dyDescent="0.2">
      <c r="A18" t="s">
        <v>153</v>
      </c>
      <c r="B18">
        <v>0.244140625</v>
      </c>
      <c r="C18">
        <v>189.81036376953099</v>
      </c>
      <c r="D18">
        <v>187.03738403320301</v>
      </c>
      <c r="E18">
        <v>192.41287231445301</v>
      </c>
      <c r="F18">
        <v>22.8271484375</v>
      </c>
      <c r="G18">
        <v>17.529296875</v>
      </c>
      <c r="H18">
        <v>39.73388671875</v>
      </c>
      <c r="I18">
        <v>36.2109375</v>
      </c>
      <c r="J18">
        <v>7.0457763671875</v>
      </c>
      <c r="K18">
        <v>13.965036226959599</v>
      </c>
      <c r="L18">
        <v>101.48307800293</v>
      </c>
    </row>
    <row r="19" spans="1:12" x14ac:dyDescent="0.2">
      <c r="A19" t="s">
        <v>154</v>
      </c>
      <c r="B19">
        <v>0.244140625</v>
      </c>
      <c r="C19">
        <v>189.64724731445301</v>
      </c>
      <c r="D19">
        <v>186.874267578125</v>
      </c>
      <c r="E19">
        <v>192.217529296875</v>
      </c>
      <c r="F19">
        <v>22.5341796875</v>
      </c>
      <c r="G19">
        <v>17.3828125</v>
      </c>
      <c r="H19">
        <v>37.933349609375</v>
      </c>
      <c r="I19">
        <v>35.09765625</v>
      </c>
      <c r="J19">
        <v>7.0438525663407798</v>
      </c>
      <c r="K19">
        <v>13.5668280258022</v>
      </c>
      <c r="L19">
        <v>101.37449645996</v>
      </c>
    </row>
    <row r="20" spans="1:12" x14ac:dyDescent="0.2">
      <c r="A20" t="s">
        <v>155</v>
      </c>
      <c r="B20">
        <v>0.244140625</v>
      </c>
      <c r="C20">
        <v>189.56568908691401</v>
      </c>
      <c r="D20">
        <v>186.874267578125</v>
      </c>
      <c r="E20">
        <v>192.11985778808599</v>
      </c>
      <c r="F20">
        <v>22.5341796875</v>
      </c>
      <c r="G20">
        <v>17.5048828125</v>
      </c>
      <c r="H20">
        <v>39.581298828125</v>
      </c>
      <c r="I20">
        <v>32.2265625</v>
      </c>
      <c r="J20">
        <v>7.0564551326815597</v>
      </c>
      <c r="K20">
        <v>13.8396569447753</v>
      </c>
      <c r="L20">
        <v>101.37449645996</v>
      </c>
    </row>
    <row r="21" spans="1:12" x14ac:dyDescent="0.2">
      <c r="A21" t="s">
        <v>283</v>
      </c>
      <c r="B21">
        <v>0.244140625</v>
      </c>
      <c r="C21">
        <v>189.64724731445301</v>
      </c>
      <c r="D21">
        <v>186.79270935058599</v>
      </c>
      <c r="E21">
        <v>190.75245666503901</v>
      </c>
      <c r="F21">
        <v>22.6806640625</v>
      </c>
      <c r="G21">
        <v>17.724609375</v>
      </c>
      <c r="H21">
        <v>38.9404296875</v>
      </c>
      <c r="I21">
        <v>34.86328125</v>
      </c>
      <c r="J21">
        <v>7.0490899965083802</v>
      </c>
      <c r="K21">
        <v>13.784046036062</v>
      </c>
      <c r="L21">
        <v>101.455932617188</v>
      </c>
    </row>
    <row r="22" spans="1:12" x14ac:dyDescent="0.2">
      <c r="A22" t="s">
        <v>284</v>
      </c>
      <c r="B22">
        <v>0.244140625</v>
      </c>
      <c r="C22">
        <v>189.484130859375</v>
      </c>
      <c r="D22">
        <v>186.71115112304699</v>
      </c>
      <c r="E22">
        <v>191.33848571777301</v>
      </c>
      <c r="F22">
        <v>22.55859375</v>
      </c>
      <c r="G22">
        <v>18.9453125</v>
      </c>
      <c r="H22">
        <v>38.665771484375</v>
      </c>
      <c r="I22">
        <v>35.09765625</v>
      </c>
      <c r="J22">
        <v>7.0429523830307303</v>
      </c>
      <c r="K22">
        <v>13.9013033138159</v>
      </c>
      <c r="L22">
        <v>101.48307800293</v>
      </c>
    </row>
    <row r="23" spans="1:12" x14ac:dyDescent="0.2">
      <c r="A23" t="s">
        <v>285</v>
      </c>
      <c r="B23">
        <v>0.244140625</v>
      </c>
      <c r="C23">
        <v>189.484130859375</v>
      </c>
      <c r="D23">
        <v>186.71115112304699</v>
      </c>
      <c r="E23">
        <v>191.63150024414</v>
      </c>
      <c r="F23">
        <v>22.3388671875</v>
      </c>
      <c r="G23">
        <v>20.0927734375</v>
      </c>
      <c r="H23">
        <v>40.679931640625</v>
      </c>
      <c r="I23">
        <v>36.85546875</v>
      </c>
      <c r="J23">
        <v>7.0280584409916198</v>
      </c>
      <c r="K23">
        <v>14.3373364927458</v>
      </c>
      <c r="L23">
        <v>101.48307800293</v>
      </c>
    </row>
    <row r="24" spans="1:12" x14ac:dyDescent="0.2">
      <c r="A24" t="s">
        <v>286</v>
      </c>
      <c r="B24">
        <v>0.244140625</v>
      </c>
      <c r="C24">
        <v>189.56568908691401</v>
      </c>
      <c r="D24">
        <v>186.79270935058599</v>
      </c>
      <c r="E24">
        <v>192.51054382324199</v>
      </c>
      <c r="F24">
        <v>22.3876953125</v>
      </c>
      <c r="G24">
        <v>19.04296875</v>
      </c>
      <c r="H24">
        <v>39.85595703125</v>
      </c>
      <c r="I24">
        <v>36.38671875</v>
      </c>
      <c r="J24">
        <v>7.0150960286458304</v>
      </c>
      <c r="K24">
        <v>14.0619206497917</v>
      </c>
      <c r="L24">
        <v>101.53736877441401</v>
      </c>
    </row>
    <row r="25" spans="1:12" x14ac:dyDescent="0.2">
      <c r="A25" t="s">
        <v>418</v>
      </c>
      <c r="B25">
        <v>0.244140625</v>
      </c>
      <c r="C25">
        <v>189.64724731445301</v>
      </c>
      <c r="D25">
        <v>186.79270935058599</v>
      </c>
      <c r="E25">
        <v>191.63150024414</v>
      </c>
      <c r="F25">
        <v>22.9736328125</v>
      </c>
      <c r="G25">
        <v>17.578125</v>
      </c>
      <c r="H25">
        <v>40.8935546875</v>
      </c>
      <c r="I25">
        <v>36.38671875</v>
      </c>
      <c r="J25">
        <v>7.0042854181215004</v>
      </c>
      <c r="K25">
        <v>14.1642072254956</v>
      </c>
      <c r="L25">
        <v>101.53736877441401</v>
      </c>
    </row>
    <row r="26" spans="1:12" x14ac:dyDescent="0.2">
      <c r="A26" t="s">
        <v>419</v>
      </c>
      <c r="B26">
        <v>0.244140625</v>
      </c>
      <c r="C26">
        <v>189.64724731445301</v>
      </c>
      <c r="D26">
        <v>186.79270935058599</v>
      </c>
      <c r="E26">
        <v>192.70588684082</v>
      </c>
      <c r="F26">
        <v>22.998046875</v>
      </c>
      <c r="G26">
        <v>18.4814453125</v>
      </c>
      <c r="H26">
        <v>41.534423828125</v>
      </c>
      <c r="I26">
        <v>33.1640625</v>
      </c>
      <c r="J26">
        <v>7.0011800130208304</v>
      </c>
      <c r="K26">
        <v>14.389614010976899</v>
      </c>
      <c r="L26">
        <v>101.591659545898</v>
      </c>
    </row>
    <row r="27" spans="1:12" x14ac:dyDescent="0.2">
      <c r="A27" t="s">
        <v>420</v>
      </c>
      <c r="B27">
        <v>0.244140625</v>
      </c>
      <c r="C27">
        <v>189.64724731445301</v>
      </c>
      <c r="D27">
        <v>186.95582580566401</v>
      </c>
      <c r="E27">
        <v>193.291915893555</v>
      </c>
      <c r="F27">
        <v>23.14453125</v>
      </c>
      <c r="G27">
        <v>20.01953125</v>
      </c>
      <c r="H27">
        <v>40.283203125</v>
      </c>
      <c r="I27">
        <v>34.5703125</v>
      </c>
      <c r="J27">
        <v>7.0152587890625</v>
      </c>
      <c r="K27">
        <v>14.4811381014811</v>
      </c>
      <c r="L27">
        <v>101.591659545898</v>
      </c>
    </row>
    <row r="28" spans="1:12" x14ac:dyDescent="0.2">
      <c r="A28" t="s">
        <v>421</v>
      </c>
      <c r="B28">
        <v>0.244140625</v>
      </c>
      <c r="C28">
        <v>190.05503845214801</v>
      </c>
      <c r="D28">
        <v>187.20050048828099</v>
      </c>
      <c r="E28">
        <v>194.36630249023401</v>
      </c>
      <c r="F28">
        <v>23.1689453125</v>
      </c>
      <c r="G28">
        <v>19.775390625</v>
      </c>
      <c r="H28">
        <v>38.421630859375</v>
      </c>
      <c r="I28">
        <v>35.0390625</v>
      </c>
      <c r="J28">
        <v>6.9896778980446896</v>
      </c>
      <c r="K28">
        <v>14.172537183586501</v>
      </c>
      <c r="L28">
        <v>101.645950317383</v>
      </c>
    </row>
    <row r="29" spans="1:12" x14ac:dyDescent="0.2">
      <c r="A29" t="s">
        <v>293</v>
      </c>
      <c r="B29">
        <v>0.244140625</v>
      </c>
      <c r="C29">
        <v>189.97348022460901</v>
      </c>
      <c r="D29">
        <v>187.20050048828099</v>
      </c>
      <c r="E29">
        <v>191.33848571777301</v>
      </c>
      <c r="F29">
        <v>22.705078125</v>
      </c>
      <c r="G29">
        <v>18.896484375</v>
      </c>
      <c r="H29">
        <v>38.970947265625</v>
      </c>
      <c r="I29">
        <v>36.09375</v>
      </c>
      <c r="J29">
        <v>7.0165197276536304</v>
      </c>
      <c r="K29">
        <v>14.0176150205104</v>
      </c>
      <c r="L29">
        <v>101.645950317383</v>
      </c>
    </row>
    <row r="30" spans="1:12" x14ac:dyDescent="0.2">
      <c r="A30" t="s">
        <v>294</v>
      </c>
      <c r="B30">
        <v>0.244140625</v>
      </c>
      <c r="C30">
        <v>189.64724731445301</v>
      </c>
      <c r="D30">
        <v>186.95582580566401</v>
      </c>
      <c r="E30">
        <v>192.217529296875</v>
      </c>
      <c r="F30">
        <v>22.4853515625</v>
      </c>
      <c r="G30">
        <v>17.1630859375</v>
      </c>
      <c r="H30">
        <v>38.818359375</v>
      </c>
      <c r="I30">
        <v>36.5625</v>
      </c>
      <c r="J30">
        <v>7.0123808262711904</v>
      </c>
      <c r="K30">
        <v>13.641733563357199</v>
      </c>
      <c r="L30">
        <v>101.61880493164</v>
      </c>
    </row>
    <row r="31" spans="1:12" x14ac:dyDescent="0.2">
      <c r="A31" t="s">
        <v>167</v>
      </c>
      <c r="B31">
        <v>0.244140625</v>
      </c>
      <c r="C31">
        <v>189.81036376953099</v>
      </c>
      <c r="D31">
        <v>187.03738403320301</v>
      </c>
      <c r="E31">
        <v>193.19424438476599</v>
      </c>
      <c r="F31">
        <v>22.94921875</v>
      </c>
      <c r="G31">
        <v>18.2373046875</v>
      </c>
      <c r="H31">
        <v>39.031982421875</v>
      </c>
      <c r="I31">
        <v>34.8046875</v>
      </c>
      <c r="J31">
        <v>7.0101414369733099</v>
      </c>
      <c r="K31">
        <v>13.958802087536901</v>
      </c>
      <c r="L31">
        <v>101.61880493164</v>
      </c>
    </row>
    <row r="32" spans="1:12" x14ac:dyDescent="0.2">
      <c r="A32" t="s">
        <v>63</v>
      </c>
      <c r="B32">
        <v>0.244140625</v>
      </c>
      <c r="C32">
        <v>190.05503845214801</v>
      </c>
      <c r="D32">
        <v>187.20050048828099</v>
      </c>
      <c r="E32">
        <v>193.7802734375</v>
      </c>
      <c r="F32">
        <v>22.998046875</v>
      </c>
      <c r="G32">
        <v>20.751953125</v>
      </c>
      <c r="H32">
        <v>38.238525390625</v>
      </c>
      <c r="I32">
        <v>33.92578125</v>
      </c>
      <c r="J32">
        <v>7.0001737950211904</v>
      </c>
      <c r="K32">
        <v>14.2585170481631</v>
      </c>
      <c r="L32">
        <v>101.673095703125</v>
      </c>
    </row>
    <row r="33" spans="1:12" x14ac:dyDescent="0.2">
      <c r="A33" t="s">
        <v>64</v>
      </c>
      <c r="B33">
        <v>0.244140625</v>
      </c>
      <c r="C33">
        <v>189.89192199707</v>
      </c>
      <c r="D33">
        <v>187.11894226074199</v>
      </c>
      <c r="E33">
        <v>192.02218627929699</v>
      </c>
      <c r="F33">
        <v>22.900390625</v>
      </c>
      <c r="G33">
        <v>21.630859375</v>
      </c>
      <c r="H33">
        <v>37.04833984375</v>
      </c>
      <c r="I33">
        <v>34.74609375</v>
      </c>
      <c r="J33">
        <v>7.0259120100635597</v>
      </c>
      <c r="K33">
        <v>14.208287785112001</v>
      </c>
      <c r="L33">
        <v>101.673095703125</v>
      </c>
    </row>
    <row r="34" spans="1:12" x14ac:dyDescent="0.2">
      <c r="A34" t="s">
        <v>65</v>
      </c>
      <c r="B34">
        <v>0.244140625</v>
      </c>
      <c r="C34">
        <v>189.64724731445301</v>
      </c>
      <c r="D34">
        <v>186.874267578125</v>
      </c>
      <c r="E34">
        <v>190.36177062988301</v>
      </c>
      <c r="F34">
        <v>22.8515625</v>
      </c>
      <c r="G34">
        <v>20.5810546875</v>
      </c>
      <c r="H34">
        <v>38.055419921875</v>
      </c>
      <c r="I34">
        <v>35.68359375</v>
      </c>
      <c r="J34">
        <v>7.0341465836864403</v>
      </c>
      <c r="K34">
        <v>14.1676518067028</v>
      </c>
      <c r="L34">
        <v>101.61880493164</v>
      </c>
    </row>
    <row r="35" spans="1:12" x14ac:dyDescent="0.2">
      <c r="A35" t="s">
        <v>66</v>
      </c>
      <c r="B35">
        <v>0.244140625</v>
      </c>
      <c r="C35">
        <v>189.56568908691401</v>
      </c>
      <c r="D35">
        <v>186.874267578125</v>
      </c>
      <c r="E35">
        <v>191.04547119140599</v>
      </c>
      <c r="F35">
        <v>22.65625</v>
      </c>
      <c r="G35">
        <v>20.3369140625</v>
      </c>
      <c r="H35">
        <v>37.994384765625</v>
      </c>
      <c r="I35">
        <v>36.50390625</v>
      </c>
      <c r="J35">
        <v>7.02202231197034</v>
      </c>
      <c r="K35">
        <v>14.023332385248599</v>
      </c>
      <c r="L35">
        <v>101.673095703125</v>
      </c>
    </row>
    <row r="36" spans="1:12" x14ac:dyDescent="0.2">
      <c r="A36" t="s">
        <v>67</v>
      </c>
      <c r="B36">
        <v>1.0009765625</v>
      </c>
      <c r="C36">
        <v>189.484130859375</v>
      </c>
      <c r="D36">
        <v>186.79270935058599</v>
      </c>
      <c r="E36">
        <v>190.65478515625</v>
      </c>
      <c r="F36">
        <v>22.607421875</v>
      </c>
      <c r="G36">
        <v>19.62890625</v>
      </c>
      <c r="H36">
        <v>38.818359375</v>
      </c>
      <c r="I36">
        <v>36.38671875</v>
      </c>
      <c r="J36">
        <v>7.0102237315660103</v>
      </c>
      <c r="K36">
        <v>14.0184869042301</v>
      </c>
      <c r="L36">
        <v>101.700241088867</v>
      </c>
    </row>
    <row r="37" spans="1:12" x14ac:dyDescent="0.2">
      <c r="A37" t="s">
        <v>68</v>
      </c>
      <c r="B37">
        <v>0.244140625</v>
      </c>
      <c r="C37">
        <v>189.40257263183599</v>
      </c>
      <c r="D37">
        <v>186.62959289550801</v>
      </c>
      <c r="E37">
        <v>190.75245666503901</v>
      </c>
      <c r="F37">
        <v>23.193359375</v>
      </c>
      <c r="G37">
        <v>19.43359375</v>
      </c>
      <c r="H37">
        <v>39.520263671875</v>
      </c>
      <c r="I37">
        <v>35.68359375</v>
      </c>
      <c r="J37">
        <v>7.0028583655196597</v>
      </c>
      <c r="K37">
        <v>14.232576717873201</v>
      </c>
      <c r="L37">
        <v>101.700241088867</v>
      </c>
    </row>
    <row r="38" spans="1:12" x14ac:dyDescent="0.2">
      <c r="A38" t="s">
        <v>69</v>
      </c>
      <c r="B38">
        <v>0.244140625</v>
      </c>
      <c r="C38">
        <v>189.40257263183599</v>
      </c>
      <c r="D38">
        <v>186.62959289550801</v>
      </c>
      <c r="E38">
        <v>191.63150024414</v>
      </c>
      <c r="F38">
        <v>23.14453125</v>
      </c>
      <c r="G38">
        <v>21.630859375</v>
      </c>
      <c r="H38">
        <v>39.9169921875</v>
      </c>
      <c r="I38">
        <v>34.8046875</v>
      </c>
      <c r="J38">
        <v>7.0049157303370801</v>
      </c>
      <c r="K38">
        <v>14.6202191484652</v>
      </c>
      <c r="L38">
        <v>101.673095703125</v>
      </c>
    </row>
    <row r="39" spans="1:12" x14ac:dyDescent="0.2">
      <c r="A39" t="s">
        <v>70</v>
      </c>
      <c r="B39">
        <v>0.244140625</v>
      </c>
      <c r="C39">
        <v>189.484130859375</v>
      </c>
      <c r="D39">
        <v>186.71115112304699</v>
      </c>
      <c r="E39">
        <v>191.92451477050801</v>
      </c>
      <c r="F39">
        <v>23.1689453125</v>
      </c>
      <c r="G39">
        <v>21.6796875</v>
      </c>
      <c r="H39">
        <v>40.283203125</v>
      </c>
      <c r="I39">
        <v>33.22265625</v>
      </c>
      <c r="J39">
        <v>6.9934013835544704</v>
      </c>
      <c r="K39">
        <v>14.695406724599</v>
      </c>
      <c r="L39">
        <v>101.72738647460901</v>
      </c>
    </row>
    <row r="40" spans="1:12" x14ac:dyDescent="0.2">
      <c r="A40" t="s">
        <v>174</v>
      </c>
      <c r="B40">
        <v>0.244140625</v>
      </c>
      <c r="C40">
        <v>189.56568908691401</v>
      </c>
      <c r="D40">
        <v>186.71115112304699</v>
      </c>
      <c r="E40">
        <v>190.55711364746</v>
      </c>
      <c r="F40">
        <v>23.1201171875</v>
      </c>
      <c r="G40">
        <v>19.6044921875</v>
      </c>
      <c r="H40">
        <v>40.863037109375</v>
      </c>
      <c r="I40">
        <v>34.98046875</v>
      </c>
      <c r="J40">
        <v>6.9785814606741603</v>
      </c>
      <c r="K40">
        <v>14.460112587367</v>
      </c>
      <c r="L40">
        <v>101.700241088867</v>
      </c>
    </row>
    <row r="41" spans="1:12" x14ac:dyDescent="0.2">
      <c r="A41" t="s">
        <v>303</v>
      </c>
      <c r="B41">
        <v>0.244140625</v>
      </c>
      <c r="C41">
        <v>189.56568908691401</v>
      </c>
      <c r="D41">
        <v>186.79270935058599</v>
      </c>
      <c r="E41">
        <v>191.72917175293</v>
      </c>
      <c r="F41">
        <v>22.5341796875</v>
      </c>
      <c r="G41">
        <v>16.6748046875</v>
      </c>
      <c r="H41">
        <v>40.985107421875</v>
      </c>
      <c r="I41">
        <v>36.9140625</v>
      </c>
      <c r="J41">
        <v>6.9604766502809001</v>
      </c>
      <c r="K41">
        <v>14.034328484711599</v>
      </c>
      <c r="L41">
        <v>100.723007202148</v>
      </c>
    </row>
    <row r="42" spans="1:12" x14ac:dyDescent="0.2">
      <c r="A42" t="s">
        <v>304</v>
      </c>
      <c r="B42">
        <v>0.244140625</v>
      </c>
      <c r="C42">
        <v>189.56568908691401</v>
      </c>
      <c r="D42">
        <v>186.874267578125</v>
      </c>
      <c r="E42">
        <v>191.43615722656199</v>
      </c>
      <c r="F42">
        <v>22.4365234375</v>
      </c>
      <c r="G42">
        <v>16.40625</v>
      </c>
      <c r="H42">
        <v>41.351318359375</v>
      </c>
      <c r="I42">
        <v>35.80078125</v>
      </c>
      <c r="J42">
        <v>6.9775527782654496</v>
      </c>
      <c r="K42">
        <v>14.1622134249594</v>
      </c>
      <c r="L42">
        <v>99.990081787109403</v>
      </c>
    </row>
    <row r="43" spans="1:12" x14ac:dyDescent="0.2">
      <c r="A43" t="s">
        <v>305</v>
      </c>
      <c r="B43">
        <v>0.244140625</v>
      </c>
      <c r="C43">
        <v>189.56568908691401</v>
      </c>
      <c r="D43">
        <v>186.79270935058599</v>
      </c>
      <c r="E43">
        <v>191.143142700195</v>
      </c>
      <c r="F43">
        <v>22.8515625</v>
      </c>
      <c r="G43">
        <v>16.69921875</v>
      </c>
      <c r="H43">
        <v>40.863037109375</v>
      </c>
      <c r="I43">
        <v>35.859375</v>
      </c>
      <c r="J43">
        <v>6.9921600684690999</v>
      </c>
      <c r="K43">
        <v>14.177908012804</v>
      </c>
      <c r="L43">
        <v>100.342971801758</v>
      </c>
    </row>
    <row r="44" spans="1:12" x14ac:dyDescent="0.2">
      <c r="A44" t="s">
        <v>306</v>
      </c>
      <c r="B44">
        <v>0.244140625</v>
      </c>
      <c r="C44">
        <v>189.72880554199199</v>
      </c>
      <c r="D44">
        <v>186.874267578125</v>
      </c>
      <c r="E44">
        <v>193.291915893555</v>
      </c>
      <c r="F44">
        <v>22.900390625</v>
      </c>
      <c r="G44">
        <v>17.138671875</v>
      </c>
      <c r="H44">
        <v>40.130615234375</v>
      </c>
      <c r="I44">
        <v>35.56640625</v>
      </c>
      <c r="J44">
        <v>6.9910079441713497</v>
      </c>
      <c r="K44">
        <v>14.0288269168633</v>
      </c>
      <c r="L44">
        <v>100.94017028808599</v>
      </c>
    </row>
    <row r="45" spans="1:12" x14ac:dyDescent="0.2">
      <c r="A45" t="s">
        <v>307</v>
      </c>
      <c r="B45">
        <v>0.244140625</v>
      </c>
      <c r="C45">
        <v>189.81036376953099</v>
      </c>
      <c r="D45">
        <v>186.95582580566401</v>
      </c>
      <c r="E45">
        <v>191.92451477050801</v>
      </c>
      <c r="F45">
        <v>23.388671875</v>
      </c>
      <c r="G45">
        <v>22.265625</v>
      </c>
      <c r="H45">
        <v>38.818359375</v>
      </c>
      <c r="I45">
        <v>35.390625</v>
      </c>
      <c r="J45">
        <v>6.9755942134533901</v>
      </c>
      <c r="K45">
        <v>14.7192797948125</v>
      </c>
      <c r="L45">
        <v>101.56451416015599</v>
      </c>
    </row>
    <row r="46" spans="1:12" x14ac:dyDescent="0.2">
      <c r="A46" t="s">
        <v>308</v>
      </c>
      <c r="B46">
        <v>0.244140625</v>
      </c>
      <c r="C46">
        <v>189.72880554199199</v>
      </c>
      <c r="D46">
        <v>186.95582580566401</v>
      </c>
      <c r="E46">
        <v>192.02218627929699</v>
      </c>
      <c r="F46">
        <v>23.6328125</v>
      </c>
      <c r="G46">
        <v>21.58203125</v>
      </c>
      <c r="H46">
        <v>39.794921875</v>
      </c>
      <c r="I46">
        <v>34.453125</v>
      </c>
      <c r="J46">
        <v>6.9800218485169498</v>
      </c>
      <c r="K46">
        <v>14.7987678530507</v>
      </c>
      <c r="L46">
        <v>101.56451416015599</v>
      </c>
    </row>
    <row r="47" spans="1:12" x14ac:dyDescent="0.2">
      <c r="A47" t="s">
        <v>309</v>
      </c>
      <c r="B47">
        <v>0.244140625</v>
      </c>
      <c r="C47">
        <v>189.72880554199199</v>
      </c>
      <c r="D47">
        <v>186.95582580566401</v>
      </c>
      <c r="E47">
        <v>193.19424438476599</v>
      </c>
      <c r="F47">
        <v>23.095703125</v>
      </c>
      <c r="G47">
        <v>19.7021484375</v>
      </c>
      <c r="H47">
        <v>39.73388671875</v>
      </c>
      <c r="I47">
        <v>33.1640625</v>
      </c>
      <c r="J47">
        <v>6.9846563824152499</v>
      </c>
      <c r="K47">
        <v>14.350290503022499</v>
      </c>
      <c r="L47">
        <v>101.53736877441401</v>
      </c>
    </row>
    <row r="48" spans="1:12" x14ac:dyDescent="0.2">
      <c r="A48" t="s">
        <v>75</v>
      </c>
      <c r="B48">
        <v>0.244140625</v>
      </c>
      <c r="C48">
        <v>189.72880554199199</v>
      </c>
      <c r="D48">
        <v>187.03738403320301</v>
      </c>
      <c r="E48">
        <v>193.58493041992199</v>
      </c>
      <c r="F48">
        <v>23.095703125</v>
      </c>
      <c r="G48">
        <v>18.603515625</v>
      </c>
      <c r="H48">
        <v>39.215087890625</v>
      </c>
      <c r="I48">
        <v>35.68359375</v>
      </c>
      <c r="J48">
        <v>6.9784080376059299</v>
      </c>
      <c r="K48">
        <v>14.1066467978409</v>
      </c>
      <c r="L48">
        <v>101.510223388672</v>
      </c>
    </row>
    <row r="49" spans="1:12" x14ac:dyDescent="0.2">
      <c r="A49" t="s">
        <v>76</v>
      </c>
      <c r="B49">
        <v>0.244140625</v>
      </c>
      <c r="C49">
        <v>189.72880554199199</v>
      </c>
      <c r="D49">
        <v>187.03738403320301</v>
      </c>
      <c r="E49">
        <v>192.217529296875</v>
      </c>
      <c r="F49">
        <v>22.6806640625</v>
      </c>
      <c r="G49">
        <v>19.2138671875</v>
      </c>
      <c r="H49">
        <v>38.9404296875</v>
      </c>
      <c r="I49">
        <v>36.2109375</v>
      </c>
      <c r="J49">
        <v>6.9713734772245797</v>
      </c>
      <c r="K49">
        <v>14.060991592079301</v>
      </c>
      <c r="L49">
        <v>101.53736877441401</v>
      </c>
    </row>
    <row r="50" spans="1:12" x14ac:dyDescent="0.2">
      <c r="A50" t="s">
        <v>185</v>
      </c>
      <c r="B50">
        <v>0.244140625</v>
      </c>
      <c r="C50">
        <v>189.64724731445301</v>
      </c>
      <c r="D50">
        <v>186.874267578125</v>
      </c>
      <c r="E50">
        <v>192.70588684082</v>
      </c>
      <c r="F50">
        <v>22.65625</v>
      </c>
      <c r="G50">
        <v>17.529296875</v>
      </c>
      <c r="H50">
        <v>38.9404296875</v>
      </c>
      <c r="I50">
        <v>36.15234375</v>
      </c>
      <c r="J50">
        <v>6.9788694917485996</v>
      </c>
      <c r="K50">
        <v>13.758515690866201</v>
      </c>
      <c r="L50">
        <v>101.56451416015599</v>
      </c>
    </row>
    <row r="51" spans="1:12" x14ac:dyDescent="0.2">
      <c r="A51" t="s">
        <v>186</v>
      </c>
      <c r="B51">
        <v>0.244140625</v>
      </c>
      <c r="C51">
        <v>189.64724731445301</v>
      </c>
      <c r="D51">
        <v>186.874267578125</v>
      </c>
      <c r="E51">
        <v>192.70588684082</v>
      </c>
      <c r="F51">
        <v>23.0712890625</v>
      </c>
      <c r="G51">
        <v>17.578125</v>
      </c>
      <c r="H51">
        <v>38.604736328125</v>
      </c>
      <c r="I51">
        <v>33.1640625</v>
      </c>
      <c r="J51">
        <v>6.9826287738347501</v>
      </c>
      <c r="K51">
        <v>13.8179004007374</v>
      </c>
      <c r="L51">
        <v>101.591659545898</v>
      </c>
    </row>
    <row r="52" spans="1:12" x14ac:dyDescent="0.2">
      <c r="A52" t="s">
        <v>187</v>
      </c>
      <c r="B52">
        <v>0.244140625</v>
      </c>
      <c r="C52">
        <v>189.64724731445301</v>
      </c>
      <c r="D52">
        <v>186.95582580566401</v>
      </c>
      <c r="E52">
        <v>192.90122985839801</v>
      </c>
      <c r="F52">
        <v>23.193359375</v>
      </c>
      <c r="G52">
        <v>21.2890625</v>
      </c>
      <c r="H52">
        <v>38.87939453125</v>
      </c>
      <c r="I52">
        <v>34.21875</v>
      </c>
      <c r="J52">
        <v>6.99927855073736</v>
      </c>
      <c r="K52">
        <v>14.4900167709391</v>
      </c>
      <c r="L52">
        <v>101.53736877441401</v>
      </c>
    </row>
    <row r="53" spans="1:12" x14ac:dyDescent="0.2">
      <c r="A53" t="s">
        <v>188</v>
      </c>
      <c r="B53">
        <v>0.244140625</v>
      </c>
      <c r="C53">
        <v>189.81036376953099</v>
      </c>
      <c r="D53">
        <v>187.03738403320301</v>
      </c>
      <c r="E53">
        <v>192.41287231445301</v>
      </c>
      <c r="F53">
        <v>22.9248046875</v>
      </c>
      <c r="G53">
        <v>21.0205078125</v>
      </c>
      <c r="H53">
        <v>38.116455078125</v>
      </c>
      <c r="I53">
        <v>36.50390625</v>
      </c>
      <c r="J53">
        <v>7.0004306750351102</v>
      </c>
      <c r="K53">
        <v>14.230772614884399</v>
      </c>
      <c r="L53">
        <v>101.61880493164</v>
      </c>
    </row>
    <row r="54" spans="1:12" x14ac:dyDescent="0.2">
      <c r="A54" t="s">
        <v>189</v>
      </c>
      <c r="B54">
        <v>0.3173828125</v>
      </c>
      <c r="C54">
        <v>189.72880554199199</v>
      </c>
      <c r="D54">
        <v>186.95582580566401</v>
      </c>
      <c r="E54">
        <v>191.53382873535199</v>
      </c>
      <c r="F54">
        <v>22.8759765625</v>
      </c>
      <c r="G54">
        <v>20.80078125</v>
      </c>
      <c r="H54">
        <v>38.177490234375</v>
      </c>
      <c r="I54">
        <v>37.3828125</v>
      </c>
      <c r="J54">
        <v>7.0083821614583304</v>
      </c>
      <c r="K54">
        <v>14.218155828198899</v>
      </c>
      <c r="L54">
        <v>101.645950317383</v>
      </c>
    </row>
    <row r="55" spans="1:12" x14ac:dyDescent="0.2">
      <c r="A55" t="s">
        <v>190</v>
      </c>
      <c r="B55">
        <v>1.806640625</v>
      </c>
      <c r="C55">
        <v>189.56568908691401</v>
      </c>
      <c r="D55">
        <v>186.79270935058599</v>
      </c>
      <c r="E55">
        <v>191.63150024414</v>
      </c>
      <c r="F55">
        <v>22.8759765625</v>
      </c>
      <c r="G55">
        <v>19.53125</v>
      </c>
      <c r="H55">
        <v>39.55078125</v>
      </c>
      <c r="I55">
        <v>34.39453125</v>
      </c>
      <c r="J55">
        <v>7.0125325520833304</v>
      </c>
      <c r="K55">
        <v>14.223774492315</v>
      </c>
      <c r="L55">
        <v>101.61880493164</v>
      </c>
    </row>
    <row r="56" spans="1:12" x14ac:dyDescent="0.2">
      <c r="A56" t="s">
        <v>317</v>
      </c>
      <c r="B56">
        <v>0.5126953125</v>
      </c>
      <c r="C56">
        <v>189.72880554199199</v>
      </c>
      <c r="D56">
        <v>186.874267578125</v>
      </c>
      <c r="E56">
        <v>191.82684326171901</v>
      </c>
      <c r="F56">
        <v>22.8515625</v>
      </c>
      <c r="G56">
        <v>19.1162109375</v>
      </c>
      <c r="H56">
        <v>38.543701171875</v>
      </c>
      <c r="I56">
        <v>33.80859375</v>
      </c>
      <c r="J56">
        <v>7.0191104109116003</v>
      </c>
      <c r="K56">
        <v>13.9861357912394</v>
      </c>
      <c r="L56">
        <v>101.591659545898</v>
      </c>
    </row>
    <row r="57" spans="1:12" x14ac:dyDescent="0.2">
      <c r="A57" t="s">
        <v>318</v>
      </c>
      <c r="B57">
        <v>0.244140625</v>
      </c>
      <c r="C57">
        <v>189.81036376953099</v>
      </c>
      <c r="D57">
        <v>186.95582580566401</v>
      </c>
      <c r="E57">
        <v>191.92451477050801</v>
      </c>
      <c r="F57">
        <v>22.7783203125</v>
      </c>
      <c r="G57">
        <v>19.6044921875</v>
      </c>
      <c r="H57">
        <v>38.421630859375</v>
      </c>
      <c r="I57">
        <v>34.74609375</v>
      </c>
      <c r="J57">
        <v>7.02197265625</v>
      </c>
      <c r="K57">
        <v>14.023537028966601</v>
      </c>
      <c r="L57">
        <v>101.645950317383</v>
      </c>
    </row>
    <row r="58" spans="1:12" x14ac:dyDescent="0.2">
      <c r="A58" t="s">
        <v>319</v>
      </c>
      <c r="B58">
        <v>0.244140625</v>
      </c>
      <c r="C58">
        <v>189.72880554199199</v>
      </c>
      <c r="D58">
        <v>186.95582580566401</v>
      </c>
      <c r="E58">
        <v>192.11985778808599</v>
      </c>
      <c r="F58">
        <v>22.802734375</v>
      </c>
      <c r="G58">
        <v>19.6044921875</v>
      </c>
      <c r="H58">
        <v>38.4521484375</v>
      </c>
      <c r="I58">
        <v>37.32421875</v>
      </c>
      <c r="J58">
        <v>7.0180257161458304</v>
      </c>
      <c r="K58">
        <v>14.0418857771303</v>
      </c>
      <c r="L58">
        <v>101.673095703125</v>
      </c>
    </row>
    <row r="59" spans="1:12" x14ac:dyDescent="0.2">
      <c r="A59" t="s">
        <v>320</v>
      </c>
      <c r="B59">
        <v>0.244140625</v>
      </c>
      <c r="C59">
        <v>189.64724731445301</v>
      </c>
      <c r="D59">
        <v>186.874267578125</v>
      </c>
      <c r="E59">
        <v>191.53382873535199</v>
      </c>
      <c r="F59">
        <v>22.412109375</v>
      </c>
      <c r="G59">
        <v>18.896484375</v>
      </c>
      <c r="H59">
        <v>37.841796875</v>
      </c>
      <c r="I59">
        <v>35.7421875</v>
      </c>
      <c r="J59">
        <v>7.0330304730663</v>
      </c>
      <c r="K59">
        <v>13.7158722265611</v>
      </c>
      <c r="L59">
        <v>101.61880493164</v>
      </c>
    </row>
    <row r="60" spans="1:12" x14ac:dyDescent="0.2">
      <c r="A60" t="s">
        <v>321</v>
      </c>
      <c r="B60">
        <v>0.244140625</v>
      </c>
      <c r="C60">
        <v>189.484130859375</v>
      </c>
      <c r="D60">
        <v>186.79270935058599</v>
      </c>
      <c r="E60">
        <v>189.38505554199199</v>
      </c>
      <c r="F60">
        <v>22.4853515625</v>
      </c>
      <c r="G60">
        <v>19.6044921875</v>
      </c>
      <c r="H60">
        <v>38.14697265625</v>
      </c>
      <c r="I60">
        <v>34.3359375</v>
      </c>
      <c r="J60">
        <v>7.0203243698204396</v>
      </c>
      <c r="K60">
        <v>13.8699029704814</v>
      </c>
      <c r="L60">
        <v>101.645950317383</v>
      </c>
    </row>
    <row r="61" spans="1:12" x14ac:dyDescent="0.2">
      <c r="A61" t="s">
        <v>322</v>
      </c>
      <c r="B61">
        <v>0.244140625</v>
      </c>
      <c r="C61">
        <v>189.56568908691401</v>
      </c>
      <c r="D61">
        <v>186.79270935058599</v>
      </c>
      <c r="E61">
        <v>192.90122985839801</v>
      </c>
      <c r="F61">
        <v>23.0224609375</v>
      </c>
      <c r="G61">
        <v>19.8486328125</v>
      </c>
      <c r="H61">
        <v>39.00146484375</v>
      </c>
      <c r="I61">
        <v>34.62890625</v>
      </c>
      <c r="J61">
        <v>7.0188395182291696</v>
      </c>
      <c r="K61">
        <v>14.1901660846263</v>
      </c>
      <c r="L61">
        <v>101.673095703125</v>
      </c>
    </row>
    <row r="62" spans="1:12" x14ac:dyDescent="0.2">
      <c r="A62" t="s">
        <v>323</v>
      </c>
      <c r="B62">
        <v>0.244140625</v>
      </c>
      <c r="C62">
        <v>189.97348022460901</v>
      </c>
      <c r="D62">
        <v>187.03738403320301</v>
      </c>
      <c r="E62">
        <v>192.70588684082</v>
      </c>
      <c r="F62">
        <v>23.1689453125</v>
      </c>
      <c r="G62">
        <v>22.0947265625</v>
      </c>
      <c r="H62">
        <v>38.787841796875</v>
      </c>
      <c r="I62">
        <v>38.0859375</v>
      </c>
      <c r="J62">
        <v>7.0127573592886696</v>
      </c>
      <c r="K62">
        <v>14.5888803123636</v>
      </c>
      <c r="L62">
        <v>101.645950317383</v>
      </c>
    </row>
    <row r="63" spans="1:12" x14ac:dyDescent="0.2">
      <c r="A63" t="s">
        <v>324</v>
      </c>
      <c r="B63">
        <v>0.244140625</v>
      </c>
      <c r="C63">
        <v>189.89192199707</v>
      </c>
      <c r="D63">
        <v>187.03738403320301</v>
      </c>
      <c r="E63">
        <v>192.51054382324199</v>
      </c>
      <c r="F63">
        <v>23.14453125</v>
      </c>
      <c r="G63">
        <v>22.265625</v>
      </c>
      <c r="H63">
        <v>38.543701171875</v>
      </c>
      <c r="I63">
        <v>36.9140625</v>
      </c>
      <c r="J63">
        <v>7.0155494647790002</v>
      </c>
      <c r="K63">
        <v>14.614258492285501</v>
      </c>
      <c r="L63">
        <v>101.61880493164</v>
      </c>
    </row>
    <row r="64" spans="1:12" x14ac:dyDescent="0.2">
      <c r="A64" t="s">
        <v>325</v>
      </c>
      <c r="B64">
        <v>0.244140625</v>
      </c>
      <c r="C64">
        <v>189.72880554199199</v>
      </c>
      <c r="D64">
        <v>187.03738403320301</v>
      </c>
      <c r="E64">
        <v>191.72917175293</v>
      </c>
      <c r="F64">
        <v>23.2421875</v>
      </c>
      <c r="G64">
        <v>21.337890625</v>
      </c>
      <c r="H64">
        <v>38.26904296875</v>
      </c>
      <c r="I64">
        <v>35.09765625</v>
      </c>
      <c r="J64">
        <v>7.0282960333218201</v>
      </c>
      <c r="K64">
        <v>14.405698717252999</v>
      </c>
      <c r="L64">
        <v>101.700241088867</v>
      </c>
    </row>
    <row r="65" spans="1:12" x14ac:dyDescent="0.2">
      <c r="A65" t="s">
        <v>326</v>
      </c>
      <c r="B65">
        <v>0.244140625</v>
      </c>
      <c r="C65">
        <v>189.81036376953099</v>
      </c>
      <c r="D65">
        <v>187.03738403320301</v>
      </c>
      <c r="E65">
        <v>192.41287231445301</v>
      </c>
      <c r="F65">
        <v>23.2177734375</v>
      </c>
      <c r="G65">
        <v>21.8505859375</v>
      </c>
      <c r="H65">
        <v>38.330078125</v>
      </c>
      <c r="I65">
        <v>34.86328125</v>
      </c>
      <c r="J65">
        <v>7.00454290400552</v>
      </c>
      <c r="K65">
        <v>14.4987806851199</v>
      </c>
      <c r="L65">
        <v>101.700241088867</v>
      </c>
    </row>
    <row r="66" spans="1:12" x14ac:dyDescent="0.2">
      <c r="A66" t="s">
        <v>327</v>
      </c>
      <c r="B66">
        <v>0.244140625</v>
      </c>
      <c r="C66">
        <v>189.97348022460901</v>
      </c>
      <c r="D66">
        <v>187.11894226074199</v>
      </c>
      <c r="E66">
        <v>192.51054382324199</v>
      </c>
      <c r="F66">
        <v>23.1201171875</v>
      </c>
      <c r="G66">
        <v>21.2158203125</v>
      </c>
      <c r="H66">
        <v>37.078857421875</v>
      </c>
      <c r="I66">
        <v>36.38671875</v>
      </c>
      <c r="J66">
        <v>7.0109456380208304</v>
      </c>
      <c r="K66">
        <v>14.187297057899199</v>
      </c>
      <c r="L66">
        <v>101.673095703125</v>
      </c>
    </row>
    <row r="67" spans="1:12" x14ac:dyDescent="0.2">
      <c r="A67" t="s">
        <v>328</v>
      </c>
      <c r="B67">
        <v>0.244140625</v>
      </c>
      <c r="C67">
        <v>189.81036376953099</v>
      </c>
      <c r="D67">
        <v>187.11894226074199</v>
      </c>
      <c r="E67">
        <v>191.24081420898401</v>
      </c>
      <c r="F67">
        <v>23.095703125</v>
      </c>
      <c r="G67">
        <v>20.3125</v>
      </c>
      <c r="H67">
        <v>38.055419921875</v>
      </c>
      <c r="I67">
        <v>35.44921875</v>
      </c>
      <c r="J67">
        <v>6.8370361328125</v>
      </c>
      <c r="K67">
        <v>14.227584729070699</v>
      </c>
      <c r="L67">
        <v>101.645950317383</v>
      </c>
    </row>
    <row r="68" spans="1:12" x14ac:dyDescent="0.2">
      <c r="A68" t="s">
        <v>329</v>
      </c>
      <c r="B68">
        <v>0.244140625</v>
      </c>
      <c r="C68">
        <v>189.56568908691401</v>
      </c>
      <c r="D68">
        <v>186.874267578125</v>
      </c>
      <c r="E68">
        <v>191.143142700195</v>
      </c>
      <c r="F68">
        <v>23.046875</v>
      </c>
      <c r="G68">
        <v>20.458984375</v>
      </c>
      <c r="H68">
        <v>37.872314453125</v>
      </c>
      <c r="I68">
        <v>36.26953125</v>
      </c>
      <c r="J68">
        <v>6.8237030372190999</v>
      </c>
      <c r="K68">
        <v>14.178075268670099</v>
      </c>
      <c r="L68">
        <v>101.673095703125</v>
      </c>
    </row>
    <row r="69" spans="1:12" x14ac:dyDescent="0.2">
      <c r="A69" t="s">
        <v>330</v>
      </c>
      <c r="B69">
        <v>0.244140625</v>
      </c>
      <c r="C69">
        <v>189.64724731445301</v>
      </c>
      <c r="D69">
        <v>186.874267578125</v>
      </c>
      <c r="E69">
        <v>191.33848571777301</v>
      </c>
      <c r="F69">
        <v>23.14453125</v>
      </c>
      <c r="G69">
        <v>20.99609375</v>
      </c>
      <c r="H69">
        <v>37.567138671875</v>
      </c>
      <c r="I69">
        <v>35.56640625</v>
      </c>
      <c r="J69">
        <v>6.8370559095670398</v>
      </c>
      <c r="K69">
        <v>14.219099263472501</v>
      </c>
      <c r="L69">
        <v>101.645950317383</v>
      </c>
    </row>
    <row r="70" spans="1:12" x14ac:dyDescent="0.2">
      <c r="A70" t="s">
        <v>331</v>
      </c>
      <c r="B70">
        <v>0.244140625</v>
      </c>
      <c r="C70">
        <v>189.64724731445301</v>
      </c>
      <c r="D70">
        <v>186.874267578125</v>
      </c>
      <c r="E70">
        <v>190.94779968261699</v>
      </c>
      <c r="F70">
        <v>23.2177734375</v>
      </c>
      <c r="G70">
        <v>22.6806640625</v>
      </c>
      <c r="H70">
        <v>37.353515625</v>
      </c>
      <c r="I70">
        <v>33.6328125</v>
      </c>
      <c r="J70">
        <v>6.8328377370084299</v>
      </c>
      <c r="K70">
        <v>14.481016184976699</v>
      </c>
      <c r="L70">
        <v>101.61880493164</v>
      </c>
    </row>
    <row r="71" spans="1:12" x14ac:dyDescent="0.2">
      <c r="A71" t="s">
        <v>205</v>
      </c>
      <c r="B71">
        <v>0.3173828125</v>
      </c>
      <c r="C71">
        <v>189.56568908691401</v>
      </c>
      <c r="D71">
        <v>186.79270935058599</v>
      </c>
      <c r="E71">
        <v>191.63150024414</v>
      </c>
      <c r="F71">
        <v>23.046875</v>
      </c>
      <c r="G71">
        <v>19.921875</v>
      </c>
      <c r="H71">
        <v>37.689208984375</v>
      </c>
      <c r="I71">
        <v>34.5703125</v>
      </c>
      <c r="J71">
        <v>6.8383926220154496</v>
      </c>
      <c r="K71">
        <v>14.019489778117601</v>
      </c>
      <c r="L71">
        <v>101.645950317383</v>
      </c>
    </row>
    <row r="72" spans="1:12" x14ac:dyDescent="0.2">
      <c r="A72" t="s">
        <v>206</v>
      </c>
      <c r="B72">
        <v>0.244140625</v>
      </c>
      <c r="C72">
        <v>189.64724731445301</v>
      </c>
      <c r="D72">
        <v>186.95582580566401</v>
      </c>
      <c r="E72">
        <v>190.85012817382801</v>
      </c>
      <c r="F72">
        <v>22.900390625</v>
      </c>
      <c r="G72">
        <v>20.1171875</v>
      </c>
      <c r="H72">
        <v>37.59765625</v>
      </c>
      <c r="I72">
        <v>35.09765625</v>
      </c>
      <c r="J72">
        <v>6.8621757593047796</v>
      </c>
      <c r="K72">
        <v>14.01093966611</v>
      </c>
      <c r="L72">
        <v>101.673095703125</v>
      </c>
    </row>
    <row r="73" spans="1:12" x14ac:dyDescent="0.2">
      <c r="A73" t="s">
        <v>207</v>
      </c>
      <c r="B73">
        <v>0.244140625</v>
      </c>
      <c r="C73">
        <v>189.484130859375</v>
      </c>
      <c r="D73">
        <v>186.874267578125</v>
      </c>
      <c r="E73">
        <v>191.24081420898401</v>
      </c>
      <c r="F73">
        <v>22.6318359375</v>
      </c>
      <c r="G73">
        <v>20.5322265625</v>
      </c>
      <c r="H73">
        <v>38.6962890625</v>
      </c>
      <c r="I73">
        <v>34.27734375</v>
      </c>
      <c r="J73">
        <v>7.0529757724719104</v>
      </c>
      <c r="K73">
        <v>14.161815415655299</v>
      </c>
      <c r="L73">
        <v>101.61880493164</v>
      </c>
    </row>
    <row r="74" spans="1:12" x14ac:dyDescent="0.2">
      <c r="A74" t="s">
        <v>208</v>
      </c>
      <c r="B74">
        <v>0.29296875</v>
      </c>
      <c r="C74">
        <v>189.484130859375</v>
      </c>
      <c r="D74">
        <v>186.71115112304699</v>
      </c>
      <c r="E74">
        <v>191.143142700195</v>
      </c>
      <c r="F74">
        <v>22.4853515625</v>
      </c>
      <c r="G74">
        <v>20.21484375</v>
      </c>
      <c r="H74">
        <v>38.909912109375</v>
      </c>
      <c r="I74">
        <v>33.28125</v>
      </c>
      <c r="J74">
        <v>7.0740559895833304</v>
      </c>
      <c r="K74">
        <v>14.0957090590665</v>
      </c>
      <c r="L74">
        <v>101.591659545898</v>
      </c>
    </row>
    <row r="75" spans="1:12" x14ac:dyDescent="0.2">
      <c r="A75" t="s">
        <v>209</v>
      </c>
      <c r="B75">
        <v>0.244140625</v>
      </c>
      <c r="C75">
        <v>189.484130859375</v>
      </c>
      <c r="D75">
        <v>186.71115112304699</v>
      </c>
      <c r="E75">
        <v>192.41287231445301</v>
      </c>
      <c r="F75">
        <v>22.265625</v>
      </c>
      <c r="G75">
        <v>18.3349609375</v>
      </c>
      <c r="H75">
        <v>39.825439453125</v>
      </c>
      <c r="I75">
        <v>34.39453125</v>
      </c>
      <c r="J75">
        <v>7.077392578125</v>
      </c>
      <c r="K75">
        <v>13.862854330748799</v>
      </c>
      <c r="L75">
        <v>101.645950317383</v>
      </c>
    </row>
    <row r="76" spans="1:12" x14ac:dyDescent="0.2">
      <c r="A76" t="s">
        <v>210</v>
      </c>
      <c r="B76">
        <v>0.244140625</v>
      </c>
      <c r="C76">
        <v>189.56568908691401</v>
      </c>
      <c r="D76">
        <v>186.79270935058599</v>
      </c>
      <c r="E76">
        <v>191.04547119140599</v>
      </c>
      <c r="F76">
        <v>22.216796875</v>
      </c>
      <c r="G76">
        <v>17.3095703125</v>
      </c>
      <c r="H76">
        <v>39.85595703125</v>
      </c>
      <c r="I76">
        <v>34.5703125</v>
      </c>
      <c r="J76">
        <v>7.0666026536312803</v>
      </c>
      <c r="K76">
        <v>13.704647292631501</v>
      </c>
      <c r="L76">
        <v>101.673095703125</v>
      </c>
    </row>
    <row r="77" spans="1:12" x14ac:dyDescent="0.2">
      <c r="A77" t="s">
        <v>99</v>
      </c>
      <c r="B77">
        <v>0.244140625</v>
      </c>
      <c r="C77">
        <v>189.40257263183599</v>
      </c>
      <c r="D77">
        <v>186.62959289550801</v>
      </c>
      <c r="E77">
        <v>191.04547119140599</v>
      </c>
      <c r="F77">
        <v>22.265625</v>
      </c>
      <c r="G77">
        <v>17.7490234375</v>
      </c>
      <c r="H77">
        <v>40.95458984375</v>
      </c>
      <c r="I77">
        <v>34.86328125</v>
      </c>
      <c r="J77">
        <v>7.0436353362008397</v>
      </c>
      <c r="K77">
        <v>13.986511801313499</v>
      </c>
      <c r="L77">
        <v>101.61880493164</v>
      </c>
    </row>
    <row r="78" spans="1:12" x14ac:dyDescent="0.2">
      <c r="A78" t="s">
        <v>100</v>
      </c>
      <c r="B78">
        <v>0.244140625</v>
      </c>
      <c r="C78">
        <v>189.40257263183599</v>
      </c>
      <c r="D78">
        <v>186.71115112304699</v>
      </c>
      <c r="E78">
        <v>192.11985778808599</v>
      </c>
      <c r="F78">
        <v>22.36328125</v>
      </c>
      <c r="G78">
        <v>17.822265625</v>
      </c>
      <c r="H78">
        <v>41.229248046875</v>
      </c>
      <c r="I78">
        <v>34.453125</v>
      </c>
      <c r="J78">
        <v>7.0584895101825804</v>
      </c>
      <c r="K78">
        <v>14.0230875740708</v>
      </c>
      <c r="L78">
        <v>101.61880493164</v>
      </c>
    </row>
    <row r="79" spans="1:12" x14ac:dyDescent="0.2">
      <c r="A79" t="s">
        <v>101</v>
      </c>
      <c r="B79">
        <v>0.927734375</v>
      </c>
      <c r="C79">
        <v>189.56568908691401</v>
      </c>
      <c r="D79">
        <v>186.79270935058599</v>
      </c>
      <c r="E79">
        <v>193.09657287597699</v>
      </c>
      <c r="F79">
        <v>22.55859375</v>
      </c>
      <c r="G79">
        <v>17.1875</v>
      </c>
      <c r="H79">
        <v>41.015625</v>
      </c>
      <c r="I79">
        <v>34.5703125</v>
      </c>
      <c r="J79">
        <v>7.0272175649578603</v>
      </c>
      <c r="K79">
        <v>13.9557968637538</v>
      </c>
      <c r="L79">
        <v>101.673095703125</v>
      </c>
    </row>
    <row r="80" spans="1:12" x14ac:dyDescent="0.2">
      <c r="A80" t="s">
        <v>102</v>
      </c>
      <c r="B80">
        <v>0.5126953125</v>
      </c>
      <c r="C80">
        <v>189.81036376953099</v>
      </c>
      <c r="D80">
        <v>187.03738403320301</v>
      </c>
      <c r="E80">
        <v>193.97561645507801</v>
      </c>
      <c r="F80">
        <v>22.6318359375</v>
      </c>
      <c r="G80">
        <v>16.845703125</v>
      </c>
      <c r="H80">
        <v>40.924072265625</v>
      </c>
      <c r="I80">
        <v>34.5703125</v>
      </c>
      <c r="J80">
        <v>7.0182567531779698</v>
      </c>
      <c r="K80">
        <v>13.942787190939301</v>
      </c>
      <c r="L80">
        <v>101.645950317383</v>
      </c>
    </row>
    <row r="81" spans="1:12" x14ac:dyDescent="0.2">
      <c r="A81" t="s">
        <v>103</v>
      </c>
      <c r="B81">
        <v>0.732421875</v>
      </c>
      <c r="C81">
        <v>189.89192199707</v>
      </c>
      <c r="D81">
        <v>187.11894226074199</v>
      </c>
      <c r="E81">
        <v>192.11985778808599</v>
      </c>
      <c r="F81">
        <v>22.5341796875</v>
      </c>
      <c r="G81">
        <v>17.1875</v>
      </c>
      <c r="H81">
        <v>40.283203125</v>
      </c>
      <c r="I81">
        <v>34.1015625</v>
      </c>
      <c r="J81">
        <v>7.0212923542837</v>
      </c>
      <c r="K81">
        <v>13.8858691772472</v>
      </c>
      <c r="L81">
        <v>101.645950317383</v>
      </c>
    </row>
    <row r="82" spans="1:12" x14ac:dyDescent="0.2">
      <c r="A82" t="s">
        <v>214</v>
      </c>
      <c r="B82">
        <v>0.244140625</v>
      </c>
      <c r="C82">
        <v>189.81036376953099</v>
      </c>
      <c r="D82">
        <v>187.03738403320301</v>
      </c>
      <c r="E82">
        <v>193.09657287597699</v>
      </c>
      <c r="F82">
        <v>22.5830078125</v>
      </c>
      <c r="G82">
        <v>17.7001953125</v>
      </c>
      <c r="H82">
        <v>39.306640625</v>
      </c>
      <c r="I82">
        <v>32.75390625</v>
      </c>
      <c r="J82">
        <v>7.0433061578300604</v>
      </c>
      <c r="K82">
        <v>13.8192999723349</v>
      </c>
      <c r="L82">
        <v>101.61880493164</v>
      </c>
    </row>
    <row r="83" spans="1:12" x14ac:dyDescent="0.2">
      <c r="A83" t="s">
        <v>215</v>
      </c>
      <c r="B83">
        <v>0.244140625</v>
      </c>
      <c r="C83">
        <v>189.89192199707</v>
      </c>
      <c r="D83">
        <v>187.03738403320301</v>
      </c>
      <c r="E83">
        <v>192.11985778808599</v>
      </c>
      <c r="F83">
        <v>22.2412109375</v>
      </c>
      <c r="G83">
        <v>16.8212890625</v>
      </c>
      <c r="H83">
        <v>38.360595703125</v>
      </c>
      <c r="I83">
        <v>34.16015625</v>
      </c>
      <c r="J83">
        <v>7.0612875263342696</v>
      </c>
      <c r="K83">
        <v>13.419570210899099</v>
      </c>
      <c r="L83">
        <v>101.673095703125</v>
      </c>
    </row>
    <row r="84" spans="1:12" x14ac:dyDescent="0.2">
      <c r="A84" t="s">
        <v>216</v>
      </c>
      <c r="B84">
        <v>0.244140625</v>
      </c>
      <c r="C84">
        <v>189.64724731445301</v>
      </c>
      <c r="D84">
        <v>186.95582580566401</v>
      </c>
      <c r="E84">
        <v>191.92451477050801</v>
      </c>
      <c r="F84">
        <v>22.0947265625</v>
      </c>
      <c r="G84">
        <v>16.40625</v>
      </c>
      <c r="H84">
        <v>39.85595703125</v>
      </c>
      <c r="I84">
        <v>34.921875</v>
      </c>
      <c r="J84">
        <v>7.0503584366270902</v>
      </c>
      <c r="K84">
        <v>13.572765109515601</v>
      </c>
      <c r="L84">
        <v>101.673095703125</v>
      </c>
    </row>
    <row r="85" spans="1:12" x14ac:dyDescent="0.2">
      <c r="A85" t="s">
        <v>217</v>
      </c>
      <c r="B85">
        <v>0.244140625</v>
      </c>
      <c r="C85">
        <v>189.64724731445301</v>
      </c>
      <c r="D85">
        <v>186.79270935058599</v>
      </c>
      <c r="E85">
        <v>192.31520080566401</v>
      </c>
      <c r="F85">
        <v>22.1435546875</v>
      </c>
      <c r="G85">
        <v>16.162109375</v>
      </c>
      <c r="H85">
        <v>38.6962890625</v>
      </c>
      <c r="I85">
        <v>35.68359375</v>
      </c>
      <c r="J85">
        <v>7.0556914940309001</v>
      </c>
      <c r="K85">
        <v>13.330947104080501</v>
      </c>
      <c r="L85">
        <v>101.61880493164</v>
      </c>
    </row>
    <row r="86" spans="1:12" x14ac:dyDescent="0.2">
      <c r="A86" t="s">
        <v>347</v>
      </c>
      <c r="B86">
        <v>0.244140625</v>
      </c>
      <c r="C86">
        <v>189.56568908691401</v>
      </c>
      <c r="D86">
        <v>186.79270935058599</v>
      </c>
      <c r="E86">
        <v>190.94779968261699</v>
      </c>
      <c r="F86">
        <v>22.0947265625</v>
      </c>
      <c r="G86">
        <v>16.552734375</v>
      </c>
      <c r="H86">
        <v>39.093017578125</v>
      </c>
      <c r="I86">
        <v>38.14453125</v>
      </c>
      <c r="J86">
        <v>7.0407428421787701</v>
      </c>
      <c r="K86">
        <v>13.4382088151752</v>
      </c>
      <c r="L86">
        <v>101.673095703125</v>
      </c>
    </row>
    <row r="87" spans="1:12" x14ac:dyDescent="0.2">
      <c r="A87" t="s">
        <v>348</v>
      </c>
      <c r="B87">
        <v>0.244140625</v>
      </c>
      <c r="C87">
        <v>189.484130859375</v>
      </c>
      <c r="D87">
        <v>186.79270935058599</v>
      </c>
      <c r="E87">
        <v>191.04547119140599</v>
      </c>
      <c r="F87">
        <v>22.6318359375</v>
      </c>
      <c r="G87">
        <v>26.025390625</v>
      </c>
      <c r="H87">
        <v>40.069580078125</v>
      </c>
      <c r="I87">
        <v>36.9140625</v>
      </c>
      <c r="J87">
        <v>7.0312906901041696</v>
      </c>
      <c r="K87">
        <v>15.3025290608986</v>
      </c>
      <c r="L87">
        <v>101.673095703125</v>
      </c>
    </row>
    <row r="88" spans="1:12" x14ac:dyDescent="0.2">
      <c r="A88" t="s">
        <v>349</v>
      </c>
      <c r="B88">
        <v>0.244140625</v>
      </c>
      <c r="C88">
        <v>189.484130859375</v>
      </c>
      <c r="D88">
        <v>186.71115112304699</v>
      </c>
      <c r="E88">
        <v>191.82684326171901</v>
      </c>
      <c r="F88">
        <v>23.14453125</v>
      </c>
      <c r="G88">
        <v>19.8486328125</v>
      </c>
      <c r="H88">
        <v>41.229248046875</v>
      </c>
      <c r="I88">
        <v>34.62890625</v>
      </c>
      <c r="J88">
        <v>6.9984731094613304</v>
      </c>
      <c r="K88">
        <v>14.5844215656973</v>
      </c>
      <c r="L88">
        <v>101.645950317383</v>
      </c>
    </row>
    <row r="89" spans="1:12" x14ac:dyDescent="0.2">
      <c r="A89" t="s">
        <v>350</v>
      </c>
      <c r="B89">
        <v>0.244140625</v>
      </c>
      <c r="C89">
        <v>189.56568908691401</v>
      </c>
      <c r="D89">
        <v>186.79270935058599</v>
      </c>
      <c r="E89">
        <v>191.72917175293</v>
      </c>
      <c r="F89">
        <v>23.1689453125</v>
      </c>
      <c r="G89">
        <v>20.166015625</v>
      </c>
      <c r="H89">
        <v>41.107177734375</v>
      </c>
      <c r="I89">
        <v>37.1484375</v>
      </c>
      <c r="J89">
        <v>7.0009765625</v>
      </c>
      <c r="K89">
        <v>14.661220720182801</v>
      </c>
      <c r="L89">
        <v>101.61880493164</v>
      </c>
    </row>
    <row r="90" spans="1:12" x14ac:dyDescent="0.2">
      <c r="A90" t="s">
        <v>224</v>
      </c>
      <c r="B90">
        <v>0.29296875</v>
      </c>
      <c r="C90">
        <v>189.64724731445301</v>
      </c>
      <c r="D90">
        <v>186.874267578125</v>
      </c>
      <c r="E90">
        <v>191.143142700195</v>
      </c>
      <c r="F90">
        <v>23.5107421875</v>
      </c>
      <c r="G90">
        <v>20.60546875</v>
      </c>
      <c r="H90">
        <v>41.19873046875</v>
      </c>
      <c r="I90">
        <v>37.3828125</v>
      </c>
      <c r="J90">
        <v>6.989990234375</v>
      </c>
      <c r="K90">
        <v>14.794928267543201</v>
      </c>
      <c r="L90">
        <v>101.673095703125</v>
      </c>
    </row>
    <row r="91" spans="1:12" x14ac:dyDescent="0.2">
      <c r="A91" t="s">
        <v>225</v>
      </c>
      <c r="B91">
        <v>0.244140625</v>
      </c>
      <c r="C91">
        <v>189.72880554199199</v>
      </c>
      <c r="D91">
        <v>186.874267578125</v>
      </c>
      <c r="E91">
        <v>192.80355834960901</v>
      </c>
      <c r="F91">
        <v>23.5595703125</v>
      </c>
      <c r="G91">
        <v>20.361328125</v>
      </c>
      <c r="H91">
        <v>40.6494140625</v>
      </c>
      <c r="I91">
        <v>36.62109375</v>
      </c>
      <c r="J91">
        <v>6.9991048177083304</v>
      </c>
      <c r="K91">
        <v>14.6955959546275</v>
      </c>
      <c r="L91">
        <v>101.645950317383</v>
      </c>
    </row>
    <row r="92" spans="1:12" x14ac:dyDescent="0.2">
      <c r="A92" t="s">
        <v>106</v>
      </c>
      <c r="B92">
        <v>0.244140625</v>
      </c>
      <c r="C92">
        <v>189.81036376953099</v>
      </c>
      <c r="D92">
        <v>187.03738403320301</v>
      </c>
      <c r="E92">
        <v>192.99890136718801</v>
      </c>
      <c r="F92">
        <v>23.486328125</v>
      </c>
      <c r="G92">
        <v>19.677734375</v>
      </c>
      <c r="H92">
        <v>41.229248046875</v>
      </c>
      <c r="I92">
        <v>35.44921875</v>
      </c>
      <c r="J92">
        <v>7.0160319010416696</v>
      </c>
      <c r="K92">
        <v>14.675679115112001</v>
      </c>
      <c r="L92">
        <v>101.61880493164</v>
      </c>
    </row>
    <row r="93" spans="1:12" x14ac:dyDescent="0.2">
      <c r="A93" t="s">
        <v>19</v>
      </c>
      <c r="B93">
        <v>0.244140625</v>
      </c>
      <c r="C93">
        <v>189.72880554199199</v>
      </c>
      <c r="D93">
        <v>186.95582580566401</v>
      </c>
      <c r="E93">
        <v>191.53382873535199</v>
      </c>
      <c r="F93">
        <v>23.4375</v>
      </c>
      <c r="G93">
        <v>18.4326171875</v>
      </c>
      <c r="H93">
        <v>39.306640625</v>
      </c>
      <c r="I93">
        <v>34.98046875</v>
      </c>
      <c r="J93">
        <v>7.0262451171875</v>
      </c>
      <c r="K93">
        <v>14.188889755203601</v>
      </c>
      <c r="L93">
        <v>101.591659545898</v>
      </c>
    </row>
    <row r="94" spans="1:12" x14ac:dyDescent="0.2">
      <c r="A94" t="s">
        <v>20</v>
      </c>
      <c r="B94">
        <v>0.244140625</v>
      </c>
      <c r="C94">
        <v>189.64724731445301</v>
      </c>
      <c r="D94">
        <v>186.874267578125</v>
      </c>
      <c r="E94">
        <v>191.43615722656199</v>
      </c>
      <c r="F94">
        <v>23.6328125</v>
      </c>
      <c r="G94">
        <v>18.5791015625</v>
      </c>
      <c r="H94">
        <v>39.306640625</v>
      </c>
      <c r="I94">
        <v>35.2734375</v>
      </c>
      <c r="J94">
        <v>7.0068494259323204</v>
      </c>
      <c r="K94">
        <v>14.214077116316</v>
      </c>
      <c r="L94">
        <v>101.673095703125</v>
      </c>
    </row>
    <row r="95" spans="1:12" x14ac:dyDescent="0.2">
      <c r="A95" t="s">
        <v>21</v>
      </c>
      <c r="B95">
        <v>0.244140625</v>
      </c>
      <c r="C95">
        <v>189.81036376953099</v>
      </c>
      <c r="D95">
        <v>187.03738403320301</v>
      </c>
      <c r="E95">
        <v>192.02218627929699</v>
      </c>
      <c r="F95">
        <v>23.53515625</v>
      </c>
      <c r="G95">
        <v>19.775390625</v>
      </c>
      <c r="H95">
        <v>40.83251953125</v>
      </c>
      <c r="I95">
        <v>35.5078125</v>
      </c>
      <c r="J95">
        <v>7.0110270182291696</v>
      </c>
      <c r="K95">
        <v>14.5981179868977</v>
      </c>
      <c r="L95">
        <v>101.645950317383</v>
      </c>
    </row>
    <row r="96" spans="1:12" x14ac:dyDescent="0.2">
      <c r="A96" t="s">
        <v>22</v>
      </c>
      <c r="B96">
        <v>0.244140625</v>
      </c>
      <c r="C96">
        <v>189.81036376953099</v>
      </c>
      <c r="D96">
        <v>187.03738403320301</v>
      </c>
      <c r="E96">
        <v>192.02218627929699</v>
      </c>
      <c r="F96">
        <v>23.14453125</v>
      </c>
      <c r="G96">
        <v>20.4833984375</v>
      </c>
      <c r="H96">
        <v>40.0390625</v>
      </c>
      <c r="I96">
        <v>34.98046875</v>
      </c>
      <c r="J96">
        <v>7.031005859375</v>
      </c>
      <c r="K96">
        <v>14.535935900074801</v>
      </c>
      <c r="L96">
        <v>101.61880493164</v>
      </c>
    </row>
    <row r="97" spans="1:12" x14ac:dyDescent="0.2">
      <c r="A97" t="s">
        <v>23</v>
      </c>
      <c r="B97">
        <v>0.244140625</v>
      </c>
      <c r="C97">
        <v>189.64724731445301</v>
      </c>
      <c r="D97">
        <v>186.95582580566401</v>
      </c>
      <c r="E97">
        <v>191.24081420898401</v>
      </c>
      <c r="F97">
        <v>23.0224609375</v>
      </c>
      <c r="G97">
        <v>18.7744140625</v>
      </c>
      <c r="H97">
        <v>39.154052734375</v>
      </c>
      <c r="I97">
        <v>33.80859375</v>
      </c>
      <c r="J97">
        <v>7.03383977900552</v>
      </c>
      <c r="K97">
        <v>14.0417984110445</v>
      </c>
      <c r="L97">
        <v>101.645950317383</v>
      </c>
    </row>
    <row r="98" spans="1:12" x14ac:dyDescent="0.2">
      <c r="A98" t="s">
        <v>24</v>
      </c>
      <c r="B98">
        <v>0.244140625</v>
      </c>
      <c r="C98">
        <v>189.81036376953099</v>
      </c>
      <c r="D98">
        <v>187.03738403320301</v>
      </c>
      <c r="E98">
        <v>192.02218627929699</v>
      </c>
      <c r="F98">
        <v>22.6806640625</v>
      </c>
      <c r="G98">
        <v>17.7734375</v>
      </c>
      <c r="H98">
        <v>39.703369140625</v>
      </c>
      <c r="I98">
        <v>33.984375</v>
      </c>
      <c r="J98">
        <v>7.0274867273826001</v>
      </c>
      <c r="K98">
        <v>14.0581668345481</v>
      </c>
      <c r="L98">
        <v>100.831588745117</v>
      </c>
    </row>
    <row r="99" spans="1:12" x14ac:dyDescent="0.2">
      <c r="A99" t="s">
        <v>25</v>
      </c>
      <c r="B99">
        <v>0.244140625</v>
      </c>
      <c r="C99">
        <v>189.64724731445301</v>
      </c>
      <c r="D99">
        <v>187.03738403320301</v>
      </c>
      <c r="E99">
        <v>192.02218627929699</v>
      </c>
      <c r="F99">
        <v>22.802734375</v>
      </c>
      <c r="G99">
        <v>17.7001953125</v>
      </c>
      <c r="H99">
        <v>39.4287109375</v>
      </c>
      <c r="I99">
        <v>35.2734375</v>
      </c>
      <c r="J99">
        <v>7.011474609375</v>
      </c>
      <c r="K99">
        <v>14.1686539856696</v>
      </c>
      <c r="L99">
        <v>99.691482543945298</v>
      </c>
    </row>
    <row r="100" spans="1:12" x14ac:dyDescent="0.2">
      <c r="A100" t="s">
        <v>26</v>
      </c>
      <c r="B100">
        <v>0.5126953125</v>
      </c>
      <c r="C100">
        <v>189.64724731445301</v>
      </c>
      <c r="D100">
        <v>186.874267578125</v>
      </c>
      <c r="E100">
        <v>191.82684326171901</v>
      </c>
      <c r="F100">
        <v>22.3388671875</v>
      </c>
      <c r="G100">
        <v>17.822265625</v>
      </c>
      <c r="H100">
        <v>39.581298828125</v>
      </c>
      <c r="I100">
        <v>35.91796875</v>
      </c>
      <c r="J100">
        <v>7.0510660807291696</v>
      </c>
      <c r="K100">
        <v>14.0723375867651</v>
      </c>
      <c r="L100">
        <v>100.098663330078</v>
      </c>
    </row>
    <row r="101" spans="1:12" x14ac:dyDescent="0.2">
      <c r="A101" t="s">
        <v>113</v>
      </c>
      <c r="B101">
        <v>0.244140625</v>
      </c>
      <c r="C101">
        <v>189.56568908691401</v>
      </c>
      <c r="D101">
        <v>186.874267578125</v>
      </c>
      <c r="E101">
        <v>191.82684326171901</v>
      </c>
      <c r="F101">
        <v>22.4365234375</v>
      </c>
      <c r="G101">
        <v>18.0908203125</v>
      </c>
      <c r="H101">
        <v>39.306640625</v>
      </c>
      <c r="I101">
        <v>35.2734375</v>
      </c>
      <c r="J101">
        <v>7.0494189183356397</v>
      </c>
      <c r="K101">
        <v>13.976039486445799</v>
      </c>
      <c r="L101">
        <v>100.777297973633</v>
      </c>
    </row>
    <row r="102" spans="1:12" x14ac:dyDescent="0.2">
      <c r="A102" t="s">
        <v>243</v>
      </c>
      <c r="B102">
        <v>0.244140625</v>
      </c>
      <c r="C102">
        <v>189.56568908691401</v>
      </c>
      <c r="D102">
        <v>186.874267578125</v>
      </c>
      <c r="E102">
        <v>191.72917175293</v>
      </c>
      <c r="F102">
        <v>22.75390625</v>
      </c>
      <c r="G102">
        <v>18.017578125</v>
      </c>
      <c r="H102">
        <v>40.313720703125</v>
      </c>
      <c r="I102">
        <v>34.3359375</v>
      </c>
      <c r="J102">
        <v>7.0232783364986204</v>
      </c>
      <c r="K102">
        <v>14.072518150966101</v>
      </c>
      <c r="L102">
        <v>101.428787231445</v>
      </c>
    </row>
    <row r="103" spans="1:12" x14ac:dyDescent="0.2">
      <c r="A103" t="s">
        <v>244</v>
      </c>
      <c r="B103">
        <v>1.416015625</v>
      </c>
      <c r="C103">
        <v>189.72880554199199</v>
      </c>
      <c r="D103">
        <v>186.95582580566401</v>
      </c>
      <c r="E103">
        <v>192.90122985839801</v>
      </c>
      <c r="F103">
        <v>22.705078125</v>
      </c>
      <c r="G103">
        <v>17.96875</v>
      </c>
      <c r="H103">
        <v>40.924072265625</v>
      </c>
      <c r="I103">
        <v>33.92578125</v>
      </c>
      <c r="J103">
        <v>7.01186712275552</v>
      </c>
      <c r="K103">
        <v>14.2013991280088</v>
      </c>
      <c r="L103">
        <v>101.34735107421901</v>
      </c>
    </row>
    <row r="104" spans="1:12" x14ac:dyDescent="0.2">
      <c r="A104" t="s">
        <v>245</v>
      </c>
      <c r="B104">
        <v>0.244140625</v>
      </c>
      <c r="C104">
        <v>189.64724731445301</v>
      </c>
      <c r="D104">
        <v>186.95582580566401</v>
      </c>
      <c r="E104">
        <v>191.63150024414</v>
      </c>
      <c r="F104">
        <v>22.8759765625</v>
      </c>
      <c r="G104">
        <v>21.09375</v>
      </c>
      <c r="H104">
        <v>41.259765625</v>
      </c>
      <c r="I104">
        <v>34.74609375</v>
      </c>
      <c r="J104">
        <v>7.0289995417248603</v>
      </c>
      <c r="K104">
        <v>14.809402078933701</v>
      </c>
      <c r="L104">
        <v>101.34735107421901</v>
      </c>
    </row>
    <row r="105" spans="1:12" x14ac:dyDescent="0.2">
      <c r="A105" t="s">
        <v>246</v>
      </c>
      <c r="B105">
        <v>2.294921875</v>
      </c>
      <c r="C105">
        <v>189.64724731445301</v>
      </c>
      <c r="D105">
        <v>186.874267578125</v>
      </c>
      <c r="E105">
        <v>192.80355834960901</v>
      </c>
      <c r="F105">
        <v>22.94921875</v>
      </c>
      <c r="G105">
        <v>18.212890625</v>
      </c>
      <c r="H105">
        <v>40.496826171875</v>
      </c>
      <c r="I105">
        <v>34.04296875</v>
      </c>
      <c r="J105">
        <v>6.9936116536458304</v>
      </c>
      <c r="K105">
        <v>14.1549233802124</v>
      </c>
      <c r="L105">
        <v>101.401641845703</v>
      </c>
    </row>
    <row r="106" spans="1:12" x14ac:dyDescent="0.2">
      <c r="A106" t="s">
        <v>247</v>
      </c>
      <c r="B106">
        <v>0.244140625</v>
      </c>
      <c r="C106">
        <v>189.64724731445301</v>
      </c>
      <c r="D106">
        <v>186.95582580566401</v>
      </c>
      <c r="E106">
        <v>192.51054382324199</v>
      </c>
      <c r="F106">
        <v>22.36328125</v>
      </c>
      <c r="G106">
        <v>16.1865234375</v>
      </c>
      <c r="H106">
        <v>41.534423828125</v>
      </c>
      <c r="I106">
        <v>35.625</v>
      </c>
      <c r="J106">
        <v>6.9740964053721903</v>
      </c>
      <c r="K106">
        <v>13.9156113417766</v>
      </c>
      <c r="L106">
        <v>101.401641845703</v>
      </c>
    </row>
    <row r="107" spans="1:12" x14ac:dyDescent="0.2">
      <c r="A107" t="s">
        <v>248</v>
      </c>
      <c r="B107">
        <v>0.244140625</v>
      </c>
      <c r="C107">
        <v>189.72880554199199</v>
      </c>
      <c r="D107">
        <v>187.03738403320301</v>
      </c>
      <c r="E107">
        <v>192.60821533203099</v>
      </c>
      <c r="F107">
        <v>22.4853515625</v>
      </c>
      <c r="G107">
        <v>16.2841796875</v>
      </c>
      <c r="H107">
        <v>39.215087890625</v>
      </c>
      <c r="I107">
        <v>37.44140625</v>
      </c>
      <c r="J107">
        <v>6.9901849982443798</v>
      </c>
      <c r="K107">
        <v>13.596688754337</v>
      </c>
      <c r="L107">
        <v>101.401641845703</v>
      </c>
    </row>
    <row r="108" spans="1:12" x14ac:dyDescent="0.2">
      <c r="A108" t="s">
        <v>249</v>
      </c>
      <c r="B108">
        <v>0.244140625</v>
      </c>
      <c r="C108">
        <v>189.72880554199199</v>
      </c>
      <c r="D108">
        <v>187.03738403320301</v>
      </c>
      <c r="E108">
        <v>191.33848571777301</v>
      </c>
      <c r="F108">
        <v>22.65625</v>
      </c>
      <c r="G108">
        <v>16.748046875</v>
      </c>
      <c r="H108">
        <v>38.543701171875</v>
      </c>
      <c r="I108">
        <v>36.03515625</v>
      </c>
      <c r="J108">
        <v>6.9706700211864403</v>
      </c>
      <c r="K108">
        <v>13.6109340144246</v>
      </c>
      <c r="L108">
        <v>101.455932617188</v>
      </c>
    </row>
    <row r="109" spans="1:12" x14ac:dyDescent="0.2">
      <c r="A109" t="s">
        <v>250</v>
      </c>
      <c r="B109">
        <v>0.244140625</v>
      </c>
      <c r="C109">
        <v>189.64724731445301</v>
      </c>
      <c r="D109">
        <v>186.95582580566401</v>
      </c>
      <c r="E109">
        <v>192.217529296875</v>
      </c>
      <c r="F109">
        <v>22.75390625</v>
      </c>
      <c r="G109">
        <v>18.212890625</v>
      </c>
      <c r="H109">
        <v>41.3818359375</v>
      </c>
      <c r="I109">
        <v>32.40234375</v>
      </c>
      <c r="J109">
        <v>6.9711251986228797</v>
      </c>
      <c r="K109">
        <v>14.311817291944401</v>
      </c>
      <c r="L109">
        <v>101.510223388672</v>
      </c>
    </row>
    <row r="110" spans="1:12" x14ac:dyDescent="0.2">
      <c r="A110" t="s">
        <v>36</v>
      </c>
      <c r="B110">
        <v>0.244140625</v>
      </c>
      <c r="C110">
        <v>189.81036376953099</v>
      </c>
      <c r="D110">
        <v>187.03738403320301</v>
      </c>
      <c r="E110">
        <v>192.217529296875</v>
      </c>
      <c r="F110">
        <v>22.7783203125</v>
      </c>
      <c r="G110">
        <v>19.23828125</v>
      </c>
      <c r="H110">
        <v>40.374755859375</v>
      </c>
      <c r="I110">
        <v>33.3984375</v>
      </c>
      <c r="J110">
        <v>6.9289178363347501</v>
      </c>
      <c r="K110">
        <v>14.321123544409501</v>
      </c>
      <c r="L110">
        <v>101.53736877441401</v>
      </c>
    </row>
    <row r="111" spans="1:12" x14ac:dyDescent="0.2">
      <c r="A111" t="s">
        <v>37</v>
      </c>
      <c r="B111">
        <v>0.244140625</v>
      </c>
      <c r="C111">
        <v>189.81036376953099</v>
      </c>
      <c r="D111">
        <v>187.03738403320301</v>
      </c>
      <c r="E111">
        <v>193.19424438476599</v>
      </c>
      <c r="F111">
        <v>22.802734375</v>
      </c>
      <c r="G111">
        <v>19.04296875</v>
      </c>
      <c r="H111">
        <v>39.215087890625</v>
      </c>
      <c r="I111">
        <v>35.5078125</v>
      </c>
      <c r="J111">
        <v>6.95014565677966</v>
      </c>
      <c r="K111">
        <v>14.0984732587665</v>
      </c>
      <c r="L111">
        <v>101.510223388672</v>
      </c>
    </row>
    <row r="112" spans="1:12" x14ac:dyDescent="0.2">
      <c r="A112" t="s">
        <v>122</v>
      </c>
      <c r="B112">
        <v>0.4150390625</v>
      </c>
      <c r="C112">
        <v>189.81036376953099</v>
      </c>
      <c r="D112">
        <v>187.11894226074199</v>
      </c>
      <c r="E112">
        <v>192.11985778808599</v>
      </c>
      <c r="F112">
        <v>22.4609375</v>
      </c>
      <c r="G112">
        <v>17.48046875</v>
      </c>
      <c r="H112">
        <v>38.360595703125</v>
      </c>
      <c r="I112">
        <v>35.44921875</v>
      </c>
      <c r="J112">
        <v>6.9501870365466099</v>
      </c>
      <c r="K112">
        <v>13.6394324093527</v>
      </c>
      <c r="L112">
        <v>101.61880493164</v>
      </c>
    </row>
    <row r="113" spans="1:12" x14ac:dyDescent="0.2">
      <c r="A113" t="s">
        <v>123</v>
      </c>
      <c r="B113">
        <v>0.244140625</v>
      </c>
      <c r="C113">
        <v>189.72880554199199</v>
      </c>
      <c r="D113">
        <v>187.03738403320301</v>
      </c>
      <c r="E113">
        <v>192.60821533203099</v>
      </c>
      <c r="F113">
        <v>22.5341796875</v>
      </c>
      <c r="G113">
        <v>17.2119140625</v>
      </c>
      <c r="H113">
        <v>38.51318359375</v>
      </c>
      <c r="I113">
        <v>34.5703125</v>
      </c>
      <c r="J113">
        <v>6.9419192196277999</v>
      </c>
      <c r="K113">
        <v>13.620722905758999</v>
      </c>
      <c r="L113">
        <v>101.61880493164</v>
      </c>
    </row>
    <row r="114" spans="1:12" x14ac:dyDescent="0.2">
      <c r="A114" t="s">
        <v>124</v>
      </c>
      <c r="B114">
        <v>0.244140625</v>
      </c>
      <c r="C114">
        <v>189.81036376953099</v>
      </c>
      <c r="D114">
        <v>187.03738403320301</v>
      </c>
      <c r="E114">
        <v>192.60821533203099</v>
      </c>
      <c r="F114">
        <v>22.7294921875</v>
      </c>
      <c r="G114">
        <v>17.2119140625</v>
      </c>
      <c r="H114">
        <v>39.031982421875</v>
      </c>
      <c r="I114">
        <v>37.03125</v>
      </c>
      <c r="J114">
        <v>6.9546748814957899</v>
      </c>
      <c r="K114">
        <v>13.745169884378701</v>
      </c>
      <c r="L114">
        <v>101.591659545898</v>
      </c>
    </row>
    <row r="115" spans="1:12" x14ac:dyDescent="0.2">
      <c r="A115" t="s">
        <v>125</v>
      </c>
      <c r="B115">
        <v>0.244140625</v>
      </c>
      <c r="C115">
        <v>189.81036376953099</v>
      </c>
      <c r="D115">
        <v>187.03738403320301</v>
      </c>
      <c r="E115">
        <v>192.31520080566401</v>
      </c>
      <c r="F115">
        <v>22.6806640625</v>
      </c>
      <c r="G115">
        <v>20.8740234375</v>
      </c>
      <c r="H115">
        <v>38.787841796875</v>
      </c>
      <c r="I115">
        <v>35.44921875</v>
      </c>
      <c r="J115">
        <v>6.9501486788974702</v>
      </c>
      <c r="K115">
        <v>14.3507187365558</v>
      </c>
      <c r="L115">
        <v>101.61880493164</v>
      </c>
    </row>
    <row r="116" spans="1:12" x14ac:dyDescent="0.2">
      <c r="A116" t="s">
        <v>126</v>
      </c>
      <c r="B116">
        <v>1.7822265625</v>
      </c>
      <c r="C116">
        <v>189.56568908691401</v>
      </c>
      <c r="D116">
        <v>186.874267578125</v>
      </c>
      <c r="E116">
        <v>189.67807006835901</v>
      </c>
      <c r="F116">
        <v>23.0712890625</v>
      </c>
      <c r="G116">
        <v>20.01953125</v>
      </c>
      <c r="H116">
        <v>38.57421875</v>
      </c>
      <c r="I116">
        <v>34.74609375</v>
      </c>
      <c r="J116">
        <v>6.9676234069483201</v>
      </c>
      <c r="K116">
        <v>14.2133163345054</v>
      </c>
      <c r="L116">
        <v>101.645950317383</v>
      </c>
    </row>
    <row r="117" spans="1:12" x14ac:dyDescent="0.2">
      <c r="A117" t="s">
        <v>127</v>
      </c>
      <c r="B117">
        <v>0.244140625</v>
      </c>
      <c r="C117">
        <v>189.56568908691401</v>
      </c>
      <c r="D117">
        <v>186.79270935058599</v>
      </c>
      <c r="E117">
        <v>190.94779968261699</v>
      </c>
      <c r="F117">
        <v>23.1689453125</v>
      </c>
      <c r="G117">
        <v>20.9228515625</v>
      </c>
      <c r="H117">
        <v>39.0625</v>
      </c>
      <c r="I117">
        <v>35.44921875</v>
      </c>
      <c r="J117">
        <v>6.9911702473958304</v>
      </c>
      <c r="K117">
        <v>14.4112608981562</v>
      </c>
      <c r="L117">
        <v>101.645950317383</v>
      </c>
    </row>
    <row r="118" spans="1:12" x14ac:dyDescent="0.2">
      <c r="A118" t="s">
        <v>258</v>
      </c>
      <c r="B118">
        <v>0.244140625</v>
      </c>
      <c r="C118">
        <v>189.64724731445301</v>
      </c>
      <c r="D118">
        <v>186.874267578125</v>
      </c>
      <c r="E118">
        <v>192.41287231445301</v>
      </c>
      <c r="F118">
        <v>22.998046875</v>
      </c>
      <c r="G118">
        <v>20.3857421875</v>
      </c>
      <c r="H118">
        <v>39.581298828125</v>
      </c>
      <c r="I118">
        <v>35.21484375</v>
      </c>
      <c r="J118">
        <v>7.00048828125</v>
      </c>
      <c r="K118">
        <v>14.3904372181214</v>
      </c>
      <c r="L118">
        <v>101.61880493164</v>
      </c>
    </row>
    <row r="119" spans="1:12" x14ac:dyDescent="0.2">
      <c r="A119" t="s">
        <v>259</v>
      </c>
      <c r="B119">
        <v>0.244140625</v>
      </c>
      <c r="C119">
        <v>189.64724731445301</v>
      </c>
      <c r="D119">
        <v>186.95582580566401</v>
      </c>
      <c r="E119">
        <v>192.51054382324199</v>
      </c>
      <c r="F119">
        <v>22.998046875</v>
      </c>
      <c r="G119">
        <v>20.8251953125</v>
      </c>
      <c r="H119">
        <v>39.703369140625</v>
      </c>
      <c r="I119">
        <v>35.9765625</v>
      </c>
      <c r="J119">
        <v>7.0193430298533501</v>
      </c>
      <c r="K119">
        <v>14.5037433614085</v>
      </c>
      <c r="L119">
        <v>101.673095703125</v>
      </c>
    </row>
    <row r="120" spans="1:12" x14ac:dyDescent="0.2">
      <c r="A120" t="s">
        <v>260</v>
      </c>
      <c r="B120">
        <v>0.244140625</v>
      </c>
      <c r="C120">
        <v>189.56568908691401</v>
      </c>
      <c r="D120">
        <v>186.874267578125</v>
      </c>
      <c r="E120">
        <v>191.04547119140599</v>
      </c>
      <c r="F120">
        <v>23.2177734375</v>
      </c>
      <c r="G120">
        <v>20.5810546875</v>
      </c>
      <c r="H120">
        <v>40.4052734375</v>
      </c>
      <c r="I120">
        <v>36.2109375</v>
      </c>
      <c r="J120">
        <v>6.99730348051264</v>
      </c>
      <c r="K120">
        <v>14.6147667906839</v>
      </c>
      <c r="L120">
        <v>101.645950317383</v>
      </c>
    </row>
    <row r="121" spans="1:12" x14ac:dyDescent="0.2">
      <c r="A121" t="s">
        <v>261</v>
      </c>
      <c r="B121">
        <v>0.244140625</v>
      </c>
      <c r="C121">
        <v>189.64724731445301</v>
      </c>
      <c r="D121">
        <v>186.95582580566401</v>
      </c>
      <c r="E121">
        <v>191.82684326171901</v>
      </c>
      <c r="F121">
        <v>23.2177734375</v>
      </c>
      <c r="G121">
        <v>20.458984375</v>
      </c>
      <c r="H121">
        <v>39.12353515625</v>
      </c>
      <c r="I121">
        <v>36.26953125</v>
      </c>
      <c r="J121">
        <v>7.0185354854283704</v>
      </c>
      <c r="K121">
        <v>14.390159949978701</v>
      </c>
      <c r="L121">
        <v>101.645950317383</v>
      </c>
    </row>
    <row r="122" spans="1:12" x14ac:dyDescent="0.2">
      <c r="A122" t="s">
        <v>262</v>
      </c>
      <c r="B122">
        <v>0.244140625</v>
      </c>
      <c r="C122">
        <v>189.64724731445301</v>
      </c>
      <c r="D122">
        <v>186.79270935058599</v>
      </c>
      <c r="E122">
        <v>191.53382873535199</v>
      </c>
      <c r="F122">
        <v>23.5595703125</v>
      </c>
      <c r="G122">
        <v>20.1904296875</v>
      </c>
      <c r="H122">
        <v>40.618896484375</v>
      </c>
      <c r="I122">
        <v>36.2109375</v>
      </c>
      <c r="J122">
        <v>7.0534709348516902</v>
      </c>
      <c r="K122">
        <v>14.6635090999289</v>
      </c>
      <c r="L122">
        <v>101.61880493164</v>
      </c>
    </row>
    <row r="123" spans="1:12" x14ac:dyDescent="0.2">
      <c r="A123" t="s">
        <v>263</v>
      </c>
      <c r="B123">
        <v>0.244140625</v>
      </c>
      <c r="C123">
        <v>189.56568908691401</v>
      </c>
      <c r="D123">
        <v>186.79270935058599</v>
      </c>
      <c r="E123">
        <v>191.53382873535199</v>
      </c>
      <c r="F123">
        <v>23.53515625</v>
      </c>
      <c r="G123">
        <v>20.5810546875</v>
      </c>
      <c r="H123">
        <v>41.046142578125</v>
      </c>
      <c r="I123">
        <v>33.3984375</v>
      </c>
      <c r="J123">
        <v>7.0368776483050803</v>
      </c>
      <c r="K123">
        <v>14.751683616966</v>
      </c>
      <c r="L123">
        <v>101.673095703125</v>
      </c>
    </row>
    <row r="124" spans="1:12" x14ac:dyDescent="0.2">
      <c r="A124" t="s">
        <v>264</v>
      </c>
      <c r="B124">
        <v>2.4169921875</v>
      </c>
      <c r="C124">
        <v>189.56568908691401</v>
      </c>
      <c r="D124">
        <v>186.79270935058599</v>
      </c>
      <c r="E124">
        <v>191.72917175293</v>
      </c>
      <c r="F124">
        <v>23.33984375</v>
      </c>
      <c r="G124">
        <v>20.263671875</v>
      </c>
      <c r="H124">
        <v>40.95458984375</v>
      </c>
      <c r="I124">
        <v>33.10546875</v>
      </c>
      <c r="J124">
        <v>7.0372914459745797</v>
      </c>
      <c r="K124">
        <v>14.660821513463301</v>
      </c>
      <c r="L124">
        <v>101.673095703125</v>
      </c>
    </row>
    <row r="125" spans="1:12" x14ac:dyDescent="0.2">
      <c r="A125" t="s">
        <v>265</v>
      </c>
      <c r="B125">
        <v>0.244140625</v>
      </c>
      <c r="C125">
        <v>189.72880554199199</v>
      </c>
      <c r="D125">
        <v>186.874267578125</v>
      </c>
      <c r="E125">
        <v>191.53382873535199</v>
      </c>
      <c r="F125">
        <v>23.4619140625</v>
      </c>
      <c r="G125">
        <v>18.6767578125</v>
      </c>
      <c r="H125">
        <v>40.252685546875</v>
      </c>
      <c r="I125">
        <v>36.09375</v>
      </c>
      <c r="J125">
        <v>7.0126704846398296</v>
      </c>
      <c r="K125">
        <v>14.272405128619001</v>
      </c>
      <c r="L125">
        <v>101.61880493164</v>
      </c>
    </row>
    <row r="126" spans="1:12" x14ac:dyDescent="0.2">
      <c r="A126" t="s">
        <v>266</v>
      </c>
      <c r="B126">
        <v>0.244140625</v>
      </c>
      <c r="C126">
        <v>189.81036376953099</v>
      </c>
      <c r="D126">
        <v>186.95582580566401</v>
      </c>
      <c r="E126">
        <v>192.31520080566401</v>
      </c>
      <c r="F126">
        <v>22.65625</v>
      </c>
      <c r="G126">
        <v>16.552734375</v>
      </c>
      <c r="H126">
        <v>40.863037109375</v>
      </c>
      <c r="I126">
        <v>36.50390625</v>
      </c>
      <c r="J126">
        <v>7.0389052568855899</v>
      </c>
      <c r="K126">
        <v>13.9034565221703</v>
      </c>
      <c r="L126">
        <v>101.673095703125</v>
      </c>
    </row>
    <row r="127" spans="1:12" x14ac:dyDescent="0.2">
      <c r="A127" t="s">
        <v>267</v>
      </c>
      <c r="B127">
        <v>0.244140625</v>
      </c>
      <c r="C127">
        <v>189.81036376953099</v>
      </c>
      <c r="D127">
        <v>186.95582580566401</v>
      </c>
      <c r="E127">
        <v>193.09657287597699</v>
      </c>
      <c r="F127">
        <v>22.7294921875</v>
      </c>
      <c r="G127">
        <v>16.796875</v>
      </c>
      <c r="H127">
        <v>40.435791015625</v>
      </c>
      <c r="I127">
        <v>36.15234375</v>
      </c>
      <c r="J127">
        <v>7.0202843617584696</v>
      </c>
      <c r="K127">
        <v>13.8872697607615</v>
      </c>
      <c r="L127">
        <v>101.700241088867</v>
      </c>
    </row>
    <row r="128" spans="1:12" x14ac:dyDescent="0.2">
      <c r="A128" t="s">
        <v>268</v>
      </c>
      <c r="B128">
        <v>0.244140625</v>
      </c>
      <c r="C128">
        <v>190.05503845214801</v>
      </c>
      <c r="D128">
        <v>187.11894226074199</v>
      </c>
      <c r="E128">
        <v>193.7802734375</v>
      </c>
      <c r="F128">
        <v>22.8515625</v>
      </c>
      <c r="G128">
        <v>16.6748046875</v>
      </c>
      <c r="H128">
        <v>39.36767578125</v>
      </c>
      <c r="I128">
        <v>33.92578125</v>
      </c>
      <c r="J128">
        <v>6.9990151615466099</v>
      </c>
      <c r="K128">
        <v>13.7479529877932</v>
      </c>
      <c r="L128">
        <v>101.673095703125</v>
      </c>
    </row>
    <row r="129" spans="1:12" x14ac:dyDescent="0.2">
      <c r="A129" t="s">
        <v>269</v>
      </c>
      <c r="B129">
        <v>0.2197265625</v>
      </c>
      <c r="C129">
        <v>189.97348022460901</v>
      </c>
      <c r="D129">
        <v>187.20050048828099</v>
      </c>
      <c r="E129">
        <v>192.70588684082</v>
      </c>
      <c r="F129">
        <v>22.8515625</v>
      </c>
      <c r="G129">
        <v>20.60546875</v>
      </c>
      <c r="H129">
        <v>38.51318359375</v>
      </c>
      <c r="I129">
        <v>33.3984375</v>
      </c>
      <c r="J129">
        <v>7.0177125395014004</v>
      </c>
      <c r="K129">
        <v>14.285219604442601</v>
      </c>
      <c r="L129">
        <v>101.673095703125</v>
      </c>
    </row>
    <row r="130" spans="1:12" x14ac:dyDescent="0.2">
      <c r="A130" t="s">
        <v>270</v>
      </c>
      <c r="B130">
        <v>0.244140625</v>
      </c>
      <c r="C130">
        <v>189.81036376953099</v>
      </c>
      <c r="D130">
        <v>187.03738403320301</v>
      </c>
      <c r="E130">
        <v>191.143142700195</v>
      </c>
      <c r="F130">
        <v>23.14453125</v>
      </c>
      <c r="G130">
        <v>19.7509765625</v>
      </c>
      <c r="H130">
        <v>38.0859375</v>
      </c>
      <c r="I130">
        <v>34.5703125</v>
      </c>
      <c r="J130">
        <v>7.0272361626059299</v>
      </c>
      <c r="K130">
        <v>14.0920630594419</v>
      </c>
      <c r="L130">
        <v>101.700241088867</v>
      </c>
    </row>
    <row r="131" spans="1:12" x14ac:dyDescent="0.2">
      <c r="A131" t="s">
        <v>271</v>
      </c>
      <c r="B131">
        <v>0.244140625</v>
      </c>
      <c r="C131">
        <v>189.89192199707</v>
      </c>
      <c r="D131">
        <v>186.95582580566401</v>
      </c>
      <c r="E131">
        <v>192.11985778808599</v>
      </c>
      <c r="F131">
        <v>23.046875</v>
      </c>
      <c r="G131">
        <v>19.7998046875</v>
      </c>
      <c r="H131">
        <v>38.2080078125</v>
      </c>
      <c r="I131">
        <v>34.39453125</v>
      </c>
      <c r="J131">
        <v>7.0240499205508504</v>
      </c>
      <c r="K131">
        <v>14.0335992731085</v>
      </c>
      <c r="L131">
        <v>101.700241088867</v>
      </c>
    </row>
    <row r="132" spans="1:12" x14ac:dyDescent="0.2">
      <c r="A132" t="s">
        <v>145</v>
      </c>
      <c r="B132">
        <v>0.244140625</v>
      </c>
      <c r="C132">
        <v>189.81036376953099</v>
      </c>
      <c r="D132">
        <v>186.95582580566401</v>
      </c>
      <c r="E132">
        <v>192.41287231445301</v>
      </c>
      <c r="F132">
        <v>22.265625</v>
      </c>
      <c r="G132">
        <v>18.5546875</v>
      </c>
      <c r="H132">
        <v>38.604736328125</v>
      </c>
      <c r="I132">
        <v>33.80859375</v>
      </c>
      <c r="J132">
        <v>7.0220636917372898</v>
      </c>
      <c r="K132">
        <v>13.746021923297601</v>
      </c>
      <c r="L132">
        <v>101.72738647460901</v>
      </c>
    </row>
    <row r="133" spans="1:12" x14ac:dyDescent="0.2">
      <c r="A133" t="s">
        <v>146</v>
      </c>
      <c r="B133">
        <v>0.244140625</v>
      </c>
      <c r="C133">
        <v>189.81036376953099</v>
      </c>
      <c r="D133">
        <v>186.95582580566401</v>
      </c>
      <c r="E133">
        <v>190.55711364746</v>
      </c>
      <c r="F133">
        <v>22.3388671875</v>
      </c>
      <c r="G133">
        <v>18.7744140625</v>
      </c>
      <c r="H133">
        <v>38.57421875</v>
      </c>
      <c r="I133">
        <v>35.33203125</v>
      </c>
      <c r="J133">
        <v>7.0400555214185401</v>
      </c>
      <c r="K133">
        <v>13.8009999894357</v>
      </c>
      <c r="L133">
        <v>101.673095703125</v>
      </c>
    </row>
    <row r="134" spans="1:12" x14ac:dyDescent="0.2">
      <c r="A134" t="s">
        <v>147</v>
      </c>
      <c r="B134">
        <v>0.244140625</v>
      </c>
      <c r="C134">
        <v>189.484130859375</v>
      </c>
      <c r="D134">
        <v>186.71115112304699</v>
      </c>
      <c r="E134">
        <v>190.85012817382801</v>
      </c>
      <c r="F134">
        <v>22.265625</v>
      </c>
      <c r="G134">
        <v>17.3828125</v>
      </c>
      <c r="H134">
        <v>39.154052734375</v>
      </c>
      <c r="I134">
        <v>34.8046875</v>
      </c>
      <c r="J134">
        <v>7.0370431673728797</v>
      </c>
      <c r="K134">
        <v>13.6238057553907</v>
      </c>
      <c r="L134">
        <v>101.72738647460901</v>
      </c>
    </row>
    <row r="135" spans="1:12" x14ac:dyDescent="0.2">
      <c r="A135" t="s">
        <v>148</v>
      </c>
      <c r="B135">
        <v>0.244140625</v>
      </c>
      <c r="C135">
        <v>189.484130859375</v>
      </c>
      <c r="D135">
        <v>186.62959289550801</v>
      </c>
      <c r="E135">
        <v>191.92451477050801</v>
      </c>
      <c r="F135">
        <v>22.2900390625</v>
      </c>
      <c r="G135">
        <v>18.75</v>
      </c>
      <c r="H135">
        <v>40.22216796875</v>
      </c>
      <c r="I135">
        <v>34.51171875</v>
      </c>
      <c r="J135">
        <v>6.9963254766949197</v>
      </c>
      <c r="K135">
        <v>14.001991144377399</v>
      </c>
      <c r="L135">
        <v>101.700241088867</v>
      </c>
    </row>
    <row r="136" spans="1:12" x14ac:dyDescent="0.2">
      <c r="A136" t="s">
        <v>149</v>
      </c>
      <c r="B136">
        <v>0.4150390625</v>
      </c>
      <c r="C136">
        <v>189.56568908691401</v>
      </c>
      <c r="D136">
        <v>186.71115112304699</v>
      </c>
      <c r="E136">
        <v>192.02218627929699</v>
      </c>
      <c r="F136">
        <v>22.265625</v>
      </c>
      <c r="G136">
        <v>19.1162109375</v>
      </c>
      <c r="H136">
        <v>39.48974609375</v>
      </c>
      <c r="I136">
        <v>35.09765625</v>
      </c>
      <c r="J136">
        <v>7.0131451896067398</v>
      </c>
      <c r="K136">
        <v>13.956006980941501</v>
      </c>
      <c r="L136">
        <v>101.700241088867</v>
      </c>
    </row>
    <row r="137" spans="1:12" x14ac:dyDescent="0.2">
      <c r="A137" t="s">
        <v>150</v>
      </c>
      <c r="B137">
        <v>0.244140625</v>
      </c>
      <c r="C137">
        <v>189.72880554199199</v>
      </c>
      <c r="D137">
        <v>186.874267578125</v>
      </c>
      <c r="E137">
        <v>192.80355834960901</v>
      </c>
      <c r="F137">
        <v>22.36328125</v>
      </c>
      <c r="G137">
        <v>18.4814453125</v>
      </c>
      <c r="H137">
        <v>40.435791015625</v>
      </c>
      <c r="I137">
        <v>34.98046875</v>
      </c>
      <c r="J137">
        <v>7.0283285419592696</v>
      </c>
      <c r="K137">
        <v>14.045743801875</v>
      </c>
      <c r="L137">
        <v>101.645950317383</v>
      </c>
    </row>
    <row r="138" spans="1:12" x14ac:dyDescent="0.2">
      <c r="A138" t="s">
        <v>50</v>
      </c>
      <c r="B138">
        <v>0.244140625</v>
      </c>
      <c r="C138">
        <v>189.81036376953099</v>
      </c>
      <c r="D138">
        <v>186.95582580566401</v>
      </c>
      <c r="E138">
        <v>192.99890136718801</v>
      </c>
      <c r="F138">
        <v>22.4853515625</v>
      </c>
      <c r="G138">
        <v>17.8466796875</v>
      </c>
      <c r="H138">
        <v>39.581298828125</v>
      </c>
      <c r="I138">
        <v>34.21875</v>
      </c>
      <c r="J138">
        <v>7.0116096368715004</v>
      </c>
      <c r="K138">
        <v>13.838186373473301</v>
      </c>
      <c r="L138">
        <v>101.700241088867</v>
      </c>
    </row>
    <row r="139" spans="1:12" x14ac:dyDescent="0.2">
      <c r="A139" t="s">
        <v>51</v>
      </c>
      <c r="B139">
        <v>0.244140625</v>
      </c>
      <c r="C139">
        <v>189.72880554199199</v>
      </c>
      <c r="D139">
        <v>186.95582580566401</v>
      </c>
      <c r="E139">
        <v>191.82684326171901</v>
      </c>
      <c r="F139">
        <v>22.3876953125</v>
      </c>
      <c r="G139">
        <v>17.7490234375</v>
      </c>
      <c r="H139">
        <v>38.543701171875</v>
      </c>
      <c r="I139">
        <v>34.8046875</v>
      </c>
      <c r="J139">
        <v>7.0064131241270902</v>
      </c>
      <c r="K139">
        <v>13.647979382693</v>
      </c>
      <c r="L139">
        <v>101.700241088867</v>
      </c>
    </row>
    <row r="140" spans="1:12" x14ac:dyDescent="0.2">
      <c r="A140" t="s">
        <v>52</v>
      </c>
      <c r="B140">
        <v>0.244140625</v>
      </c>
      <c r="C140">
        <v>189.72880554199199</v>
      </c>
      <c r="D140">
        <v>187.03738403320301</v>
      </c>
      <c r="E140">
        <v>191.63150024414</v>
      </c>
      <c r="F140">
        <v>22.4365234375</v>
      </c>
      <c r="G140">
        <v>17.28515625</v>
      </c>
      <c r="H140">
        <v>38.848876953125</v>
      </c>
      <c r="I140">
        <v>32.98828125</v>
      </c>
      <c r="J140">
        <v>7.0066177112430204</v>
      </c>
      <c r="K140">
        <v>13.6451101138667</v>
      </c>
      <c r="L140">
        <v>101.645950317383</v>
      </c>
    </row>
    <row r="141" spans="1:12" x14ac:dyDescent="0.2">
      <c r="A141" t="s">
        <v>53</v>
      </c>
      <c r="B141">
        <v>0.244140625</v>
      </c>
      <c r="C141">
        <v>189.72880554199199</v>
      </c>
      <c r="D141">
        <v>186.874267578125</v>
      </c>
      <c r="E141">
        <v>191.82684326171901</v>
      </c>
      <c r="F141">
        <v>22.5341796875</v>
      </c>
      <c r="G141">
        <v>17.3828125</v>
      </c>
      <c r="H141">
        <v>39.6728515625</v>
      </c>
      <c r="I141">
        <v>34.04296875</v>
      </c>
      <c r="J141">
        <v>7.0204887177025102</v>
      </c>
      <c r="K141">
        <v>13.761899863202</v>
      </c>
      <c r="L141">
        <v>101.645950317383</v>
      </c>
    </row>
    <row r="142" spans="1:12" x14ac:dyDescent="0.2">
      <c r="A142" t="s">
        <v>156</v>
      </c>
      <c r="B142">
        <v>0.244140625</v>
      </c>
      <c r="C142">
        <v>189.81036376953099</v>
      </c>
      <c r="D142">
        <v>186.95582580566401</v>
      </c>
      <c r="E142">
        <v>192.41287231445301</v>
      </c>
      <c r="F142">
        <v>22.021484375</v>
      </c>
      <c r="G142">
        <v>16.7724609375</v>
      </c>
      <c r="H142">
        <v>38.9404296875</v>
      </c>
      <c r="I142">
        <v>36.38671875</v>
      </c>
      <c r="J142">
        <v>7.0015416520365203</v>
      </c>
      <c r="K142">
        <v>13.4472788659866</v>
      </c>
      <c r="L142">
        <v>101.673095703125</v>
      </c>
    </row>
    <row r="143" spans="1:12" x14ac:dyDescent="0.2">
      <c r="A143" t="s">
        <v>157</v>
      </c>
      <c r="B143">
        <v>0.244140625</v>
      </c>
      <c r="C143">
        <v>189.81036376953099</v>
      </c>
      <c r="D143">
        <v>186.874267578125</v>
      </c>
      <c r="E143">
        <v>192.60821533203099</v>
      </c>
      <c r="F143">
        <v>21.9482421875</v>
      </c>
      <c r="G143">
        <v>17.6025390625</v>
      </c>
      <c r="H143">
        <v>39.0625</v>
      </c>
      <c r="I143">
        <v>37.08984375</v>
      </c>
      <c r="J143">
        <v>7.0120342126053403</v>
      </c>
      <c r="K143">
        <v>13.655265771399501</v>
      </c>
      <c r="L143">
        <v>101.673095703125</v>
      </c>
    </row>
    <row r="144" spans="1:12" x14ac:dyDescent="0.2">
      <c r="A144" t="s">
        <v>158</v>
      </c>
      <c r="B144">
        <v>0.244140625</v>
      </c>
      <c r="C144">
        <v>189.72880554199199</v>
      </c>
      <c r="D144">
        <v>186.874267578125</v>
      </c>
      <c r="E144">
        <v>191.92451477050801</v>
      </c>
      <c r="F144">
        <v>22.4853515625</v>
      </c>
      <c r="G144">
        <v>18.0419921875</v>
      </c>
      <c r="H144">
        <v>38.6962890625</v>
      </c>
      <c r="I144">
        <v>36.85546875</v>
      </c>
      <c r="J144">
        <v>7.0202429819915304</v>
      </c>
      <c r="K144">
        <v>13.750742417274299</v>
      </c>
      <c r="L144">
        <v>101.645950317383</v>
      </c>
    </row>
    <row r="145" spans="1:12" x14ac:dyDescent="0.2">
      <c r="A145" t="s">
        <v>159</v>
      </c>
      <c r="B145">
        <v>0.244140625</v>
      </c>
      <c r="C145">
        <v>189.81036376953099</v>
      </c>
      <c r="D145">
        <v>186.79270935058599</v>
      </c>
      <c r="E145">
        <v>192.02218627929699</v>
      </c>
      <c r="F145">
        <v>22.509765625</v>
      </c>
      <c r="G145">
        <v>18.9208984375</v>
      </c>
      <c r="H145">
        <v>39.0625</v>
      </c>
      <c r="I145">
        <v>34.39453125</v>
      </c>
      <c r="J145">
        <v>7.01742915783898</v>
      </c>
      <c r="K145">
        <v>13.928600472092199</v>
      </c>
      <c r="L145">
        <v>101.700241088867</v>
      </c>
    </row>
    <row r="146" spans="1:12" x14ac:dyDescent="0.2">
      <c r="A146" t="s">
        <v>160</v>
      </c>
      <c r="B146">
        <v>0.244140625</v>
      </c>
      <c r="C146">
        <v>190.05503845214801</v>
      </c>
      <c r="D146">
        <v>187.03738403320301</v>
      </c>
      <c r="E146">
        <v>193.48725891113301</v>
      </c>
      <c r="F146">
        <v>23.3154296875</v>
      </c>
      <c r="G146">
        <v>21.8994140625</v>
      </c>
      <c r="H146">
        <v>38.87939453125</v>
      </c>
      <c r="I146">
        <v>37.265625</v>
      </c>
      <c r="J146">
        <v>6.9989493723665701</v>
      </c>
      <c r="K146">
        <v>14.6096447220353</v>
      </c>
      <c r="L146">
        <v>101.700241088867</v>
      </c>
    </row>
    <row r="147" spans="1:12" x14ac:dyDescent="0.2">
      <c r="A147" t="s">
        <v>287</v>
      </c>
      <c r="B147">
        <v>0.244140625</v>
      </c>
      <c r="C147">
        <v>190.05503845214801</v>
      </c>
      <c r="D147">
        <v>187.11894226074199</v>
      </c>
      <c r="E147">
        <v>192.60821533203099</v>
      </c>
      <c r="F147">
        <v>23.3642578125</v>
      </c>
      <c r="G147">
        <v>20.751953125</v>
      </c>
      <c r="H147">
        <v>37.109375</v>
      </c>
      <c r="I147">
        <v>35.91796875</v>
      </c>
      <c r="J147">
        <v>7.0054917924859597</v>
      </c>
      <c r="K147">
        <v>14.170409338899599</v>
      </c>
      <c r="L147">
        <v>101.700241088867</v>
      </c>
    </row>
    <row r="148" spans="1:12" x14ac:dyDescent="0.2">
      <c r="A148" t="s">
        <v>288</v>
      </c>
      <c r="B148">
        <v>0.3173828125</v>
      </c>
      <c r="C148">
        <v>189.89192199707</v>
      </c>
      <c r="D148">
        <v>187.03738403320301</v>
      </c>
      <c r="E148">
        <v>190.45944213867199</v>
      </c>
      <c r="F148">
        <v>23.486328125</v>
      </c>
      <c r="G148">
        <v>22.509765625</v>
      </c>
      <c r="H148">
        <v>37.2314453125</v>
      </c>
      <c r="I148">
        <v>34.86328125</v>
      </c>
      <c r="J148">
        <v>6.9985978962988797</v>
      </c>
      <c r="K148">
        <v>14.5163483655143</v>
      </c>
      <c r="L148">
        <v>101.673095703125</v>
      </c>
    </row>
    <row r="149" spans="1:12" x14ac:dyDescent="0.2">
      <c r="A149" t="s">
        <v>289</v>
      </c>
      <c r="B149">
        <v>0.244140625</v>
      </c>
      <c r="C149">
        <v>189.72880554199199</v>
      </c>
      <c r="D149">
        <v>186.874267578125</v>
      </c>
      <c r="E149">
        <v>192.70588684082</v>
      </c>
      <c r="F149">
        <v>23.388671875</v>
      </c>
      <c r="G149">
        <v>22.2412109375</v>
      </c>
      <c r="H149">
        <v>39.337158203125</v>
      </c>
      <c r="I149">
        <v>34.27734375</v>
      </c>
      <c r="J149">
        <v>6.9865272564594996</v>
      </c>
      <c r="K149">
        <v>14.768352781419599</v>
      </c>
      <c r="L149">
        <v>101.700241088867</v>
      </c>
    </row>
    <row r="150" spans="1:12" x14ac:dyDescent="0.2">
      <c r="A150" t="s">
        <v>290</v>
      </c>
      <c r="B150">
        <v>0.2197265625</v>
      </c>
      <c r="C150">
        <v>189.81036376953099</v>
      </c>
      <c r="D150">
        <v>186.95582580566401</v>
      </c>
      <c r="E150">
        <v>191.53382873535199</v>
      </c>
      <c r="F150">
        <v>23.1201171875</v>
      </c>
      <c r="G150">
        <v>22.900390625</v>
      </c>
      <c r="H150">
        <v>37.59765625</v>
      </c>
      <c r="I150">
        <v>34.1015625</v>
      </c>
      <c r="J150">
        <v>6.9573906030547796</v>
      </c>
      <c r="K150">
        <v>14.503518635155</v>
      </c>
      <c r="L150">
        <v>101.754531860352</v>
      </c>
    </row>
    <row r="151" spans="1:12" x14ac:dyDescent="0.2">
      <c r="A151" t="s">
        <v>291</v>
      </c>
      <c r="B151">
        <v>0.244140625</v>
      </c>
      <c r="C151">
        <v>189.81036376953099</v>
      </c>
      <c r="D151">
        <v>186.95582580566401</v>
      </c>
      <c r="E151">
        <v>191.04547119140599</v>
      </c>
      <c r="F151">
        <v>23.1201171875</v>
      </c>
      <c r="G151">
        <v>21.044921875</v>
      </c>
      <c r="H151">
        <v>38.02490234375</v>
      </c>
      <c r="I151">
        <v>34.453125</v>
      </c>
      <c r="J151">
        <v>6.9798570268609597</v>
      </c>
      <c r="K151">
        <v>14.295713089423201</v>
      </c>
      <c r="L151">
        <v>101.673095703125</v>
      </c>
    </row>
    <row r="152" spans="1:12" x14ac:dyDescent="0.2">
      <c r="A152" t="s">
        <v>292</v>
      </c>
      <c r="B152">
        <v>0.244140625</v>
      </c>
      <c r="C152">
        <v>189.40257263183599</v>
      </c>
      <c r="D152">
        <v>186.62959289550801</v>
      </c>
      <c r="E152">
        <v>189.87341308593801</v>
      </c>
      <c r="F152">
        <v>22.3876953125</v>
      </c>
      <c r="G152">
        <v>18.1396484375</v>
      </c>
      <c r="H152">
        <v>37.994384765625</v>
      </c>
      <c r="I152">
        <v>34.6875</v>
      </c>
      <c r="J152">
        <v>6.9903254104872898</v>
      </c>
      <c r="K152">
        <v>13.596218627209799</v>
      </c>
      <c r="L152">
        <v>101.72738647460901</v>
      </c>
    </row>
    <row r="153" spans="1:12" x14ac:dyDescent="0.2">
      <c r="A153" t="s">
        <v>166</v>
      </c>
      <c r="B153">
        <v>0.2197265625</v>
      </c>
      <c r="C153">
        <v>189.40257263183599</v>
      </c>
      <c r="D153">
        <v>186.54803466796901</v>
      </c>
      <c r="E153">
        <v>190.85012817382801</v>
      </c>
      <c r="F153">
        <v>22.4609375</v>
      </c>
      <c r="G153">
        <v>18.994140625</v>
      </c>
      <c r="H153">
        <v>39.947509765625</v>
      </c>
      <c r="I153">
        <v>35.56640625</v>
      </c>
      <c r="J153">
        <v>6.9896633342161003</v>
      </c>
      <c r="K153">
        <v>14.035318176841001</v>
      </c>
      <c r="L153">
        <v>101.72738647460901</v>
      </c>
    </row>
    <row r="154" spans="1:12" x14ac:dyDescent="0.2">
      <c r="A154" t="s">
        <v>0</v>
      </c>
      <c r="B154">
        <v>0.830078125</v>
      </c>
      <c r="C154">
        <v>189.40257263183599</v>
      </c>
      <c r="D154">
        <v>186.54803466796901</v>
      </c>
      <c r="E154">
        <v>191.04547119140599</v>
      </c>
      <c r="F154">
        <v>22.0947265625</v>
      </c>
      <c r="G154">
        <v>18.5546875</v>
      </c>
      <c r="H154">
        <v>40.252685546875</v>
      </c>
      <c r="I154">
        <v>37.3828125</v>
      </c>
      <c r="J154">
        <v>6.9752217955508504</v>
      </c>
      <c r="K154">
        <v>13.938651934962699</v>
      </c>
      <c r="L154">
        <v>101.673095703125</v>
      </c>
    </row>
    <row r="155" spans="1:12" x14ac:dyDescent="0.2">
      <c r="A155" t="s">
        <v>1</v>
      </c>
      <c r="B155">
        <v>0.244140625</v>
      </c>
      <c r="C155">
        <v>189.40257263183599</v>
      </c>
      <c r="D155">
        <v>186.46647644043</v>
      </c>
      <c r="E155">
        <v>191.43615722656199</v>
      </c>
      <c r="F155">
        <v>22.16796875</v>
      </c>
      <c r="G155">
        <v>18.603515625</v>
      </c>
      <c r="H155">
        <v>40.924072265625</v>
      </c>
      <c r="I155">
        <v>35.80078125</v>
      </c>
      <c r="J155">
        <v>6.9665253028440999</v>
      </c>
      <c r="K155">
        <v>14.0548219823067</v>
      </c>
      <c r="L155">
        <v>101.673095703125</v>
      </c>
    </row>
    <row r="156" spans="1:12" x14ac:dyDescent="0.2">
      <c r="A156" t="s">
        <v>2</v>
      </c>
      <c r="B156">
        <v>0.244140625</v>
      </c>
      <c r="C156">
        <v>189.484130859375</v>
      </c>
      <c r="D156">
        <v>186.54803466796901</v>
      </c>
      <c r="E156">
        <v>192.217529296875</v>
      </c>
      <c r="F156">
        <v>22.8515625</v>
      </c>
      <c r="G156">
        <v>18.603515625</v>
      </c>
      <c r="H156">
        <v>40.802001953125</v>
      </c>
      <c r="I156">
        <v>32.87109375</v>
      </c>
      <c r="J156">
        <v>6.9569439594971998</v>
      </c>
      <c r="K156">
        <v>14.1906780289548</v>
      </c>
      <c r="L156">
        <v>101.72738647460901</v>
      </c>
    </row>
    <row r="157" spans="1:12" x14ac:dyDescent="0.2">
      <c r="A157" t="s">
        <v>3</v>
      </c>
      <c r="B157">
        <v>0.6103515625</v>
      </c>
      <c r="C157">
        <v>189.72880554199199</v>
      </c>
      <c r="D157">
        <v>186.79270935058599</v>
      </c>
      <c r="E157">
        <v>193.09657287597699</v>
      </c>
      <c r="F157">
        <v>22.75390625</v>
      </c>
      <c r="G157">
        <v>18.5791015625</v>
      </c>
      <c r="H157">
        <v>40.83251953125</v>
      </c>
      <c r="I157">
        <v>31.875</v>
      </c>
      <c r="J157">
        <v>6.9419681826117303</v>
      </c>
      <c r="K157">
        <v>14.223044589605299</v>
      </c>
      <c r="L157">
        <v>101.700241088867</v>
      </c>
    </row>
    <row r="158" spans="1:12" x14ac:dyDescent="0.2">
      <c r="A158" t="s">
        <v>4</v>
      </c>
      <c r="B158">
        <v>0.244140625</v>
      </c>
      <c r="C158">
        <v>189.89192199707</v>
      </c>
      <c r="D158">
        <v>187.03738403320301</v>
      </c>
      <c r="E158">
        <v>192.80355834960901</v>
      </c>
      <c r="F158">
        <v>22.75390625</v>
      </c>
      <c r="G158">
        <v>18.8232421875</v>
      </c>
      <c r="H158">
        <v>40.46630859375</v>
      </c>
      <c r="I158">
        <v>34.62890625</v>
      </c>
      <c r="J158">
        <v>6.9523612081005597</v>
      </c>
      <c r="K158">
        <v>14.2357849670287</v>
      </c>
      <c r="L158">
        <v>101.700241088867</v>
      </c>
    </row>
    <row r="159" spans="1:12" x14ac:dyDescent="0.2">
      <c r="A159" t="s">
        <v>5</v>
      </c>
      <c r="B159">
        <v>0.244140625</v>
      </c>
      <c r="C159">
        <v>189.81036376953099</v>
      </c>
      <c r="D159">
        <v>186.874267578125</v>
      </c>
      <c r="E159">
        <v>191.63150024414</v>
      </c>
      <c r="F159">
        <v>22.8271484375</v>
      </c>
      <c r="G159">
        <v>18.6279296875</v>
      </c>
      <c r="H159">
        <v>39.36767578125</v>
      </c>
      <c r="I159">
        <v>34.453125</v>
      </c>
      <c r="J159">
        <v>6.9653729486731804</v>
      </c>
      <c r="K159">
        <v>14.077660131575801</v>
      </c>
      <c r="L159">
        <v>101.48307800293</v>
      </c>
    </row>
    <row r="160" spans="1:12" x14ac:dyDescent="0.2">
      <c r="A160" t="s">
        <v>6</v>
      </c>
      <c r="B160">
        <v>0.244140625</v>
      </c>
      <c r="C160">
        <v>189.72880554199199</v>
      </c>
      <c r="D160">
        <v>186.874267578125</v>
      </c>
      <c r="E160">
        <v>192.70588684082</v>
      </c>
      <c r="F160">
        <v>22.2900390625</v>
      </c>
      <c r="G160">
        <v>17.1875</v>
      </c>
      <c r="H160">
        <v>39.520263671875</v>
      </c>
      <c r="I160">
        <v>35.0390625</v>
      </c>
      <c r="J160">
        <v>6.9995930989583304</v>
      </c>
      <c r="K160">
        <v>13.9722414595087</v>
      </c>
      <c r="L160">
        <v>99.827209472656193</v>
      </c>
    </row>
    <row r="161" spans="1:12" x14ac:dyDescent="0.2">
      <c r="A161" t="s">
        <v>7</v>
      </c>
      <c r="B161">
        <v>0.2197265625</v>
      </c>
      <c r="C161">
        <v>189.89192199707</v>
      </c>
      <c r="D161">
        <v>186.95582580566401</v>
      </c>
      <c r="E161">
        <v>194.07328796386699</v>
      </c>
      <c r="F161">
        <v>22.36328125</v>
      </c>
      <c r="G161">
        <v>16.455078125</v>
      </c>
      <c r="H161">
        <v>39.825439453125</v>
      </c>
      <c r="I161">
        <v>33.92578125</v>
      </c>
      <c r="J161">
        <v>7.0126139322916696</v>
      </c>
      <c r="K161">
        <v>13.954295501464699</v>
      </c>
      <c r="L161">
        <v>99.637191772460895</v>
      </c>
    </row>
    <row r="162" spans="1:12" x14ac:dyDescent="0.2">
      <c r="A162" t="s">
        <v>71</v>
      </c>
      <c r="B162">
        <v>0.6103515625</v>
      </c>
      <c r="C162">
        <v>189.89192199707</v>
      </c>
      <c r="D162">
        <v>187.03738403320301</v>
      </c>
      <c r="E162">
        <v>193.48725891113301</v>
      </c>
      <c r="F162">
        <v>22.314453125</v>
      </c>
      <c r="G162">
        <v>16.4794921875</v>
      </c>
      <c r="H162">
        <v>38.665771484375</v>
      </c>
      <c r="I162">
        <v>36.15234375</v>
      </c>
      <c r="J162">
        <v>7.0323893229166696</v>
      </c>
      <c r="K162">
        <v>13.680354934996499</v>
      </c>
      <c r="L162">
        <v>100.23439025878901</v>
      </c>
    </row>
    <row r="163" spans="1:12" x14ac:dyDescent="0.2">
      <c r="A163" t="s">
        <v>175</v>
      </c>
      <c r="B163">
        <v>0.4150390625</v>
      </c>
      <c r="C163">
        <v>189.97348022460901</v>
      </c>
      <c r="D163">
        <v>186.95582580566401</v>
      </c>
      <c r="E163">
        <v>192.41287231445301</v>
      </c>
      <c r="F163">
        <v>22.216796875</v>
      </c>
      <c r="G163">
        <v>16.3818359375</v>
      </c>
      <c r="H163">
        <v>37.7197265625</v>
      </c>
      <c r="I163">
        <v>36.5625</v>
      </c>
      <c r="J163">
        <v>7.049560546875</v>
      </c>
      <c r="K163">
        <v>13.4049541749044</v>
      </c>
      <c r="L163">
        <v>100.804443359375</v>
      </c>
    </row>
    <row r="164" spans="1:12" x14ac:dyDescent="0.2">
      <c r="A164" t="s">
        <v>176</v>
      </c>
      <c r="B164">
        <v>0.830078125</v>
      </c>
      <c r="C164">
        <v>189.81036376953099</v>
      </c>
      <c r="D164">
        <v>186.95582580566401</v>
      </c>
      <c r="E164">
        <v>192.41287231445301</v>
      </c>
      <c r="F164">
        <v>22.7783203125</v>
      </c>
      <c r="G164">
        <v>20.3369140625</v>
      </c>
      <c r="H164">
        <v>37.322998046875</v>
      </c>
      <c r="I164">
        <v>36.796875</v>
      </c>
      <c r="J164">
        <v>7.049560546875</v>
      </c>
      <c r="K164">
        <v>14.048224257566201</v>
      </c>
      <c r="L164">
        <v>101.211624145508</v>
      </c>
    </row>
    <row r="165" spans="1:12" x14ac:dyDescent="0.2">
      <c r="A165" t="s">
        <v>177</v>
      </c>
      <c r="B165">
        <v>0.244140625</v>
      </c>
      <c r="C165">
        <v>189.89192199707</v>
      </c>
      <c r="D165">
        <v>186.95582580566401</v>
      </c>
      <c r="E165">
        <v>193.38958740234401</v>
      </c>
      <c r="F165">
        <v>22.7783203125</v>
      </c>
      <c r="G165">
        <v>18.603515625</v>
      </c>
      <c r="H165">
        <v>37.109375</v>
      </c>
      <c r="I165">
        <v>35.80078125</v>
      </c>
      <c r="J165">
        <v>7.0579166306975099</v>
      </c>
      <c r="K165">
        <v>13.733574309360501</v>
      </c>
      <c r="L165">
        <v>101.10304260253901</v>
      </c>
    </row>
    <row r="166" spans="1:12" x14ac:dyDescent="0.2">
      <c r="A166" t="s">
        <v>178</v>
      </c>
      <c r="B166">
        <v>0.244140625</v>
      </c>
      <c r="C166">
        <v>190.05503845214801</v>
      </c>
      <c r="D166">
        <v>187.03738403320301</v>
      </c>
      <c r="E166">
        <v>192.70588684082</v>
      </c>
      <c r="F166">
        <v>23.681640625</v>
      </c>
      <c r="G166">
        <v>24.6826171875</v>
      </c>
      <c r="H166">
        <v>37.628173828125</v>
      </c>
      <c r="I166">
        <v>35.91796875</v>
      </c>
      <c r="J166">
        <v>7.0448058744820399</v>
      </c>
      <c r="K166">
        <v>15.062760533869</v>
      </c>
      <c r="L166">
        <v>101.10304260253901</v>
      </c>
    </row>
    <row r="167" spans="1:12" x14ac:dyDescent="0.2">
      <c r="A167" t="s">
        <v>179</v>
      </c>
      <c r="B167">
        <v>0.244140625</v>
      </c>
      <c r="C167">
        <v>189.97348022460901</v>
      </c>
      <c r="D167">
        <v>186.95582580566401</v>
      </c>
      <c r="E167">
        <v>193.7802734375</v>
      </c>
      <c r="F167">
        <v>23.53515625</v>
      </c>
      <c r="G167">
        <v>25.0732421875</v>
      </c>
      <c r="H167">
        <v>37.689208984375</v>
      </c>
      <c r="I167">
        <v>34.453125</v>
      </c>
      <c r="J167">
        <v>7.0210932104627002</v>
      </c>
      <c r="K167">
        <v>15.0883385229418</v>
      </c>
      <c r="L167">
        <v>101.18447875976599</v>
      </c>
    </row>
    <row r="168" spans="1:12" x14ac:dyDescent="0.2">
      <c r="A168" t="s">
        <v>180</v>
      </c>
      <c r="B168">
        <v>0.6103515625</v>
      </c>
      <c r="C168">
        <v>190.05503845214801</v>
      </c>
      <c r="D168">
        <v>187.03738403320301</v>
      </c>
      <c r="E168">
        <v>192.41287231445301</v>
      </c>
      <c r="F168">
        <v>23.33984375</v>
      </c>
      <c r="G168">
        <v>22.65625</v>
      </c>
      <c r="H168">
        <v>36.19384765625</v>
      </c>
      <c r="I168">
        <v>37.03125</v>
      </c>
      <c r="J168">
        <v>7.0414472548342504</v>
      </c>
      <c r="K168">
        <v>14.3860187193828</v>
      </c>
      <c r="L168">
        <v>101.211624145508</v>
      </c>
    </row>
    <row r="169" spans="1:12" x14ac:dyDescent="0.2">
      <c r="A169" t="s">
        <v>181</v>
      </c>
      <c r="B169">
        <v>0.2197265625</v>
      </c>
      <c r="C169">
        <v>189.97348022460901</v>
      </c>
      <c r="D169">
        <v>186.95582580566401</v>
      </c>
      <c r="E169">
        <v>191.24081420898401</v>
      </c>
      <c r="F169">
        <v>23.291015625</v>
      </c>
      <c r="G169">
        <v>22.7294921875</v>
      </c>
      <c r="H169">
        <v>36.19384765625</v>
      </c>
      <c r="I169">
        <v>36.09375</v>
      </c>
      <c r="J169">
        <v>7.0807390581837</v>
      </c>
      <c r="K169">
        <v>14.403770090760901</v>
      </c>
      <c r="L169">
        <v>101.211624145508</v>
      </c>
    </row>
    <row r="170" spans="1:12" x14ac:dyDescent="0.2">
      <c r="A170" t="s">
        <v>182</v>
      </c>
      <c r="B170">
        <v>0.244140625</v>
      </c>
      <c r="C170">
        <v>189.72880554199199</v>
      </c>
      <c r="D170">
        <v>186.79270935058599</v>
      </c>
      <c r="E170">
        <v>191.143142700195</v>
      </c>
      <c r="F170">
        <v>23.33984375</v>
      </c>
      <c r="G170">
        <v>22.8759765625</v>
      </c>
      <c r="H170">
        <v>36.56005859375</v>
      </c>
      <c r="I170">
        <v>35.80078125</v>
      </c>
      <c r="J170">
        <v>7.0372388639502796</v>
      </c>
      <c r="K170">
        <v>14.440347459798</v>
      </c>
      <c r="L170">
        <v>101.320205688477</v>
      </c>
    </row>
    <row r="171" spans="1:12" x14ac:dyDescent="0.2">
      <c r="A171" t="s">
        <v>17</v>
      </c>
      <c r="B171">
        <v>0.244140625</v>
      </c>
      <c r="C171">
        <v>189.56568908691401</v>
      </c>
      <c r="D171">
        <v>186.71115112304699</v>
      </c>
      <c r="E171">
        <v>191.72917175293</v>
      </c>
      <c r="F171">
        <v>23.2666015625</v>
      </c>
      <c r="G171">
        <v>21.2890625</v>
      </c>
      <c r="H171">
        <v>36.529541015625</v>
      </c>
      <c r="I171">
        <v>33.92578125</v>
      </c>
      <c r="J171">
        <v>7.0208740234375</v>
      </c>
      <c r="K171">
        <v>14.146007031534401</v>
      </c>
      <c r="L171">
        <v>101.37449645996</v>
      </c>
    </row>
    <row r="172" spans="1:12" x14ac:dyDescent="0.2">
      <c r="A172" t="s">
        <v>18</v>
      </c>
      <c r="B172">
        <v>0.244140625</v>
      </c>
      <c r="C172">
        <v>189.81036376953099</v>
      </c>
      <c r="D172">
        <v>186.874267578125</v>
      </c>
      <c r="E172">
        <v>192.60821533203099</v>
      </c>
      <c r="F172">
        <v>23.14453125</v>
      </c>
      <c r="G172">
        <v>24.462890625</v>
      </c>
      <c r="H172">
        <v>36.62109375</v>
      </c>
      <c r="I172">
        <v>33.57421875</v>
      </c>
      <c r="J172">
        <v>7.4799292127071801</v>
      </c>
      <c r="K172">
        <v>14.566868562052299</v>
      </c>
      <c r="L172">
        <v>101.37449645996</v>
      </c>
    </row>
    <row r="173" spans="1:12" x14ac:dyDescent="0.2">
      <c r="A173" t="s">
        <v>77</v>
      </c>
      <c r="B173">
        <v>0.244140625</v>
      </c>
      <c r="C173">
        <v>189.81036376953099</v>
      </c>
      <c r="D173">
        <v>186.95582580566401</v>
      </c>
      <c r="E173">
        <v>192.02218627929699</v>
      </c>
      <c r="F173">
        <v>23.193359375</v>
      </c>
      <c r="G173">
        <v>24.365234375</v>
      </c>
      <c r="H173">
        <v>38.177490234375</v>
      </c>
      <c r="I173">
        <v>34.921875</v>
      </c>
      <c r="J173">
        <v>7.12109375</v>
      </c>
      <c r="K173">
        <v>14.899973314818</v>
      </c>
      <c r="L173">
        <v>101.401641845703</v>
      </c>
    </row>
    <row r="174" spans="1:12" x14ac:dyDescent="0.2">
      <c r="A174" t="s">
        <v>78</v>
      </c>
      <c r="B174">
        <v>0.244140625</v>
      </c>
      <c r="C174">
        <v>189.56568908691401</v>
      </c>
      <c r="D174">
        <v>186.71115112304699</v>
      </c>
      <c r="E174">
        <v>190.75245666503901</v>
      </c>
      <c r="F174">
        <v>22.412109375</v>
      </c>
      <c r="G174">
        <v>18.0419921875</v>
      </c>
      <c r="H174">
        <v>37.29248046875</v>
      </c>
      <c r="I174">
        <v>36.15234375</v>
      </c>
      <c r="J174">
        <v>6.8311491065262402</v>
      </c>
      <c r="K174">
        <v>13.5553479704349</v>
      </c>
      <c r="L174">
        <v>101.48307800293</v>
      </c>
    </row>
    <row r="175" spans="1:12" x14ac:dyDescent="0.2">
      <c r="A175" t="s">
        <v>79</v>
      </c>
      <c r="B175">
        <v>0.244140625</v>
      </c>
      <c r="C175">
        <v>189.40257263183599</v>
      </c>
      <c r="D175">
        <v>186.54803466796901</v>
      </c>
      <c r="E175">
        <v>189.97108459472699</v>
      </c>
      <c r="F175">
        <v>22.5830078125</v>
      </c>
      <c r="G175">
        <v>20.6787109375</v>
      </c>
      <c r="H175">
        <v>38.421630859375</v>
      </c>
      <c r="I175">
        <v>35.2734375</v>
      </c>
      <c r="J175">
        <v>6.7268880208333304</v>
      </c>
      <c r="K175">
        <v>14.1666223610454</v>
      </c>
      <c r="L175">
        <v>101.510223388672</v>
      </c>
    </row>
    <row r="176" spans="1:12" x14ac:dyDescent="0.2">
      <c r="A176" t="s">
        <v>80</v>
      </c>
      <c r="B176">
        <v>0.244140625</v>
      </c>
      <c r="C176">
        <v>189.32101440429699</v>
      </c>
      <c r="D176">
        <v>186.46647644043</v>
      </c>
      <c r="E176">
        <v>191.04547119140599</v>
      </c>
      <c r="F176">
        <v>22.705078125</v>
      </c>
      <c r="G176">
        <v>20.9716796875</v>
      </c>
      <c r="H176">
        <v>38.87939453125</v>
      </c>
      <c r="I176">
        <v>35.80078125</v>
      </c>
      <c r="J176">
        <v>6.6742757161458304</v>
      </c>
      <c r="K176">
        <v>14.323068492042699</v>
      </c>
      <c r="L176">
        <v>101.510223388672</v>
      </c>
    </row>
    <row r="177" spans="1:12" x14ac:dyDescent="0.2">
      <c r="A177" t="s">
        <v>81</v>
      </c>
      <c r="B177">
        <v>0.830078125</v>
      </c>
      <c r="C177">
        <v>189.40257263183599</v>
      </c>
      <c r="D177">
        <v>186.54803466796901</v>
      </c>
      <c r="E177">
        <v>191.43615722656199</v>
      </c>
      <c r="F177">
        <v>22.5830078125</v>
      </c>
      <c r="G177">
        <v>19.5068359375</v>
      </c>
      <c r="H177">
        <v>39.459228515625</v>
      </c>
      <c r="I177">
        <v>32.87109375</v>
      </c>
      <c r="J177">
        <v>6.6654459635416696</v>
      </c>
      <c r="K177">
        <v>14.1572882736293</v>
      </c>
      <c r="L177">
        <v>101.53736877441401</v>
      </c>
    </row>
    <row r="178" spans="1:12" x14ac:dyDescent="0.2">
      <c r="A178" t="s">
        <v>82</v>
      </c>
      <c r="B178">
        <v>0.244140625</v>
      </c>
      <c r="C178">
        <v>189.56568908691401</v>
      </c>
      <c r="D178">
        <v>186.54803466796901</v>
      </c>
      <c r="E178">
        <v>191.72917175293</v>
      </c>
      <c r="F178">
        <v>23.14453125</v>
      </c>
      <c r="G178">
        <v>20.0927734375</v>
      </c>
      <c r="H178">
        <v>39.398193359375</v>
      </c>
      <c r="I178">
        <v>34.8046875</v>
      </c>
      <c r="J178">
        <v>6.2190348307291696</v>
      </c>
      <c r="K178">
        <v>14.428809687643</v>
      </c>
      <c r="L178">
        <v>101.61880493164</v>
      </c>
    </row>
    <row r="179" spans="1:12" x14ac:dyDescent="0.2">
      <c r="A179" t="s">
        <v>191</v>
      </c>
      <c r="B179">
        <v>0.2197265625</v>
      </c>
      <c r="C179">
        <v>189.72880554199199</v>
      </c>
      <c r="D179">
        <v>186.71115112304699</v>
      </c>
      <c r="E179">
        <v>192.02218627929699</v>
      </c>
      <c r="F179">
        <v>23.0712890625</v>
      </c>
      <c r="G179">
        <v>19.6533203125</v>
      </c>
      <c r="H179">
        <v>38.848876953125</v>
      </c>
      <c r="I179">
        <v>35.15625</v>
      </c>
      <c r="J179">
        <v>6.603759765625</v>
      </c>
      <c r="K179">
        <v>14.2152760109186</v>
      </c>
      <c r="L179">
        <v>101.61880493164</v>
      </c>
    </row>
    <row r="180" spans="1:12" x14ac:dyDescent="0.2">
      <c r="A180" t="s">
        <v>192</v>
      </c>
      <c r="B180">
        <v>0.244140625</v>
      </c>
      <c r="C180">
        <v>189.484130859375</v>
      </c>
      <c r="D180">
        <v>186.54803466796901</v>
      </c>
      <c r="E180">
        <v>191.24081420898401</v>
      </c>
      <c r="F180">
        <v>22.607421875</v>
      </c>
      <c r="G180">
        <v>18.7255859375</v>
      </c>
      <c r="H180">
        <v>39.306640625</v>
      </c>
      <c r="I180">
        <v>35.56640625</v>
      </c>
      <c r="J180">
        <v>6.8850488820787303</v>
      </c>
      <c r="K180">
        <v>13.988459503066199</v>
      </c>
      <c r="L180">
        <v>101.61880493164</v>
      </c>
    </row>
    <row r="181" spans="1:12" x14ac:dyDescent="0.2">
      <c r="A181" t="s">
        <v>193</v>
      </c>
      <c r="B181">
        <v>1.318359375</v>
      </c>
      <c r="C181">
        <v>189.23945617675801</v>
      </c>
      <c r="D181">
        <v>186.38491821289</v>
      </c>
      <c r="E181">
        <v>191.82684326171901</v>
      </c>
      <c r="F181">
        <v>22.5830078125</v>
      </c>
      <c r="G181">
        <v>17.67578125</v>
      </c>
      <c r="H181">
        <v>41.748046875</v>
      </c>
      <c r="I181">
        <v>32.87109375</v>
      </c>
      <c r="J181">
        <v>7.0703394768646399</v>
      </c>
      <c r="K181">
        <v>14.137370489322</v>
      </c>
      <c r="L181">
        <v>101.591659545898</v>
      </c>
    </row>
    <row r="182" spans="1:12" x14ac:dyDescent="0.2">
      <c r="A182" t="s">
        <v>194</v>
      </c>
      <c r="B182">
        <v>0.830078125</v>
      </c>
      <c r="C182">
        <v>189.56568908691401</v>
      </c>
      <c r="D182">
        <v>186.62959289550801</v>
      </c>
      <c r="E182">
        <v>192.80355834960901</v>
      </c>
      <c r="F182">
        <v>22.4365234375</v>
      </c>
      <c r="G182">
        <v>18.5546875</v>
      </c>
      <c r="H182">
        <v>40.4052734375</v>
      </c>
      <c r="I182">
        <v>33.10546875</v>
      </c>
      <c r="J182">
        <v>7.2485081793853601</v>
      </c>
      <c r="K182">
        <v>13.9936379960024</v>
      </c>
      <c r="L182">
        <v>101.645950317383</v>
      </c>
    </row>
    <row r="183" spans="1:12" x14ac:dyDescent="0.2">
      <c r="A183" t="s">
        <v>195</v>
      </c>
      <c r="B183">
        <v>0.244140625</v>
      </c>
      <c r="C183">
        <v>189.89192199707</v>
      </c>
      <c r="D183">
        <v>186.71115112304699</v>
      </c>
      <c r="E183">
        <v>192.99890136718801</v>
      </c>
      <c r="F183">
        <v>22.4853515625</v>
      </c>
      <c r="G183">
        <v>16.943359375</v>
      </c>
      <c r="H183">
        <v>39.276123046875</v>
      </c>
      <c r="I183">
        <v>35.625</v>
      </c>
      <c r="J183">
        <v>7.3086396106698901</v>
      </c>
      <c r="K183">
        <v>13.5818287346418</v>
      </c>
      <c r="L183">
        <v>101.645950317383</v>
      </c>
    </row>
    <row r="184" spans="1:12" x14ac:dyDescent="0.2">
      <c r="A184" t="s">
        <v>196</v>
      </c>
      <c r="B184">
        <v>0.244140625</v>
      </c>
      <c r="C184">
        <v>189.81036376953099</v>
      </c>
      <c r="D184">
        <v>186.79270935058599</v>
      </c>
      <c r="E184">
        <v>192.41287231445301</v>
      </c>
      <c r="F184">
        <v>21.9970703125</v>
      </c>
      <c r="G184">
        <v>16.0400390625</v>
      </c>
      <c r="H184">
        <v>39.306640625</v>
      </c>
      <c r="I184">
        <v>35.9765625</v>
      </c>
      <c r="J184">
        <v>7.3146689399171301</v>
      </c>
      <c r="K184">
        <v>13.343636547935599</v>
      </c>
      <c r="L184">
        <v>101.645950317383</v>
      </c>
    </row>
    <row r="185" spans="1:12" x14ac:dyDescent="0.2">
      <c r="A185" t="s">
        <v>197</v>
      </c>
      <c r="B185">
        <v>0.244140625</v>
      </c>
      <c r="C185">
        <v>189.72880554199199</v>
      </c>
      <c r="D185">
        <v>186.71115112304699</v>
      </c>
      <c r="E185">
        <v>191.82684326171901</v>
      </c>
      <c r="F185">
        <v>21.97265625</v>
      </c>
      <c r="G185">
        <v>14.9169921875</v>
      </c>
      <c r="H185">
        <v>39.825439453125</v>
      </c>
      <c r="I185">
        <v>33.3984375</v>
      </c>
      <c r="J185">
        <v>7.3037516276041696</v>
      </c>
      <c r="K185">
        <v>13.2394299028867</v>
      </c>
      <c r="L185">
        <v>101.673095703125</v>
      </c>
    </row>
    <row r="186" spans="1:12" x14ac:dyDescent="0.2">
      <c r="A186" t="s">
        <v>198</v>
      </c>
      <c r="B186">
        <v>1.1962890625</v>
      </c>
      <c r="C186">
        <v>189.72880554199199</v>
      </c>
      <c r="D186">
        <v>186.71115112304699</v>
      </c>
      <c r="E186">
        <v>193.09657287597699</v>
      </c>
      <c r="F186">
        <v>22.607421875</v>
      </c>
      <c r="G186">
        <v>19.7265625</v>
      </c>
      <c r="H186">
        <v>39.12353515625</v>
      </c>
      <c r="I186">
        <v>33.8671875</v>
      </c>
      <c r="J186">
        <v>7.3129475911458304</v>
      </c>
      <c r="K186">
        <v>14.030747693156799</v>
      </c>
      <c r="L186">
        <v>101.673095703125</v>
      </c>
    </row>
    <row r="187" spans="1:12" x14ac:dyDescent="0.2">
      <c r="A187" t="s">
        <v>199</v>
      </c>
      <c r="B187">
        <v>0.244140625</v>
      </c>
      <c r="C187">
        <v>190.05503845214801</v>
      </c>
      <c r="D187">
        <v>186.95582580566401</v>
      </c>
      <c r="E187">
        <v>193.97561645507801</v>
      </c>
      <c r="F187">
        <v>22.5830078125</v>
      </c>
      <c r="G187">
        <v>19.5556640625</v>
      </c>
      <c r="H187">
        <v>38.665771484375</v>
      </c>
      <c r="I187">
        <v>36.26953125</v>
      </c>
      <c r="J187">
        <v>7.205810546875</v>
      </c>
      <c r="K187">
        <v>13.9688169073433</v>
      </c>
      <c r="L187">
        <v>101.673095703125</v>
      </c>
    </row>
    <row r="188" spans="1:12" x14ac:dyDescent="0.2">
      <c r="A188" t="s">
        <v>200</v>
      </c>
      <c r="B188">
        <v>1.0986328125</v>
      </c>
      <c r="C188">
        <v>190.05503845214801</v>
      </c>
      <c r="D188">
        <v>187.03738403320301</v>
      </c>
      <c r="E188">
        <v>193.09657287597699</v>
      </c>
      <c r="F188">
        <v>22.8759765625</v>
      </c>
      <c r="G188">
        <v>20.4345703125</v>
      </c>
      <c r="H188">
        <v>38.4521484375</v>
      </c>
      <c r="I188">
        <v>36.328125</v>
      </c>
      <c r="J188">
        <v>7.0615641276041696</v>
      </c>
      <c r="K188">
        <v>14.2221651205966</v>
      </c>
      <c r="L188">
        <v>101.61880493164</v>
      </c>
    </row>
    <row r="189" spans="1:12" x14ac:dyDescent="0.2">
      <c r="A189" t="s">
        <v>201</v>
      </c>
      <c r="B189">
        <v>1.1962890625</v>
      </c>
      <c r="C189">
        <v>189.81036376953099</v>
      </c>
      <c r="D189">
        <v>186.79270935058599</v>
      </c>
      <c r="E189">
        <v>192.60821533203099</v>
      </c>
      <c r="F189">
        <v>22.900390625</v>
      </c>
      <c r="G189">
        <v>19.7998046875</v>
      </c>
      <c r="H189">
        <v>36.62109375</v>
      </c>
      <c r="I189">
        <v>37.03125</v>
      </c>
      <c r="J189">
        <v>7.0078531901041696</v>
      </c>
      <c r="K189">
        <v>13.816909859151799</v>
      </c>
      <c r="L189">
        <v>101.645950317383</v>
      </c>
    </row>
    <row r="190" spans="1:12" x14ac:dyDescent="0.2">
      <c r="A190" t="s">
        <v>202</v>
      </c>
      <c r="B190">
        <v>0.4150390625</v>
      </c>
      <c r="C190">
        <v>189.81036376953099</v>
      </c>
      <c r="D190">
        <v>186.79270935058599</v>
      </c>
      <c r="E190">
        <v>193.58493041992199</v>
      </c>
      <c r="F190">
        <v>22.998046875</v>
      </c>
      <c r="G190">
        <v>19.189453125</v>
      </c>
      <c r="H190">
        <v>37.689208984375</v>
      </c>
      <c r="I190">
        <v>34.04296875</v>
      </c>
      <c r="J190">
        <v>7.0011393229166696</v>
      </c>
      <c r="K190">
        <v>13.886517673486701</v>
      </c>
      <c r="L190">
        <v>101.673095703125</v>
      </c>
    </row>
    <row r="191" spans="1:12" x14ac:dyDescent="0.2">
      <c r="A191" t="s">
        <v>203</v>
      </c>
      <c r="B191">
        <v>0.244140625</v>
      </c>
      <c r="C191">
        <v>190.13659667968801</v>
      </c>
      <c r="D191">
        <v>187.03738403320301</v>
      </c>
      <c r="E191">
        <v>194.17095947265599</v>
      </c>
      <c r="F191">
        <v>23.046875</v>
      </c>
      <c r="G191">
        <v>22.2900390625</v>
      </c>
      <c r="H191">
        <v>37.384033203125</v>
      </c>
      <c r="I191">
        <v>34.21875</v>
      </c>
      <c r="J191">
        <v>6.9875895182291696</v>
      </c>
      <c r="K191">
        <v>14.3940847015272</v>
      </c>
      <c r="L191">
        <v>101.645950317383</v>
      </c>
    </row>
    <row r="192" spans="1:12" x14ac:dyDescent="0.2">
      <c r="A192" t="s">
        <v>204</v>
      </c>
      <c r="B192">
        <v>1.0009765625</v>
      </c>
      <c r="C192">
        <v>190.05503845214801</v>
      </c>
      <c r="D192">
        <v>187.03738403320301</v>
      </c>
      <c r="E192">
        <v>192.41287231445301</v>
      </c>
      <c r="F192">
        <v>23.14453125</v>
      </c>
      <c r="G192">
        <v>22.412109375</v>
      </c>
      <c r="H192">
        <v>36.224365234375</v>
      </c>
      <c r="I192">
        <v>35.21484375</v>
      </c>
      <c r="J192">
        <v>6.9860432942708304</v>
      </c>
      <c r="K192">
        <v>14.273154896352001</v>
      </c>
      <c r="L192">
        <v>101.645950317383</v>
      </c>
    </row>
    <row r="193" spans="1:12" x14ac:dyDescent="0.2">
      <c r="A193" t="s">
        <v>93</v>
      </c>
      <c r="B193">
        <v>0.244140625</v>
      </c>
      <c r="C193">
        <v>189.89192199707</v>
      </c>
      <c r="D193">
        <v>186.95582580566401</v>
      </c>
      <c r="E193">
        <v>191.82684326171901</v>
      </c>
      <c r="F193">
        <v>23.2177734375</v>
      </c>
      <c r="G193">
        <v>22.65625</v>
      </c>
      <c r="H193">
        <v>35.614013671875</v>
      </c>
      <c r="I193">
        <v>33.6328125</v>
      </c>
      <c r="J193">
        <v>6.980712890625</v>
      </c>
      <c r="K193">
        <v>14.2019410550748</v>
      </c>
      <c r="L193">
        <v>101.673095703125</v>
      </c>
    </row>
    <row r="194" spans="1:12" x14ac:dyDescent="0.2">
      <c r="A194" t="s">
        <v>94</v>
      </c>
      <c r="B194">
        <v>0.244140625</v>
      </c>
      <c r="C194">
        <v>189.64724731445301</v>
      </c>
      <c r="D194">
        <v>186.71115112304699</v>
      </c>
      <c r="E194">
        <v>191.24081420898401</v>
      </c>
      <c r="F194">
        <v>22.4609375</v>
      </c>
      <c r="G194">
        <v>22.6806640625</v>
      </c>
      <c r="H194">
        <v>35.888671875</v>
      </c>
      <c r="I194">
        <v>34.5703125</v>
      </c>
      <c r="J194">
        <v>7.0038145286602198</v>
      </c>
      <c r="K194">
        <v>14.017389074987101</v>
      </c>
      <c r="L194">
        <v>101.645950317383</v>
      </c>
    </row>
    <row r="195" spans="1:12" x14ac:dyDescent="0.2">
      <c r="A195" t="s">
        <v>95</v>
      </c>
      <c r="B195">
        <v>0.3173828125</v>
      </c>
      <c r="C195">
        <v>189.56568908691401</v>
      </c>
      <c r="D195">
        <v>186.54803466796901</v>
      </c>
      <c r="E195">
        <v>190.36177062988301</v>
      </c>
      <c r="F195">
        <v>22.412109375</v>
      </c>
      <c r="G195">
        <v>20.068359375</v>
      </c>
      <c r="H195">
        <v>36.895751953125</v>
      </c>
      <c r="I195">
        <v>33.57421875</v>
      </c>
      <c r="J195">
        <v>6.9985945053522096</v>
      </c>
      <c r="K195">
        <v>13.728977636704</v>
      </c>
      <c r="L195">
        <v>101.61880493164</v>
      </c>
    </row>
    <row r="196" spans="1:12" x14ac:dyDescent="0.2">
      <c r="A196" t="s">
        <v>96</v>
      </c>
      <c r="B196">
        <v>0.244140625</v>
      </c>
      <c r="C196">
        <v>189.32101440429699</v>
      </c>
      <c r="D196">
        <v>186.38491821289</v>
      </c>
      <c r="E196">
        <v>190.166427612305</v>
      </c>
      <c r="F196">
        <v>22.16796875</v>
      </c>
      <c r="G196">
        <v>20.4833984375</v>
      </c>
      <c r="H196">
        <v>36.376953125</v>
      </c>
      <c r="I196">
        <v>35.625</v>
      </c>
      <c r="J196">
        <v>6.9702555338541696</v>
      </c>
      <c r="K196">
        <v>13.6431439899184</v>
      </c>
      <c r="L196">
        <v>101.645950317383</v>
      </c>
    </row>
    <row r="197" spans="1:12" x14ac:dyDescent="0.2">
      <c r="A197" t="s">
        <v>97</v>
      </c>
      <c r="B197">
        <v>0.244140625</v>
      </c>
      <c r="C197">
        <v>189.15789794921901</v>
      </c>
      <c r="D197">
        <v>186.30335998535199</v>
      </c>
      <c r="E197">
        <v>190.45944213867199</v>
      </c>
      <c r="F197">
        <v>22.216796875</v>
      </c>
      <c r="G197">
        <v>20.6298828125</v>
      </c>
      <c r="H197">
        <v>39.12353515625</v>
      </c>
      <c r="I197">
        <v>35.625</v>
      </c>
      <c r="J197">
        <v>6.9727783203125</v>
      </c>
      <c r="K197">
        <v>14.0799097756235</v>
      </c>
      <c r="L197">
        <v>101.673095703125</v>
      </c>
    </row>
    <row r="198" spans="1:12" x14ac:dyDescent="0.2">
      <c r="A198" t="s">
        <v>98</v>
      </c>
      <c r="B198">
        <v>0.244140625</v>
      </c>
      <c r="C198">
        <v>189.23945617675801</v>
      </c>
      <c r="D198">
        <v>186.22180175781199</v>
      </c>
      <c r="E198">
        <v>190.26409912109401</v>
      </c>
      <c r="F198">
        <v>22.6318359375</v>
      </c>
      <c r="G198">
        <v>19.04296875</v>
      </c>
      <c r="H198">
        <v>40.4052734375</v>
      </c>
      <c r="I198">
        <v>34.921875</v>
      </c>
      <c r="J198">
        <v>6.9446614583333304</v>
      </c>
      <c r="K198">
        <v>14.124987649731599</v>
      </c>
      <c r="L198">
        <v>101.673095703125</v>
      </c>
    </row>
    <row r="199" spans="1:12" x14ac:dyDescent="0.2">
      <c r="A199" t="s">
        <v>54</v>
      </c>
      <c r="B199">
        <v>0.244140625</v>
      </c>
      <c r="C199">
        <v>189.23945617675801</v>
      </c>
      <c r="D199">
        <v>186.22180175781199</v>
      </c>
      <c r="E199">
        <v>190.75245666503901</v>
      </c>
      <c r="F199">
        <v>22.509765625</v>
      </c>
      <c r="G199">
        <v>20.1904296875</v>
      </c>
      <c r="H199">
        <v>41.68701171875</v>
      </c>
      <c r="I199">
        <v>34.6875</v>
      </c>
      <c r="J199">
        <v>6.9326765366022096</v>
      </c>
      <c r="K199">
        <v>14.5094723483964</v>
      </c>
      <c r="L199">
        <v>101.645950317383</v>
      </c>
    </row>
    <row r="200" spans="1:12" x14ac:dyDescent="0.2">
      <c r="A200" t="s">
        <v>55</v>
      </c>
      <c r="B200">
        <v>0.3173828125</v>
      </c>
      <c r="C200">
        <v>189.15789794921901</v>
      </c>
      <c r="D200">
        <v>186.30335998535199</v>
      </c>
      <c r="E200">
        <v>190.94779968261699</v>
      </c>
      <c r="F200">
        <v>23.0224609375</v>
      </c>
      <c r="G200">
        <v>19.6044921875</v>
      </c>
      <c r="H200">
        <v>41.44287109375</v>
      </c>
      <c r="I200">
        <v>37.44140625</v>
      </c>
      <c r="J200">
        <v>6.9232991536458304</v>
      </c>
      <c r="K200">
        <v>14.473259314184499</v>
      </c>
      <c r="L200">
        <v>101.700241088867</v>
      </c>
    </row>
    <row r="201" spans="1:12" x14ac:dyDescent="0.2">
      <c r="A201" t="s">
        <v>56</v>
      </c>
      <c r="B201">
        <v>0.244140625</v>
      </c>
      <c r="C201">
        <v>189.32101440429699</v>
      </c>
      <c r="D201">
        <v>186.30335998535199</v>
      </c>
      <c r="E201">
        <v>191.72917175293</v>
      </c>
      <c r="F201">
        <v>23.046875</v>
      </c>
      <c r="G201">
        <v>18.2373046875</v>
      </c>
      <c r="H201">
        <v>43.45703125</v>
      </c>
      <c r="I201">
        <v>36.2109375</v>
      </c>
      <c r="J201">
        <v>6.8964029947916696</v>
      </c>
      <c r="K201">
        <v>14.610806953322999</v>
      </c>
      <c r="L201">
        <v>101.673095703125</v>
      </c>
    </row>
    <row r="202" spans="1:12" x14ac:dyDescent="0.2">
      <c r="A202" t="s">
        <v>57</v>
      </c>
      <c r="B202">
        <v>0.244140625</v>
      </c>
      <c r="C202">
        <v>189.40257263183599</v>
      </c>
      <c r="D202">
        <v>186.38491821289</v>
      </c>
      <c r="E202">
        <v>192.11985778808599</v>
      </c>
      <c r="F202">
        <v>23.193359375</v>
      </c>
      <c r="G202">
        <v>18.212890625</v>
      </c>
      <c r="H202">
        <v>42.78564453125</v>
      </c>
      <c r="I202">
        <v>35.33203125</v>
      </c>
      <c r="J202">
        <v>6.929931640625</v>
      </c>
      <c r="K202">
        <v>14.53316149256</v>
      </c>
      <c r="L202">
        <v>101.673095703125</v>
      </c>
    </row>
    <row r="203" spans="1:12" x14ac:dyDescent="0.2">
      <c r="A203" t="s">
        <v>58</v>
      </c>
      <c r="B203">
        <v>1.318359375</v>
      </c>
      <c r="C203">
        <v>189.484130859375</v>
      </c>
      <c r="D203">
        <v>186.54803466796901</v>
      </c>
      <c r="E203">
        <v>192.70588684082</v>
      </c>
      <c r="F203">
        <v>23.193359375</v>
      </c>
      <c r="G203">
        <v>17.0654296875</v>
      </c>
      <c r="H203">
        <v>43.39599609375</v>
      </c>
      <c r="I203">
        <v>34.74609375</v>
      </c>
      <c r="J203">
        <v>6.9487817247928199</v>
      </c>
      <c r="K203">
        <v>14.464161072974001</v>
      </c>
      <c r="L203">
        <v>101.673095703125</v>
      </c>
    </row>
    <row r="204" spans="1:12" x14ac:dyDescent="0.2">
      <c r="A204" t="s">
        <v>59</v>
      </c>
      <c r="B204">
        <v>0.244140625</v>
      </c>
      <c r="C204">
        <v>189.64724731445301</v>
      </c>
      <c r="D204">
        <v>186.62959289550801</v>
      </c>
      <c r="E204">
        <v>192.41287231445301</v>
      </c>
      <c r="F204">
        <v>23.2666015625</v>
      </c>
      <c r="G204">
        <v>16.2841796875</v>
      </c>
      <c r="H204">
        <v>43.64013671875</v>
      </c>
      <c r="I204">
        <v>34.74609375</v>
      </c>
      <c r="J204">
        <v>6.9482421875</v>
      </c>
      <c r="K204">
        <v>14.417335448589199</v>
      </c>
      <c r="L204">
        <v>101.700241088867</v>
      </c>
    </row>
    <row r="205" spans="1:12" x14ac:dyDescent="0.2">
      <c r="A205" t="s">
        <v>60</v>
      </c>
      <c r="B205">
        <v>0.244140625</v>
      </c>
      <c r="C205">
        <v>189.81036376953099</v>
      </c>
      <c r="D205">
        <v>186.71115112304699</v>
      </c>
      <c r="E205">
        <v>193.38958740234401</v>
      </c>
      <c r="F205">
        <v>23.2666015625</v>
      </c>
      <c r="G205">
        <v>16.796875</v>
      </c>
      <c r="H205">
        <v>41.839599609375</v>
      </c>
      <c r="I205">
        <v>36.796875</v>
      </c>
      <c r="J205">
        <v>6.9841715494791696</v>
      </c>
      <c r="K205">
        <v>14.223671039015001</v>
      </c>
      <c r="L205">
        <v>101.700241088867</v>
      </c>
    </row>
    <row r="206" spans="1:12" x14ac:dyDescent="0.2">
      <c r="A206" t="s">
        <v>61</v>
      </c>
      <c r="B206">
        <v>0.2197265625</v>
      </c>
      <c r="C206">
        <v>189.81036376953099</v>
      </c>
      <c r="D206">
        <v>186.79270935058599</v>
      </c>
      <c r="E206">
        <v>192.11985778808599</v>
      </c>
      <c r="F206">
        <v>22.900390625</v>
      </c>
      <c r="G206">
        <v>16.2353515625</v>
      </c>
      <c r="H206">
        <v>41.534423828125</v>
      </c>
      <c r="I206">
        <v>37.3828125</v>
      </c>
      <c r="J206">
        <v>6.9901936848958304</v>
      </c>
      <c r="K206">
        <v>14.025700414333301</v>
      </c>
      <c r="L206">
        <v>101.61880493164</v>
      </c>
    </row>
    <row r="207" spans="1:12" x14ac:dyDescent="0.2">
      <c r="A207" t="s">
        <v>27</v>
      </c>
      <c r="B207">
        <v>2.392578125</v>
      </c>
      <c r="C207">
        <v>189.81036376953099</v>
      </c>
      <c r="D207">
        <v>186.79270935058599</v>
      </c>
      <c r="E207">
        <v>193.68260192871</v>
      </c>
      <c r="F207">
        <v>22.900390625</v>
      </c>
      <c r="G207">
        <v>15.6982421875</v>
      </c>
      <c r="H207">
        <v>40.130615234375</v>
      </c>
      <c r="I207">
        <v>34.51171875</v>
      </c>
      <c r="J207">
        <v>7.048828125</v>
      </c>
      <c r="K207">
        <v>13.6931437316914</v>
      </c>
      <c r="L207">
        <v>101.673095703125</v>
      </c>
    </row>
    <row r="208" spans="1:12" x14ac:dyDescent="0.2">
      <c r="A208" t="s">
        <v>218</v>
      </c>
      <c r="B208">
        <v>0.244140625</v>
      </c>
      <c r="C208">
        <v>189.97348022460901</v>
      </c>
      <c r="D208">
        <v>186.874267578125</v>
      </c>
      <c r="E208">
        <v>192.80355834960901</v>
      </c>
      <c r="F208">
        <v>23.1201171875</v>
      </c>
      <c r="G208">
        <v>16.162109375</v>
      </c>
      <c r="H208">
        <v>39.703369140625</v>
      </c>
      <c r="I208">
        <v>34.921875</v>
      </c>
      <c r="J208">
        <v>7.0508219401041696</v>
      </c>
      <c r="K208">
        <v>13.7591455703979</v>
      </c>
      <c r="L208">
        <v>101.673095703125</v>
      </c>
    </row>
    <row r="209" spans="1:12" x14ac:dyDescent="0.2">
      <c r="A209" t="s">
        <v>219</v>
      </c>
      <c r="B209">
        <v>0.244140625</v>
      </c>
      <c r="C209">
        <v>190.05503845214801</v>
      </c>
      <c r="D209">
        <v>186.95582580566401</v>
      </c>
      <c r="E209">
        <v>192.90122985839801</v>
      </c>
      <c r="F209">
        <v>23.193359375</v>
      </c>
      <c r="G209">
        <v>18.1396484375</v>
      </c>
      <c r="H209">
        <v>38.51318359375</v>
      </c>
      <c r="I209">
        <v>35.9765625</v>
      </c>
      <c r="J209">
        <v>7.0327230272346402</v>
      </c>
      <c r="K209">
        <v>13.925469415170699</v>
      </c>
      <c r="L209">
        <v>101.645950317383</v>
      </c>
    </row>
    <row r="210" spans="1:12" x14ac:dyDescent="0.2">
      <c r="A210" t="s">
        <v>220</v>
      </c>
      <c r="B210">
        <v>0.2197265625</v>
      </c>
      <c r="C210">
        <v>189.81036376953099</v>
      </c>
      <c r="D210">
        <v>186.79270935058599</v>
      </c>
      <c r="E210">
        <v>191.82684326171901</v>
      </c>
      <c r="F210">
        <v>23.0224609375</v>
      </c>
      <c r="G210">
        <v>20.80078125</v>
      </c>
      <c r="H210">
        <v>38.543701171875</v>
      </c>
      <c r="I210">
        <v>35.15625</v>
      </c>
      <c r="J210">
        <v>7.0774048533519496</v>
      </c>
      <c r="K210">
        <v>14.307632314702399</v>
      </c>
      <c r="L210">
        <v>101.61880493164</v>
      </c>
    </row>
    <row r="211" spans="1:12" x14ac:dyDescent="0.2">
      <c r="A211" t="s">
        <v>221</v>
      </c>
      <c r="B211">
        <v>0.3173828125</v>
      </c>
      <c r="C211">
        <v>189.72880554199199</v>
      </c>
      <c r="D211">
        <v>186.71115112304699</v>
      </c>
      <c r="E211">
        <v>192.02218627929699</v>
      </c>
      <c r="F211">
        <v>22.9736328125</v>
      </c>
      <c r="G211">
        <v>20.2392578125</v>
      </c>
      <c r="H211">
        <v>38.26904296875</v>
      </c>
      <c r="I211">
        <v>34.453125</v>
      </c>
      <c r="J211">
        <v>7.0745369557584299</v>
      </c>
      <c r="K211">
        <v>14.135681155550801</v>
      </c>
      <c r="L211">
        <v>101.673095703125</v>
      </c>
    </row>
    <row r="212" spans="1:12" x14ac:dyDescent="0.2">
      <c r="A212" t="s">
        <v>222</v>
      </c>
      <c r="B212">
        <v>0.244140625</v>
      </c>
      <c r="C212">
        <v>189.72880554199199</v>
      </c>
      <c r="D212">
        <v>186.79270935058599</v>
      </c>
      <c r="E212">
        <v>191.43615722656199</v>
      </c>
      <c r="F212">
        <v>22.4853515625</v>
      </c>
      <c r="G212">
        <v>18.7744140625</v>
      </c>
      <c r="H212">
        <v>37.78076171875</v>
      </c>
      <c r="I212">
        <v>34.8046875</v>
      </c>
      <c r="J212">
        <v>7.0730556530898898</v>
      </c>
      <c r="K212">
        <v>13.6850544897924</v>
      </c>
      <c r="L212">
        <v>101.700241088867</v>
      </c>
    </row>
    <row r="213" spans="1:12" x14ac:dyDescent="0.2">
      <c r="A213" t="s">
        <v>223</v>
      </c>
      <c r="B213">
        <v>0.29296875</v>
      </c>
      <c r="C213">
        <v>189.72880554199199</v>
      </c>
      <c r="D213">
        <v>186.71115112304699</v>
      </c>
      <c r="E213">
        <v>191.43615722656199</v>
      </c>
      <c r="F213">
        <v>22.5830078125</v>
      </c>
      <c r="G213">
        <v>18.5546875</v>
      </c>
      <c r="H213">
        <v>37.4755859375</v>
      </c>
      <c r="I213">
        <v>35.2734375</v>
      </c>
      <c r="J213">
        <v>7.0446156647245797</v>
      </c>
      <c r="K213">
        <v>13.646219660864899</v>
      </c>
      <c r="L213">
        <v>101.61880493164</v>
      </c>
    </row>
    <row r="214" spans="1:12" x14ac:dyDescent="0.2">
      <c r="A214" t="s">
        <v>105</v>
      </c>
      <c r="B214">
        <v>0.244140625</v>
      </c>
      <c r="C214">
        <v>189.484130859375</v>
      </c>
      <c r="D214">
        <v>186.54803466796901</v>
      </c>
      <c r="E214">
        <v>190.94779968261699</v>
      </c>
      <c r="F214">
        <v>22.6806640625</v>
      </c>
      <c r="G214">
        <v>18.8232421875</v>
      </c>
      <c r="H214">
        <v>38.39111328125</v>
      </c>
      <c r="I214">
        <v>34.3359375</v>
      </c>
      <c r="J214">
        <v>7.0421742584745797</v>
      </c>
      <c r="K214">
        <v>13.8267773867308</v>
      </c>
      <c r="L214">
        <v>101.645950317383</v>
      </c>
    </row>
    <row r="215" spans="1:12" x14ac:dyDescent="0.2">
      <c r="A215" t="s">
        <v>28</v>
      </c>
      <c r="B215">
        <v>2.5146484375</v>
      </c>
      <c r="C215">
        <v>189.484130859375</v>
      </c>
      <c r="D215">
        <v>186.46647644043</v>
      </c>
      <c r="E215">
        <v>192.70588684082</v>
      </c>
      <c r="F215">
        <v>22.6318359375</v>
      </c>
      <c r="G215">
        <v>21.6064453125</v>
      </c>
      <c r="H215">
        <v>39.825439453125</v>
      </c>
      <c r="I215">
        <v>33.984375</v>
      </c>
      <c r="J215">
        <v>7.0562264088834299</v>
      </c>
      <c r="K215">
        <v>14.464273529810001</v>
      </c>
      <c r="L215">
        <v>101.645950317383</v>
      </c>
    </row>
    <row r="216" spans="1:12" x14ac:dyDescent="0.2">
      <c r="A216" t="s">
        <v>29</v>
      </c>
      <c r="B216">
        <v>0.244140625</v>
      </c>
      <c r="C216">
        <v>189.72880554199199</v>
      </c>
      <c r="D216">
        <v>186.62959289550801</v>
      </c>
      <c r="E216">
        <v>192.217529296875</v>
      </c>
      <c r="F216">
        <v>22.4853515625</v>
      </c>
      <c r="G216">
        <v>18.505859375</v>
      </c>
      <c r="H216">
        <v>39.24560546875</v>
      </c>
      <c r="I216">
        <v>36.85546875</v>
      </c>
      <c r="J216">
        <v>7.0009244425912902</v>
      </c>
      <c r="K216">
        <v>13.865903306666301</v>
      </c>
      <c r="L216">
        <v>101.645950317383</v>
      </c>
    </row>
    <row r="217" spans="1:12" x14ac:dyDescent="0.2">
      <c r="A217" t="s">
        <v>30</v>
      </c>
      <c r="B217">
        <v>2.783203125</v>
      </c>
      <c r="C217">
        <v>189.81036376953099</v>
      </c>
      <c r="D217">
        <v>186.79270935058599</v>
      </c>
      <c r="E217">
        <v>191.143142700195</v>
      </c>
      <c r="F217">
        <v>22.509765625</v>
      </c>
      <c r="G217">
        <v>18.7744140625</v>
      </c>
      <c r="H217">
        <v>39.4287109375</v>
      </c>
      <c r="I217">
        <v>36.03515625</v>
      </c>
      <c r="J217">
        <v>6.9793667074022299</v>
      </c>
      <c r="K217">
        <v>13.9901490585478</v>
      </c>
      <c r="L217">
        <v>101.61880493164</v>
      </c>
    </row>
    <row r="218" spans="1:12" x14ac:dyDescent="0.2">
      <c r="A218" t="s">
        <v>31</v>
      </c>
      <c r="B218">
        <v>0.244140625</v>
      </c>
      <c r="C218">
        <v>189.64724731445301</v>
      </c>
      <c r="D218">
        <v>186.62959289550801</v>
      </c>
      <c r="E218">
        <v>191.72917175293</v>
      </c>
      <c r="F218">
        <v>22.94921875</v>
      </c>
      <c r="G218">
        <v>18.4326171875</v>
      </c>
      <c r="H218">
        <v>38.360595703125</v>
      </c>
      <c r="I218">
        <v>35.21484375</v>
      </c>
      <c r="J218">
        <v>7.0055129408170398</v>
      </c>
      <c r="K218">
        <v>13.8481410724673</v>
      </c>
      <c r="L218">
        <v>101.673095703125</v>
      </c>
    </row>
    <row r="219" spans="1:12" x14ac:dyDescent="0.2">
      <c r="A219" t="s">
        <v>32</v>
      </c>
      <c r="B219">
        <v>0.244140625</v>
      </c>
      <c r="C219">
        <v>189.56568908691401</v>
      </c>
      <c r="D219">
        <v>186.54803466796901</v>
      </c>
      <c r="E219">
        <v>192.90122985839801</v>
      </c>
      <c r="F219">
        <v>22.9248046875</v>
      </c>
      <c r="G219">
        <v>19.6533203125</v>
      </c>
      <c r="H219">
        <v>39.642333984375</v>
      </c>
      <c r="I219">
        <v>34.5703125</v>
      </c>
      <c r="J219">
        <v>7.0018721944060802</v>
      </c>
      <c r="K219">
        <v>14.2808456691514</v>
      </c>
      <c r="L219">
        <v>101.320205688477</v>
      </c>
    </row>
    <row r="220" spans="1:12" x14ac:dyDescent="0.2">
      <c r="A220" t="s">
        <v>33</v>
      </c>
      <c r="B220">
        <v>0.2197265625</v>
      </c>
      <c r="C220">
        <v>189.64724731445301</v>
      </c>
      <c r="D220">
        <v>186.71115112304699</v>
      </c>
      <c r="E220">
        <v>192.70588684082</v>
      </c>
      <c r="F220">
        <v>23.2177734375</v>
      </c>
      <c r="G220">
        <v>21.875</v>
      </c>
      <c r="H220">
        <v>40.435791015625</v>
      </c>
      <c r="I220">
        <v>35.56640625</v>
      </c>
      <c r="J220">
        <v>6.9912702866022096</v>
      </c>
      <c r="K220">
        <v>15.065157918388801</v>
      </c>
      <c r="L220">
        <v>100.017227172852</v>
      </c>
    </row>
    <row r="221" spans="1:12" x14ac:dyDescent="0.2">
      <c r="A221" t="s">
        <v>34</v>
      </c>
      <c r="B221">
        <v>4.8095703125</v>
      </c>
      <c r="C221">
        <v>189.64724731445301</v>
      </c>
      <c r="D221">
        <v>186.79270935058599</v>
      </c>
      <c r="E221">
        <v>191.82684326171901</v>
      </c>
      <c r="F221">
        <v>23.095703125</v>
      </c>
      <c r="G221">
        <v>19.287109375</v>
      </c>
      <c r="H221">
        <v>40.496826171875</v>
      </c>
      <c r="I221">
        <v>35.625</v>
      </c>
      <c r="J221">
        <v>6.9852294921875</v>
      </c>
      <c r="K221">
        <v>14.639081048688899</v>
      </c>
      <c r="L221">
        <v>100.04437255859401</v>
      </c>
    </row>
    <row r="222" spans="1:12" x14ac:dyDescent="0.2">
      <c r="A222" t="s">
        <v>35</v>
      </c>
      <c r="B222">
        <v>0.244140625</v>
      </c>
      <c r="C222">
        <v>189.56568908691401</v>
      </c>
      <c r="D222">
        <v>186.62959289550801</v>
      </c>
      <c r="E222">
        <v>191.143142700195</v>
      </c>
      <c r="F222">
        <v>22.94921875</v>
      </c>
      <c r="G222">
        <v>18.6279296875</v>
      </c>
      <c r="H222">
        <v>39.24560546875</v>
      </c>
      <c r="I222">
        <v>35.5078125</v>
      </c>
      <c r="J222">
        <v>7.0109049479166696</v>
      </c>
      <c r="K222">
        <v>14.1922150260175</v>
      </c>
      <c r="L222">
        <v>100.61442565918</v>
      </c>
    </row>
    <row r="223" spans="1:12" x14ac:dyDescent="0.2">
      <c r="A223" t="s">
        <v>114</v>
      </c>
      <c r="B223">
        <v>0.244140625</v>
      </c>
      <c r="C223">
        <v>189.56568908691401</v>
      </c>
      <c r="D223">
        <v>186.54803466796901</v>
      </c>
      <c r="E223">
        <v>192.99890136718801</v>
      </c>
      <c r="F223">
        <v>22.8515625</v>
      </c>
      <c r="G223">
        <v>18.65234375</v>
      </c>
      <c r="H223">
        <v>39.36767578125</v>
      </c>
      <c r="I223">
        <v>33.22265625</v>
      </c>
      <c r="J223">
        <v>7.0281341721339796</v>
      </c>
      <c r="K223">
        <v>14.0631645049043</v>
      </c>
      <c r="L223">
        <v>101.23876953125</v>
      </c>
    </row>
    <row r="224" spans="1:12" x14ac:dyDescent="0.2">
      <c r="A224" t="s">
        <v>115</v>
      </c>
      <c r="B224">
        <v>0.244140625</v>
      </c>
      <c r="C224">
        <v>189.64724731445301</v>
      </c>
      <c r="D224">
        <v>186.71115112304699</v>
      </c>
      <c r="E224">
        <v>192.11985778808599</v>
      </c>
      <c r="F224">
        <v>22.900390625</v>
      </c>
      <c r="G224">
        <v>18.9208984375</v>
      </c>
      <c r="H224">
        <v>39.459228515625</v>
      </c>
      <c r="I224">
        <v>34.21875</v>
      </c>
      <c r="J224">
        <v>7.0019938151041696</v>
      </c>
      <c r="K224">
        <v>14.145343202986</v>
      </c>
      <c r="L224">
        <v>101.23876953125</v>
      </c>
    </row>
    <row r="225" spans="1:12" x14ac:dyDescent="0.2">
      <c r="A225" t="s">
        <v>116</v>
      </c>
      <c r="B225">
        <v>0.244140625</v>
      </c>
      <c r="C225">
        <v>189.64724731445301</v>
      </c>
      <c r="D225">
        <v>186.62959289550801</v>
      </c>
      <c r="E225">
        <v>191.92451477050801</v>
      </c>
      <c r="F225">
        <v>22.9736328125</v>
      </c>
      <c r="G225">
        <v>17.87109375</v>
      </c>
      <c r="H225">
        <v>40.6494140625</v>
      </c>
      <c r="I225">
        <v>36.26953125</v>
      </c>
      <c r="J225">
        <v>6.9938600656077297</v>
      </c>
      <c r="K225">
        <v>14.212409918616199</v>
      </c>
      <c r="L225">
        <v>101.211624145508</v>
      </c>
    </row>
    <row r="226" spans="1:12" x14ac:dyDescent="0.2">
      <c r="A226" t="s">
        <v>117</v>
      </c>
      <c r="B226">
        <v>0.244140625</v>
      </c>
      <c r="C226">
        <v>189.484130859375</v>
      </c>
      <c r="D226">
        <v>186.54803466796901</v>
      </c>
      <c r="E226">
        <v>191.24081420898401</v>
      </c>
      <c r="F226">
        <v>22.509765625</v>
      </c>
      <c r="G226">
        <v>18.798828125</v>
      </c>
      <c r="H226">
        <v>39.886474609375</v>
      </c>
      <c r="I226">
        <v>35.44921875</v>
      </c>
      <c r="J226">
        <v>6.9805065176105003</v>
      </c>
      <c r="K226">
        <v>14.0934327530326</v>
      </c>
      <c r="L226">
        <v>101.29306030273401</v>
      </c>
    </row>
    <row r="227" spans="1:12" x14ac:dyDescent="0.2">
      <c r="A227" t="s">
        <v>118</v>
      </c>
      <c r="B227">
        <v>2.099609375</v>
      </c>
      <c r="C227">
        <v>189.484130859375</v>
      </c>
      <c r="D227">
        <v>186.54803466796901</v>
      </c>
      <c r="E227">
        <v>193.09657287597699</v>
      </c>
      <c r="F227">
        <v>22.607421875</v>
      </c>
      <c r="G227">
        <v>17.1630859375</v>
      </c>
      <c r="H227">
        <v>40.313720703125</v>
      </c>
      <c r="I227">
        <v>35.56640625</v>
      </c>
      <c r="J227">
        <v>6.9692571650552502</v>
      </c>
      <c r="K227">
        <v>13.8845229714069</v>
      </c>
      <c r="L227">
        <v>101.320205688477</v>
      </c>
    </row>
    <row r="228" spans="1:12" x14ac:dyDescent="0.2">
      <c r="A228" t="s">
        <v>119</v>
      </c>
      <c r="B228">
        <v>0.2197265625</v>
      </c>
      <c r="C228">
        <v>189.64724731445301</v>
      </c>
      <c r="D228">
        <v>186.62959289550801</v>
      </c>
      <c r="E228">
        <v>192.60821533203099</v>
      </c>
      <c r="F228">
        <v>22.94921875</v>
      </c>
      <c r="G228">
        <v>17.0654296875</v>
      </c>
      <c r="H228">
        <v>39.794921875</v>
      </c>
      <c r="I228">
        <v>35.68359375</v>
      </c>
      <c r="J228">
        <v>6.9475504557291696</v>
      </c>
      <c r="K228">
        <v>13.9061592046586</v>
      </c>
      <c r="L228">
        <v>101.320205688477</v>
      </c>
    </row>
    <row r="229" spans="1:12" x14ac:dyDescent="0.2">
      <c r="A229" t="s">
        <v>120</v>
      </c>
      <c r="B229">
        <v>0.244140625</v>
      </c>
      <c r="C229">
        <v>189.64724731445301</v>
      </c>
      <c r="D229">
        <v>186.71115112304699</v>
      </c>
      <c r="E229">
        <v>191.53382873535199</v>
      </c>
      <c r="F229">
        <v>22.9248046875</v>
      </c>
      <c r="G229">
        <v>18.408203125</v>
      </c>
      <c r="H229">
        <v>40.435791015625</v>
      </c>
      <c r="I229">
        <v>34.04296875</v>
      </c>
      <c r="J229">
        <v>6.9548571709148002</v>
      </c>
      <c r="K229">
        <v>14.222782516112</v>
      </c>
      <c r="L229">
        <v>101.401641845703</v>
      </c>
    </row>
    <row r="230" spans="1:12" x14ac:dyDescent="0.2">
      <c r="A230" t="s">
        <v>121</v>
      </c>
      <c r="B230">
        <v>0.244140625</v>
      </c>
      <c r="C230">
        <v>189.484130859375</v>
      </c>
      <c r="D230">
        <v>186.54803466796901</v>
      </c>
      <c r="E230">
        <v>191.143142700195</v>
      </c>
      <c r="F230">
        <v>23.2421875</v>
      </c>
      <c r="G230">
        <v>18.7255859375</v>
      </c>
      <c r="H230">
        <v>39.886474609375</v>
      </c>
      <c r="I230">
        <v>34.6875</v>
      </c>
      <c r="J230">
        <v>6.94516985603933</v>
      </c>
      <c r="K230">
        <v>14.2257557074576</v>
      </c>
      <c r="L230">
        <v>101.455932617188</v>
      </c>
    </row>
    <row r="231" spans="1:12" x14ac:dyDescent="0.2">
      <c r="A231" t="s">
        <v>8</v>
      </c>
      <c r="B231">
        <v>2.294921875</v>
      </c>
      <c r="C231">
        <v>189.64724731445301</v>
      </c>
      <c r="D231">
        <v>186.62959289550801</v>
      </c>
      <c r="E231">
        <v>192.02218627929699</v>
      </c>
      <c r="F231">
        <v>23.14453125</v>
      </c>
      <c r="G231">
        <v>20.654296875</v>
      </c>
      <c r="H231">
        <v>40.283203125</v>
      </c>
      <c r="I231">
        <v>35.44921875</v>
      </c>
      <c r="J231">
        <v>6.9592422313904496</v>
      </c>
      <c r="K231">
        <v>14.58179506456</v>
      </c>
      <c r="L231">
        <v>101.428787231445</v>
      </c>
    </row>
    <row r="232" spans="1:12" x14ac:dyDescent="0.2">
      <c r="A232" t="s">
        <v>9</v>
      </c>
      <c r="B232">
        <v>5.078125</v>
      </c>
      <c r="C232">
        <v>189.56568908691401</v>
      </c>
      <c r="D232">
        <v>186.54803466796901</v>
      </c>
      <c r="E232">
        <v>192.02218627929699</v>
      </c>
      <c r="F232">
        <v>22.607421875</v>
      </c>
      <c r="G232">
        <v>18.0908203125</v>
      </c>
      <c r="H232">
        <v>41.351318359375</v>
      </c>
      <c r="I232">
        <v>35.2734375</v>
      </c>
      <c r="J232">
        <v>6.9678008690309001</v>
      </c>
      <c r="K232">
        <v>14.2196168944624</v>
      </c>
      <c r="L232">
        <v>101.48307800293</v>
      </c>
    </row>
    <row r="233" spans="1:12" x14ac:dyDescent="0.2">
      <c r="A233" t="s">
        <v>10</v>
      </c>
      <c r="B233">
        <v>0.244140625</v>
      </c>
      <c r="C233">
        <v>189.64724731445301</v>
      </c>
      <c r="D233">
        <v>186.54803466796901</v>
      </c>
      <c r="E233">
        <v>193.58493041992199</v>
      </c>
      <c r="F233">
        <v>22.7783203125</v>
      </c>
      <c r="G233">
        <v>17.2119140625</v>
      </c>
      <c r="H233">
        <v>40.52734375</v>
      </c>
      <c r="I233">
        <v>33.33984375</v>
      </c>
      <c r="J233">
        <v>6.9831076632724702</v>
      </c>
      <c r="K233">
        <v>13.942828789285199</v>
      </c>
      <c r="L233">
        <v>101.56451416015599</v>
      </c>
    </row>
    <row r="234" spans="1:12" x14ac:dyDescent="0.2">
      <c r="A234" t="s">
        <v>11</v>
      </c>
      <c r="B234">
        <v>3.6865234375</v>
      </c>
      <c r="C234">
        <v>189.81036376953099</v>
      </c>
      <c r="D234">
        <v>186.79270935058599</v>
      </c>
      <c r="E234">
        <v>193.09657287597699</v>
      </c>
      <c r="F234">
        <v>22.5830078125</v>
      </c>
      <c r="G234">
        <v>17.431640625</v>
      </c>
      <c r="H234">
        <v>40.618896484375</v>
      </c>
      <c r="I234">
        <v>33.33984375</v>
      </c>
      <c r="J234">
        <v>6.9898969671699396</v>
      </c>
      <c r="K234">
        <v>13.9819803201282</v>
      </c>
      <c r="L234">
        <v>101.56451416015599</v>
      </c>
    </row>
    <row r="235" spans="1:12" x14ac:dyDescent="0.2">
      <c r="A235" t="s">
        <v>12</v>
      </c>
      <c r="B235">
        <v>0.4150390625</v>
      </c>
      <c r="C235">
        <v>189.81036376953099</v>
      </c>
      <c r="D235">
        <v>186.79270935058599</v>
      </c>
      <c r="E235">
        <v>192.31520080566401</v>
      </c>
      <c r="F235">
        <v>22.5830078125</v>
      </c>
      <c r="G235">
        <v>16.748046875</v>
      </c>
      <c r="H235">
        <v>40.52734375</v>
      </c>
      <c r="I235">
        <v>36.5625</v>
      </c>
      <c r="J235">
        <v>6.9638095812851102</v>
      </c>
      <c r="K235">
        <v>13.871455458754999</v>
      </c>
      <c r="L235">
        <v>101.53736877441401</v>
      </c>
    </row>
    <row r="236" spans="1:12" x14ac:dyDescent="0.2">
      <c r="A236" s="338" t="s">
        <v>642</v>
      </c>
      <c r="C236" s="264">
        <f>AVERAGE(C2:C235)</f>
        <v>189.681404178978</v>
      </c>
      <c r="D236" s="264">
        <f t="shared" ref="D236:L236" si="0">AVERAGE(D2:D235)</f>
        <v>186.83070014888409</v>
      </c>
      <c r="E236" s="264">
        <f t="shared" si="0"/>
        <v>192.0242732773479</v>
      </c>
      <c r="F236" s="264">
        <f t="shared" si="0"/>
        <v>22.844154814369659</v>
      </c>
      <c r="G236" s="264">
        <f t="shared" si="0"/>
        <v>19.182254106570515</v>
      </c>
      <c r="H236" s="264">
        <f t="shared" si="0"/>
        <v>39.389194586338142</v>
      </c>
      <c r="I236" s="264">
        <f t="shared" si="0"/>
        <v>35.179537259615387</v>
      </c>
      <c r="J236" s="264">
        <f t="shared" si="0"/>
        <v>7.0025238775800256</v>
      </c>
      <c r="K236" s="264">
        <f t="shared" si="0"/>
        <v>14.146196686299609</v>
      </c>
      <c r="L236" s="264">
        <f t="shared" si="0"/>
        <v>101.48887829902839</v>
      </c>
    </row>
    <row r="237" spans="1:12" x14ac:dyDescent="0.2">
      <c r="A237" s="417" t="s">
        <v>480</v>
      </c>
      <c r="C237" s="410">
        <f>STDEV(C2:C235)</f>
        <v>0.1857784320270037</v>
      </c>
      <c r="D237" s="410">
        <f t="shared" ref="D237:L237" si="1">STDEV(D2:D235)</f>
        <v>0.19132520697693164</v>
      </c>
      <c r="E237" s="410">
        <f t="shared" si="1"/>
        <v>0.90465775289754768</v>
      </c>
      <c r="F237" s="410">
        <f t="shared" si="1"/>
        <v>0.39490886733564368</v>
      </c>
      <c r="G237" s="411">
        <f t="shared" si="1"/>
        <v>1.9319151524814315</v>
      </c>
      <c r="H237" s="412">
        <f t="shared" si="1"/>
        <v>1.411433869724215</v>
      </c>
      <c r="I237" s="412">
        <f t="shared" si="1"/>
        <v>1.1995747942249466</v>
      </c>
      <c r="J237" s="412">
        <f t="shared" si="1"/>
        <v>9.8126928999286364E-2</v>
      </c>
      <c r="K237" s="413">
        <f t="shared" si="1"/>
        <v>0.3600202986452738</v>
      </c>
      <c r="L237" s="410">
        <f t="shared" si="1"/>
        <v>0.3982293310091945</v>
      </c>
    </row>
    <row r="238" spans="1:12" x14ac:dyDescent="0.2">
      <c r="G238" s="210"/>
      <c r="H238" s="210"/>
      <c r="I238" s="210"/>
      <c r="J238" s="210"/>
      <c r="K238" s="210"/>
    </row>
  </sheetData>
  <phoneticPr fontId="43" type="noConversion"/>
  <pageMargins left="0.7" right="0.7" top="0.75" bottom="0.75" header="0.3" footer="0.3"/>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I105"/>
  <sheetViews>
    <sheetView showGridLines="0" workbookViewId="0">
      <selection activeCell="D37" sqref="D37"/>
    </sheetView>
  </sheetViews>
  <sheetFormatPr defaultColWidth="8.85546875" defaultRowHeight="12.75" x14ac:dyDescent="0.2"/>
  <cols>
    <col min="1" max="1" width="13.7109375" style="1" customWidth="1"/>
    <col min="2" max="2" width="5.7109375" customWidth="1"/>
    <col min="3" max="3" width="18.28515625" style="144" customWidth="1"/>
    <col min="4" max="4" width="8.85546875" style="1"/>
    <col min="5" max="5" width="10" style="1" customWidth="1"/>
  </cols>
  <sheetData>
    <row r="2" spans="1:9" x14ac:dyDescent="0.2">
      <c r="A2" s="147"/>
      <c r="B2" s="148"/>
      <c r="C2" s="149"/>
      <c r="D2" s="150" t="s">
        <v>521</v>
      </c>
      <c r="E2" s="151" t="s">
        <v>458</v>
      </c>
      <c r="I2" t="s">
        <v>477</v>
      </c>
    </row>
    <row r="3" spans="1:9" x14ac:dyDescent="0.2">
      <c r="A3" s="152" t="s">
        <v>522</v>
      </c>
      <c r="B3" s="34"/>
      <c r="C3" s="153" t="s">
        <v>394</v>
      </c>
      <c r="D3" s="154" t="s">
        <v>395</v>
      </c>
      <c r="E3" s="155" t="s">
        <v>395</v>
      </c>
      <c r="I3" t="s">
        <v>478</v>
      </c>
    </row>
    <row r="4" spans="1:9" ht="4.3499999999999996" customHeight="1" thickBot="1" x14ac:dyDescent="0.25">
      <c r="A4" s="156"/>
      <c r="B4" s="157"/>
      <c r="C4" s="158"/>
      <c r="D4" s="159"/>
      <c r="E4" s="160"/>
      <c r="I4" t="s">
        <v>361</v>
      </c>
    </row>
    <row r="5" spans="1:9" x14ac:dyDescent="0.2">
      <c r="A5" s="147" t="s">
        <v>372</v>
      </c>
      <c r="B5" s="148"/>
      <c r="C5" s="149" t="s">
        <v>372</v>
      </c>
      <c r="D5" s="161">
        <f>Carbon_Balance!F28/Carbon_Balance!C28</f>
        <v>0.84739925105529568</v>
      </c>
      <c r="E5" s="162">
        <f>D5/$D$10</f>
        <v>0.97964051791582663</v>
      </c>
      <c r="I5" t="s">
        <v>362</v>
      </c>
    </row>
    <row r="6" spans="1:9" x14ac:dyDescent="0.2">
      <c r="A6" s="152" t="s">
        <v>372</v>
      </c>
      <c r="B6" s="34"/>
      <c r="C6" s="153" t="s">
        <v>396</v>
      </c>
      <c r="D6" s="163">
        <f>(Carbon_Balance!J28-Carbon_Balance!J29-Carbon_Balance!I28)/Carbon_Balance!J28*Carbon_Balance!K28/Carbon_Balance!C28</f>
        <v>-1.0614130115983614E-17</v>
      </c>
      <c r="E6" s="164">
        <f>D6/$D$10</f>
        <v>-1.2270522910067634E-17</v>
      </c>
      <c r="I6" t="s">
        <v>361</v>
      </c>
    </row>
    <row r="7" spans="1:9" x14ac:dyDescent="0.2">
      <c r="A7" s="152" t="s">
        <v>372</v>
      </c>
      <c r="B7" s="34"/>
      <c r="C7" s="153" t="s">
        <v>496</v>
      </c>
      <c r="D7" s="165">
        <f>Carbon_Balance!K29/Carbon_Balance!C28</f>
        <v>1.7611164048937988E-2</v>
      </c>
      <c r="E7" s="164">
        <f>D7/$D$10</f>
        <v>2.0359482084173337E-2</v>
      </c>
    </row>
    <row r="8" spans="1:9" x14ac:dyDescent="0.2">
      <c r="A8" s="152" t="s">
        <v>372</v>
      </c>
      <c r="B8" s="34"/>
      <c r="C8" s="153" t="s">
        <v>240</v>
      </c>
      <c r="D8" s="163">
        <f>'Flow Rates &amp; Concentrations'!B101</f>
        <v>0</v>
      </c>
      <c r="E8" s="164">
        <f>D8/$D$10</f>
        <v>0</v>
      </c>
      <c r="I8" t="s">
        <v>479</v>
      </c>
    </row>
    <row r="9" spans="1:9" x14ac:dyDescent="0.2">
      <c r="A9" s="152" t="s">
        <v>372</v>
      </c>
      <c r="B9" s="34"/>
      <c r="C9" s="153" t="s">
        <v>369</v>
      </c>
      <c r="D9" s="163">
        <f>'Flow Rates &amp; Concentrations'!B104</f>
        <v>0</v>
      </c>
      <c r="E9" s="164">
        <f>D9/$D$10</f>
        <v>0</v>
      </c>
    </row>
    <row r="10" spans="1:9" x14ac:dyDescent="0.2">
      <c r="A10" s="152"/>
      <c r="B10" s="34"/>
      <c r="C10" s="166" t="s">
        <v>397</v>
      </c>
      <c r="D10" s="163">
        <f>SUM(D5:D9)</f>
        <v>0.86501041510423371</v>
      </c>
      <c r="E10" s="164">
        <f>SUM(E5:E9)</f>
        <v>1</v>
      </c>
    </row>
    <row r="11" spans="1:9" x14ac:dyDescent="0.2">
      <c r="A11" s="167"/>
      <c r="B11" s="145"/>
      <c r="C11" s="168"/>
      <c r="D11" s="28"/>
      <c r="E11" s="169"/>
    </row>
    <row r="12" spans="1:9" x14ac:dyDescent="0.2">
      <c r="A12" s="152" t="s">
        <v>398</v>
      </c>
      <c r="B12" s="34"/>
      <c r="C12" s="153" t="s">
        <v>398</v>
      </c>
      <c r="D12" s="163" t="s">
        <v>399</v>
      </c>
      <c r="E12" s="164"/>
    </row>
    <row r="13" spans="1:9" x14ac:dyDescent="0.2">
      <c r="A13" s="152" t="s">
        <v>398</v>
      </c>
      <c r="B13" s="34"/>
      <c r="C13" s="153" t="s">
        <v>396</v>
      </c>
      <c r="D13" s="163" t="s">
        <v>399</v>
      </c>
      <c r="E13" s="164"/>
    </row>
    <row r="14" spans="1:9" x14ac:dyDescent="0.2">
      <c r="A14" s="152" t="s">
        <v>398</v>
      </c>
      <c r="B14" s="34"/>
      <c r="C14" s="153" t="s">
        <v>240</v>
      </c>
      <c r="D14" s="163" t="s">
        <v>399</v>
      </c>
      <c r="E14" s="164"/>
    </row>
    <row r="15" spans="1:9" x14ac:dyDescent="0.2">
      <c r="A15" s="152" t="s">
        <v>398</v>
      </c>
      <c r="B15" s="34"/>
      <c r="C15" s="153" t="s">
        <v>369</v>
      </c>
      <c r="D15" s="163" t="s">
        <v>399</v>
      </c>
      <c r="E15" s="164"/>
    </row>
    <row r="16" spans="1:9" x14ac:dyDescent="0.2">
      <c r="A16" s="167"/>
      <c r="B16" s="145"/>
      <c r="C16" s="168"/>
      <c r="D16" s="28"/>
      <c r="E16" s="169"/>
    </row>
    <row r="17" spans="1:5" x14ac:dyDescent="0.2">
      <c r="A17" s="147" t="s">
        <v>504</v>
      </c>
      <c r="B17" s="148"/>
      <c r="C17" s="149" t="s">
        <v>504</v>
      </c>
      <c r="D17" s="161">
        <f>Carbon_Balance!F32/Carbon_Balance!C32</f>
        <v>7.0534522660190752E-2</v>
      </c>
      <c r="E17" s="162">
        <f>D17*(1-'Flow Rates &amp; Concentrations'!$B$108)/$D$22</f>
        <v>9.3174455721991553E-2</v>
      </c>
    </row>
    <row r="18" spans="1:5" x14ac:dyDescent="0.2">
      <c r="A18" s="152" t="s">
        <v>504</v>
      </c>
      <c r="B18" s="34"/>
      <c r="C18" s="153" t="s">
        <v>400</v>
      </c>
      <c r="D18" s="316">
        <f>(Carbon_Balance!J32-Carbon_Balance!I32)/Carbon_Balance!J32*Carbon_Balance!K32/Carbon_Balance!C32</f>
        <v>8.594751068724181E-2</v>
      </c>
      <c r="E18" s="164">
        <f>D18*(1-'Flow Rates &amp; Concentrations'!$B$108)/$D$22</f>
        <v>0.11353465263419919</v>
      </c>
    </row>
    <row r="19" spans="1:5" x14ac:dyDescent="0.2">
      <c r="A19" s="152" t="s">
        <v>504</v>
      </c>
      <c r="B19" s="34"/>
      <c r="C19" s="153" t="s">
        <v>431</v>
      </c>
      <c r="D19" s="316">
        <f>(Carbon_Balance!I32/Carbon_Balance!J32*Carbon_Balance!K32+Carbon_Balance!O32+Carbon_Balance!S32)/Carbon_Balance!C32</f>
        <v>0.56377474272226491</v>
      </c>
      <c r="E19" s="164">
        <f>D19*(1-'Flow Rates &amp; Concentrations'!$B$108)/$D$22</f>
        <v>0.7447332571600449</v>
      </c>
    </row>
    <row r="20" spans="1:5" x14ac:dyDescent="0.2">
      <c r="A20" s="152" t="s">
        <v>504</v>
      </c>
      <c r="B20" s="34"/>
      <c r="C20" s="153" t="s">
        <v>367</v>
      </c>
      <c r="D20" s="163">
        <f>(Carbon_Balance!K41+Carbon_Balance!O41+Carbon_Balance!S41-Carbon_Balance!C33*'Flow Rates &amp; Concentrations'!B105)/Carbon_Balance!C32</f>
        <v>3.6758890012082497E-2</v>
      </c>
      <c r="E20" s="164">
        <f>D20*(1-'Flow Rates &amp; Concentrations'!$B$108)/$D$22</f>
        <v>4.8557634483764378E-2</v>
      </c>
    </row>
    <row r="21" spans="1:5" x14ac:dyDescent="0.2">
      <c r="A21" s="152" t="s">
        <v>504</v>
      </c>
      <c r="B21" s="34"/>
      <c r="C21" s="153" t="s">
        <v>520</v>
      </c>
      <c r="D21" s="170" t="s">
        <v>401</v>
      </c>
      <c r="E21" s="164">
        <f>'Flow Rates &amp; Concentrations'!B108</f>
        <v>0</v>
      </c>
    </row>
    <row r="22" spans="1:5" x14ac:dyDescent="0.2">
      <c r="A22" s="152"/>
      <c r="B22" s="34"/>
      <c r="C22" s="166" t="s">
        <v>397</v>
      </c>
      <c r="D22" s="163">
        <f>SUM(D17:D20)</f>
        <v>0.75701566608177995</v>
      </c>
      <c r="E22" s="164">
        <f>SUM(E17:E21)</f>
        <v>1</v>
      </c>
    </row>
    <row r="23" spans="1:5" x14ac:dyDescent="0.2">
      <c r="A23" s="167"/>
      <c r="B23" s="145"/>
      <c r="C23" s="168"/>
      <c r="D23" s="28"/>
      <c r="E23" s="169"/>
    </row>
    <row r="24" spans="1:5" x14ac:dyDescent="0.2">
      <c r="A24" s="152" t="s">
        <v>503</v>
      </c>
      <c r="B24" s="34"/>
      <c r="C24" s="153" t="s">
        <v>503</v>
      </c>
      <c r="D24" s="163" t="e">
        <f>Carbon_Balance!F30/Carbon_Balance!C30</f>
        <v>#DIV/0!</v>
      </c>
      <c r="E24" s="164" t="e">
        <f>D24/$D$28</f>
        <v>#DIV/0!</v>
      </c>
    </row>
    <row r="25" spans="1:5" x14ac:dyDescent="0.2">
      <c r="A25" s="152" t="s">
        <v>503</v>
      </c>
      <c r="B25" s="34"/>
      <c r="C25" s="153" t="s">
        <v>402</v>
      </c>
      <c r="D25" s="163" t="e">
        <f>(Carbon_Balance!J30-Carbon_Balance!I30)/Carbon_Balance!J30*Carbon_Balance!K30/Carbon_Balance!C30</f>
        <v>#DIV/0!</v>
      </c>
      <c r="E25" s="164" t="e">
        <f>D25/$D$28</f>
        <v>#DIV/0!</v>
      </c>
    </row>
    <row r="26" spans="1:5" x14ac:dyDescent="0.2">
      <c r="A26" s="152" t="s">
        <v>503</v>
      </c>
      <c r="B26" s="34"/>
      <c r="C26" s="153" t="s">
        <v>241</v>
      </c>
      <c r="D26" s="163" t="e">
        <f>Carbon_Balance!I30/Carbon_Balance!J30*Carbon_Balance!K30/Carbon_Balance!C30</f>
        <v>#DIV/0!</v>
      </c>
      <c r="E26" s="164" t="e">
        <f>D26/$D$28</f>
        <v>#DIV/0!</v>
      </c>
    </row>
    <row r="27" spans="1:5" x14ac:dyDescent="0.2">
      <c r="A27" s="152" t="s">
        <v>503</v>
      </c>
      <c r="B27" s="34"/>
      <c r="C27" s="153" t="s">
        <v>369</v>
      </c>
      <c r="D27" s="163">
        <f>'Flow Rates &amp; Concentrations'!B102</f>
        <v>0</v>
      </c>
      <c r="E27" s="164" t="e">
        <f>D27/$D$28</f>
        <v>#DIV/0!</v>
      </c>
    </row>
    <row r="28" spans="1:5" x14ac:dyDescent="0.2">
      <c r="A28" s="152"/>
      <c r="C28" s="166" t="s">
        <v>397</v>
      </c>
      <c r="D28" s="163" t="e">
        <f>SUM(D24:D27)</f>
        <v>#DIV/0!</v>
      </c>
      <c r="E28" s="164" t="e">
        <f>SUM(E24:E27)</f>
        <v>#DIV/0!</v>
      </c>
    </row>
    <row r="29" spans="1:5" x14ac:dyDescent="0.2">
      <c r="A29" s="167"/>
      <c r="B29" s="145"/>
      <c r="C29" s="168"/>
      <c r="D29" s="3"/>
      <c r="E29" s="171"/>
    </row>
    <row r="30" spans="1:5" x14ac:dyDescent="0.2">
      <c r="A30" s="152" t="s">
        <v>506</v>
      </c>
      <c r="B30" s="34"/>
      <c r="C30" s="153" t="s">
        <v>506</v>
      </c>
      <c r="D30" s="163">
        <f>Carbon_Balance!F31/Carbon_Balance!C31</f>
        <v>0</v>
      </c>
      <c r="E30" s="164">
        <f>D30/$D$34</f>
        <v>0</v>
      </c>
    </row>
    <row r="31" spans="1:5" x14ac:dyDescent="0.2">
      <c r="A31" s="152" t="s">
        <v>506</v>
      </c>
      <c r="B31" s="34"/>
      <c r="C31" s="153" t="s">
        <v>403</v>
      </c>
      <c r="D31" s="163">
        <f>(Carbon_Balance!J31-Carbon_Balance!I31)/Carbon_Balance!J31*Carbon_Balance!K31/Carbon_Balance!C31</f>
        <v>8.0785029215497656E-2</v>
      </c>
      <c r="E31" s="164">
        <f>D31/$D$34</f>
        <v>9.0909090909090842E-2</v>
      </c>
    </row>
    <row r="32" spans="1:5" x14ac:dyDescent="0.2">
      <c r="A32" s="152" t="s">
        <v>506</v>
      </c>
      <c r="B32" s="34"/>
      <c r="C32" s="153" t="s">
        <v>366</v>
      </c>
      <c r="D32" s="316">
        <f>Carbon_Balance!I31/Carbon_Balance!J31*Carbon_Balance!K31/Carbon_Balance!C31</f>
        <v>0.80785029215497717</v>
      </c>
      <c r="E32" s="164">
        <f>D32/$D$34</f>
        <v>0.90909090909090917</v>
      </c>
    </row>
    <row r="33" spans="1:7" x14ac:dyDescent="0.2">
      <c r="A33" s="152" t="s">
        <v>506</v>
      </c>
      <c r="B33" s="34"/>
      <c r="C33" s="153" t="s">
        <v>369</v>
      </c>
      <c r="D33" s="163">
        <f>'Flow Rates &amp; Concentrations'!B103</f>
        <v>0</v>
      </c>
      <c r="E33" s="164">
        <f>D33/$D$34</f>
        <v>0</v>
      </c>
    </row>
    <row r="34" spans="1:7" x14ac:dyDescent="0.2">
      <c r="A34" s="152"/>
      <c r="C34" s="166" t="s">
        <v>397</v>
      </c>
      <c r="D34" s="163">
        <f>SUM(D30:D33)</f>
        <v>0.88863532137047485</v>
      </c>
      <c r="E34" s="164">
        <f>SUM(E30:E33)</f>
        <v>1</v>
      </c>
    </row>
    <row r="35" spans="1:7" x14ac:dyDescent="0.2">
      <c r="A35" s="167"/>
      <c r="B35" s="145"/>
      <c r="C35" s="168"/>
      <c r="D35" s="3"/>
      <c r="E35" s="171"/>
    </row>
    <row r="36" spans="1:7" x14ac:dyDescent="0.2">
      <c r="A36" s="147" t="s">
        <v>505</v>
      </c>
      <c r="B36" s="148"/>
      <c r="C36" s="149" t="s">
        <v>505</v>
      </c>
      <c r="D36" s="172">
        <f>Carbon_Balance!F33/Carbon_Balance!C33</f>
        <v>4.1886654995128669E-2</v>
      </c>
      <c r="E36" s="173">
        <f>D36*(1-'Flow Rates &amp; Concentrations'!$B$109)/$D$41</f>
        <v>5.0357537875501283E-2</v>
      </c>
    </row>
    <row r="37" spans="1:7" x14ac:dyDescent="0.2">
      <c r="A37" s="152" t="s">
        <v>505</v>
      </c>
      <c r="B37" s="34"/>
      <c r="C37" s="153" t="s">
        <v>404</v>
      </c>
      <c r="D37" s="165">
        <f>(Carbon_Balance!J33-Carbon_Balance!I33)/Carbon_Balance!J33*Carbon_Balance!K33/Carbon_Balance!C33</f>
        <v>-3.0380713484684418E-2</v>
      </c>
      <c r="E37" s="174">
        <f>D37*(1-'Flow Rates &amp; Concentrations'!$B$109)/$D$41</f>
        <v>-3.6524710081711514E-2</v>
      </c>
    </row>
    <row r="38" spans="1:7" x14ac:dyDescent="0.2">
      <c r="A38" s="152" t="s">
        <v>505</v>
      </c>
      <c r="B38" s="34"/>
      <c r="C38" s="153" t="s">
        <v>433</v>
      </c>
      <c r="D38" s="317">
        <f>(Carbon_Balance!I33/Carbon_Balance!J33*Carbon_Balance!K33+Carbon_Balance!O33+Carbon_Balance!S33)/Carbon_Balance!C33</f>
        <v>0.82027926408647867</v>
      </c>
      <c r="E38" s="174">
        <f>D38*(1-'Flow Rates &amp; Concentrations'!$B$109)/$D$41</f>
        <v>0.9861671722062102</v>
      </c>
    </row>
    <row r="39" spans="1:7" x14ac:dyDescent="0.2">
      <c r="A39" s="152" t="s">
        <v>505</v>
      </c>
      <c r="B39" s="34"/>
      <c r="C39" s="153" t="s">
        <v>367</v>
      </c>
      <c r="D39" s="165">
        <f>'Flow Rates &amp; Concentrations'!B105</f>
        <v>0</v>
      </c>
      <c r="E39" s="174">
        <f>D39*(1-'Flow Rates &amp; Concentrations'!$B$109)/$D$41</f>
        <v>0</v>
      </c>
    </row>
    <row r="40" spans="1:7" x14ac:dyDescent="0.2">
      <c r="A40" s="152" t="s">
        <v>505</v>
      </c>
      <c r="B40" s="34"/>
      <c r="C40" s="153" t="s">
        <v>520</v>
      </c>
      <c r="D40" s="170" t="s">
        <v>401</v>
      </c>
      <c r="E40" s="174">
        <f>'Flow Rates &amp; Concentrations'!B109</f>
        <v>0</v>
      </c>
    </row>
    <row r="41" spans="1:7" x14ac:dyDescent="0.2">
      <c r="A41" s="152"/>
      <c r="B41" s="34"/>
      <c r="C41" s="166" t="s">
        <v>397</v>
      </c>
      <c r="D41" s="163">
        <f>SUM(D36:D39)</f>
        <v>0.83178520559692293</v>
      </c>
      <c r="E41" s="164">
        <f>SUM(E36:E40)</f>
        <v>1</v>
      </c>
    </row>
    <row r="42" spans="1:7" x14ac:dyDescent="0.2">
      <c r="A42" s="167"/>
      <c r="B42" s="145"/>
      <c r="C42" s="183"/>
      <c r="D42" s="28"/>
      <c r="E42" s="169"/>
    </row>
    <row r="43" spans="1:7" x14ac:dyDescent="0.2">
      <c r="A43" s="152" t="s">
        <v>354</v>
      </c>
      <c r="B43" s="34"/>
      <c r="C43" s="153" t="s">
        <v>354</v>
      </c>
      <c r="D43" s="163">
        <f>Carbon_Balance!K34/Carbon_Balance!C34</f>
        <v>0</v>
      </c>
      <c r="E43" s="164">
        <f>D43/$D$47</f>
        <v>0</v>
      </c>
    </row>
    <row r="44" spans="1:7" x14ac:dyDescent="0.2">
      <c r="A44" s="152" t="s">
        <v>354</v>
      </c>
      <c r="B44" s="34"/>
      <c r="C44" s="153" t="s">
        <v>355</v>
      </c>
      <c r="D44" s="163">
        <f>Carbon_Balance!K35/Carbon_Balance!C34</f>
        <v>0</v>
      </c>
      <c r="E44" s="164">
        <f>D44/$D$47</f>
        <v>0</v>
      </c>
    </row>
    <row r="45" spans="1:7" x14ac:dyDescent="0.2">
      <c r="A45" s="152" t="s">
        <v>354</v>
      </c>
      <c r="B45" s="34"/>
      <c r="C45" s="153" t="s">
        <v>240</v>
      </c>
      <c r="D45" s="163">
        <f>Carbon_Balance!I28/Carbon_Balance!J28*Carbon_Balance!K28/Carbon_Balance!C34</f>
        <v>1.6948001715003953</v>
      </c>
      <c r="E45" s="164">
        <f>D45/$D$47</f>
        <v>0.84767842689107031</v>
      </c>
      <c r="G45" t="s">
        <v>362</v>
      </c>
    </row>
    <row r="46" spans="1:7" x14ac:dyDescent="0.2">
      <c r="A46" s="152" t="s">
        <v>354</v>
      </c>
      <c r="B46" s="34"/>
      <c r="C46" s="153" t="s">
        <v>369</v>
      </c>
      <c r="D46" s="163">
        <f>(Carbon_Balance!K42-'Flow Rates &amp; Concentrations'!B102*Carbon_Balance!C30-'Flow Rates &amp; Concentrations'!B103*Carbon_Balance!C31-'Flow Rates &amp; Concentrations'!B104*Carbon_Balance!C28)/Carbon_Balance!C34</f>
        <v>0.30454311450985838</v>
      </c>
      <c r="E46" s="164">
        <f>D46/$D$47</f>
        <v>0.15232157310892958</v>
      </c>
      <c r="G46" t="s">
        <v>361</v>
      </c>
    </row>
    <row r="47" spans="1:7" x14ac:dyDescent="0.2">
      <c r="A47" s="152"/>
      <c r="B47" s="34"/>
      <c r="C47" s="166" t="s">
        <v>397</v>
      </c>
      <c r="D47" s="163">
        <f>SUM(D43:D46)</f>
        <v>1.9993432860102538</v>
      </c>
      <c r="E47" s="164">
        <f>SUM(E43:E46)</f>
        <v>0.99999999999999989</v>
      </c>
    </row>
    <row r="48" spans="1:7" x14ac:dyDescent="0.2">
      <c r="A48" s="167"/>
      <c r="B48" s="145"/>
      <c r="C48" s="168"/>
      <c r="D48" s="28"/>
      <c r="E48" s="169"/>
    </row>
    <row r="49" spans="1:6" x14ac:dyDescent="0.2">
      <c r="A49" s="147" t="s">
        <v>511</v>
      </c>
      <c r="B49" s="148"/>
      <c r="C49" s="149" t="s">
        <v>511</v>
      </c>
      <c r="D49" s="165">
        <f>Carbon_Balance!F37/Carbon_Balance!C37</f>
        <v>0.18150883831222414</v>
      </c>
      <c r="E49" s="174" t="e">
        <f>D49/$D$52</f>
        <v>#DIV/0!</v>
      </c>
    </row>
    <row r="50" spans="1:6" x14ac:dyDescent="0.2">
      <c r="A50" s="152" t="s">
        <v>511</v>
      </c>
      <c r="B50" s="34"/>
      <c r="C50" s="175" t="s">
        <v>519</v>
      </c>
      <c r="D50" s="165" t="e">
        <f>((Carbon_Balance!J38-Carbon_Balance!I38)/Carbon_Balance!J38*Carbon_Balance!K38)/Carbon_Balance!C37</f>
        <v>#DIV/0!</v>
      </c>
      <c r="E50" s="174" t="e">
        <f>D50/$D$52</f>
        <v>#DIV/0!</v>
      </c>
    </row>
    <row r="51" spans="1:6" x14ac:dyDescent="0.2">
      <c r="A51" s="152" t="s">
        <v>511</v>
      </c>
      <c r="B51" s="34"/>
      <c r="C51" s="153" t="s">
        <v>251</v>
      </c>
      <c r="D51" s="165" t="e">
        <f>((Carbon_Balance!I38/Carbon_Balance!J38*Carbon_Balance!K38)+Carbon_Balance!O38+Carbon_Balance!S38)/Carbon_Balance!C37</f>
        <v>#DIV/0!</v>
      </c>
      <c r="E51" s="174" t="e">
        <f>D51/$D$52</f>
        <v>#DIV/0!</v>
      </c>
    </row>
    <row r="52" spans="1:6" x14ac:dyDescent="0.2">
      <c r="A52" s="152"/>
      <c r="B52" s="34"/>
      <c r="C52" s="166" t="s">
        <v>397</v>
      </c>
      <c r="D52" s="163" t="e">
        <f>SUM(D49:D51)</f>
        <v>#DIV/0!</v>
      </c>
      <c r="E52" s="164" t="e">
        <f>SUM(E49:E51)</f>
        <v>#DIV/0!</v>
      </c>
    </row>
    <row r="53" spans="1:6" x14ac:dyDescent="0.2">
      <c r="A53" s="167"/>
      <c r="B53" s="145"/>
      <c r="C53" s="168"/>
      <c r="D53" s="3"/>
      <c r="E53" s="171"/>
    </row>
    <row r="54" spans="1:6" x14ac:dyDescent="0.2">
      <c r="A54" s="147" t="s">
        <v>256</v>
      </c>
      <c r="B54" s="148"/>
      <c r="C54" s="149" t="s">
        <v>256</v>
      </c>
      <c r="D54" s="165">
        <f>Carbon_Balance!F40/Carbon_Balance!C40</f>
        <v>1.068760116273221</v>
      </c>
      <c r="E54" s="174">
        <f>D54/$D$56</f>
        <v>0.92855364100808524</v>
      </c>
    </row>
    <row r="55" spans="1:6" x14ac:dyDescent="0.2">
      <c r="A55" s="152" t="s">
        <v>256</v>
      </c>
      <c r="B55" s="34"/>
      <c r="C55" s="153" t="s">
        <v>517</v>
      </c>
      <c r="D55" s="165">
        <f>Carbon_Balance!K40/Carbon_Balance!C40</f>
        <v>8.2234364899584869E-2</v>
      </c>
      <c r="E55" s="174">
        <f>D55/$D$56</f>
        <v>7.1446358991914677E-2</v>
      </c>
    </row>
    <row r="56" spans="1:6" x14ac:dyDescent="0.2">
      <c r="A56" s="152"/>
      <c r="B56" s="34"/>
      <c r="C56" s="166" t="s">
        <v>397</v>
      </c>
      <c r="D56" s="163">
        <f>SUM(D54:D55)</f>
        <v>1.1509944811728059</v>
      </c>
      <c r="E56" s="164">
        <f>SUM(E54:E55)</f>
        <v>0.99999999999999989</v>
      </c>
    </row>
    <row r="57" spans="1:6" x14ac:dyDescent="0.2">
      <c r="A57" s="167"/>
      <c r="B57" s="145"/>
      <c r="C57" s="168"/>
      <c r="D57" s="3"/>
      <c r="E57" s="171"/>
    </row>
    <row r="58" spans="1:6" ht="38.25" x14ac:dyDescent="0.2">
      <c r="A58" s="212" t="s">
        <v>338</v>
      </c>
      <c r="B58" s="148"/>
      <c r="C58" s="149" t="s">
        <v>514</v>
      </c>
      <c r="D58" s="170" t="s">
        <v>401</v>
      </c>
      <c r="E58" s="174" t="e">
        <f>#REF!/#REF!</f>
        <v>#REF!</v>
      </c>
    </row>
    <row r="59" spans="1:6" ht="38.25" x14ac:dyDescent="0.2">
      <c r="A59" s="213" t="s">
        <v>338</v>
      </c>
      <c r="B59" s="34"/>
      <c r="C59" s="153" t="s">
        <v>278</v>
      </c>
      <c r="D59" s="165" t="s">
        <v>401</v>
      </c>
      <c r="E59" s="174" t="e">
        <f>#REF!/#REF!</f>
        <v>#REF!</v>
      </c>
    </row>
    <row r="60" spans="1:6" x14ac:dyDescent="0.2">
      <c r="A60" s="152"/>
      <c r="B60" s="34"/>
      <c r="C60" s="166" t="s">
        <v>397</v>
      </c>
      <c r="D60" s="163">
        <f>SUM(D58:D59)</f>
        <v>0</v>
      </c>
      <c r="E60" s="164" t="e">
        <f>SUM(E58:E59)</f>
        <v>#REF!</v>
      </c>
    </row>
    <row r="61" spans="1:6" x14ac:dyDescent="0.2">
      <c r="A61" s="167"/>
      <c r="B61" s="145"/>
      <c r="C61" s="168"/>
      <c r="D61" s="3"/>
      <c r="E61" s="171"/>
    </row>
    <row r="62" spans="1:6" x14ac:dyDescent="0.2">
      <c r="A62" s="154" t="s">
        <v>518</v>
      </c>
      <c r="B62" s="34"/>
      <c r="C62" s="153" t="s">
        <v>518</v>
      </c>
      <c r="D62" s="154"/>
      <c r="E62" s="162" t="e">
        <f>#REF!/#REF!</f>
        <v>#REF!</v>
      </c>
      <c r="F62" s="214"/>
    </row>
    <row r="63" spans="1:6" x14ac:dyDescent="0.2">
      <c r="A63" s="154" t="s">
        <v>518</v>
      </c>
      <c r="B63" s="34"/>
      <c r="C63" s="144" t="s">
        <v>335</v>
      </c>
      <c r="D63" s="154"/>
      <c r="E63" s="164" t="e">
        <f>#REF!/#REF!</f>
        <v>#REF!</v>
      </c>
      <c r="F63" s="214"/>
    </row>
    <row r="64" spans="1:6" x14ac:dyDescent="0.2">
      <c r="A64" s="154"/>
      <c r="B64" s="34"/>
      <c r="C64" s="166" t="s">
        <v>397</v>
      </c>
      <c r="D64" s="154"/>
      <c r="E64" s="164" t="e">
        <f>SUM(E62:E63)</f>
        <v>#REF!</v>
      </c>
      <c r="F64" s="214"/>
    </row>
    <row r="65" spans="1:6" x14ac:dyDescent="0.2">
      <c r="A65" s="3"/>
      <c r="B65" s="145"/>
      <c r="C65" s="168"/>
      <c r="D65" s="3"/>
      <c r="E65" s="171"/>
    </row>
    <row r="66" spans="1:6" x14ac:dyDescent="0.2">
      <c r="A66" s="154"/>
      <c r="B66" s="34"/>
      <c r="C66" s="153"/>
      <c r="D66" s="154"/>
      <c r="E66" s="154"/>
    </row>
    <row r="67" spans="1:6" x14ac:dyDescent="0.2">
      <c r="A67" s="153" t="s">
        <v>211</v>
      </c>
      <c r="B67" s="34"/>
      <c r="C67" s="153"/>
      <c r="D67" s="154"/>
      <c r="E67" s="154"/>
    </row>
    <row r="68" spans="1:6" x14ac:dyDescent="0.2">
      <c r="A68" s="154"/>
      <c r="B68" s="34"/>
      <c r="C68" s="153"/>
      <c r="D68" s="154"/>
      <c r="E68" s="154"/>
    </row>
    <row r="69" spans="1:6" x14ac:dyDescent="0.2">
      <c r="A69" s="154"/>
      <c r="B69" s="34"/>
      <c r="C69" s="153"/>
      <c r="D69" s="154"/>
      <c r="E69" s="154"/>
    </row>
    <row r="71" spans="1:6" x14ac:dyDescent="0.2">
      <c r="A71" s="5" t="s">
        <v>279</v>
      </c>
      <c r="B71" s="6"/>
      <c r="C71" s="6"/>
      <c r="D71" s="6"/>
      <c r="E71" s="6"/>
      <c r="F71" s="20"/>
    </row>
    <row r="72" spans="1:6" x14ac:dyDescent="0.2">
      <c r="A72" s="176"/>
      <c r="B72" s="148"/>
      <c r="C72" s="177" t="s">
        <v>280</v>
      </c>
      <c r="D72" s="150">
        <f>'Flow Rates &amp; Concentrations'!B8</f>
        <v>189.681404178978</v>
      </c>
      <c r="E72" s="149" t="s">
        <v>281</v>
      </c>
      <c r="F72" s="178"/>
    </row>
    <row r="73" spans="1:6" x14ac:dyDescent="0.2">
      <c r="A73" s="152"/>
      <c r="B73" s="34"/>
      <c r="C73" s="166" t="s">
        <v>282</v>
      </c>
      <c r="D73" s="179" t="e">
        <f>#REF!/(#REF!+#REF!-#REF!-#REF!+#REF!)</f>
        <v>#REF!</v>
      </c>
      <c r="E73" s="153"/>
      <c r="F73" s="8"/>
    </row>
    <row r="74" spans="1:6" x14ac:dyDescent="0.2">
      <c r="A74" s="152"/>
      <c r="B74" s="34"/>
      <c r="C74" s="166" t="s">
        <v>413</v>
      </c>
      <c r="D74" s="179">
        <f>'Flow Rates &amp; Concentrations'!B10</f>
        <v>2.1297858520718121E-2</v>
      </c>
      <c r="E74" s="153"/>
      <c r="F74" s="8"/>
    </row>
    <row r="75" spans="1:6" x14ac:dyDescent="0.2">
      <c r="A75" s="152"/>
      <c r="B75" s="34"/>
      <c r="C75" s="166" t="s">
        <v>414</v>
      </c>
      <c r="D75" s="180">
        <f>'Flow Rates &amp; Concentrations'!B9</f>
        <v>0</v>
      </c>
      <c r="E75" s="153" t="s">
        <v>281</v>
      </c>
      <c r="F75" s="8"/>
    </row>
    <row r="76" spans="1:6" x14ac:dyDescent="0.2">
      <c r="A76" s="152"/>
      <c r="B76" s="34"/>
      <c r="C76" s="166" t="s">
        <v>415</v>
      </c>
      <c r="D76" s="181" t="e">
        <f>(SUM(#REF!)+SUM(#REF!)+SUM(#REF!))/SUM(#REF!)</f>
        <v>#REF!</v>
      </c>
      <c r="E76" s="153" t="s">
        <v>416</v>
      </c>
      <c r="F76" s="8"/>
    </row>
    <row r="77" spans="1:6" x14ac:dyDescent="0.2">
      <c r="A77" s="152"/>
      <c r="B77" s="34"/>
      <c r="C77" s="166" t="s">
        <v>417</v>
      </c>
      <c r="D77" s="181" t="e">
        <f>(SUM(#REF!)+SUM(#REF!)+SUM(#REF!))/(#REF!+#REF!-#REF!-#REF!+#REF!)</f>
        <v>#REF!</v>
      </c>
      <c r="E77" s="153"/>
      <c r="F77" s="8"/>
    </row>
    <row r="78" spans="1:6" x14ac:dyDescent="0.2">
      <c r="A78" s="152"/>
      <c r="B78" s="34"/>
      <c r="C78" s="166" t="s">
        <v>541</v>
      </c>
      <c r="D78" s="181" t="e">
        <f>(SUM(#REF!)+#REF!+#REF!)/#REF!</f>
        <v>#REF!</v>
      </c>
      <c r="E78" s="153"/>
      <c r="F78" s="8"/>
    </row>
    <row r="79" spans="1:6" x14ac:dyDescent="0.2">
      <c r="A79" s="152"/>
      <c r="B79" s="34"/>
      <c r="C79" s="166" t="s">
        <v>538</v>
      </c>
      <c r="D79" s="182">
        <f>'Flow Rates &amp; Concentrations'!B12</f>
        <v>101.48887829902839</v>
      </c>
      <c r="E79" s="153" t="s">
        <v>542</v>
      </c>
      <c r="F79" s="8"/>
    </row>
    <row r="80" spans="1:6" x14ac:dyDescent="0.2">
      <c r="A80" s="167"/>
      <c r="B80" s="145"/>
      <c r="C80" s="183" t="s">
        <v>543</v>
      </c>
      <c r="D80" s="146" t="e">
        <f>#REF!-#REF!/Carbon_Balance!AF34</f>
        <v>#REF!</v>
      </c>
      <c r="E80" s="168" t="s">
        <v>544</v>
      </c>
      <c r="F80" s="9"/>
    </row>
    <row r="82" spans="1:5" x14ac:dyDescent="0.2">
      <c r="A82" s="184"/>
      <c r="B82" s="185"/>
      <c r="C82" s="186" t="s">
        <v>545</v>
      </c>
      <c r="D82" s="187"/>
      <c r="E82" s="188"/>
    </row>
    <row r="83" spans="1:5" x14ac:dyDescent="0.2">
      <c r="A83" s="176"/>
      <c r="B83" s="148"/>
      <c r="C83" s="189" t="s">
        <v>422</v>
      </c>
      <c r="D83" s="190">
        <f>1-'Flow Rates &amp; Concentrations'!B31+'Flow Rates &amp; Concentrations'!F50*'Flow Rates &amp; Concentrations'!B31</f>
        <v>0.19163179916317991</v>
      </c>
      <c r="E83" s="151" t="s">
        <v>423</v>
      </c>
    </row>
    <row r="84" spans="1:5" x14ac:dyDescent="0.2">
      <c r="A84" s="191"/>
      <c r="B84" s="34"/>
      <c r="C84" s="166" t="s">
        <v>168</v>
      </c>
      <c r="D84" s="192">
        <f>(1-'Flow Rates &amp; Concentrations'!$B$31)/D83</f>
        <v>0.41746724890829678</v>
      </c>
      <c r="E84" s="155" t="s">
        <v>423</v>
      </c>
    </row>
    <row r="85" spans="1:5" x14ac:dyDescent="0.2">
      <c r="A85" s="191"/>
      <c r="B85" s="34"/>
      <c r="C85" s="166" t="s">
        <v>169</v>
      </c>
      <c r="D85" s="192">
        <f>'Flow Rates &amp; Concentrations'!F50*'Flow Rates &amp; Concentrations'!$B$31/D83</f>
        <v>0.58253275109170322</v>
      </c>
      <c r="E85" s="155" t="s">
        <v>423</v>
      </c>
    </row>
    <row r="86" spans="1:5" x14ac:dyDescent="0.2">
      <c r="A86" s="191"/>
      <c r="B86" s="34"/>
      <c r="C86" s="166" t="s">
        <v>170</v>
      </c>
      <c r="D86" s="193">
        <f>'Flow Rates &amp; Concentrations'!B31</f>
        <v>0.92</v>
      </c>
      <c r="E86" s="155" t="s">
        <v>423</v>
      </c>
    </row>
    <row r="87" spans="1:5" x14ac:dyDescent="0.2">
      <c r="A87" s="191"/>
      <c r="B87" s="34"/>
      <c r="C87" s="166" t="s">
        <v>171</v>
      </c>
      <c r="D87" s="193">
        <f>'Flow Rates &amp; Concentrations'!F38</f>
        <v>0.3535564853556486</v>
      </c>
      <c r="E87" s="155" t="s">
        <v>423</v>
      </c>
    </row>
    <row r="88" spans="1:5" x14ac:dyDescent="0.2">
      <c r="A88" s="191"/>
      <c r="B88" s="34"/>
      <c r="C88" s="166" t="s">
        <v>172</v>
      </c>
      <c r="D88" s="193">
        <f>'Flow Rates &amp; Concentrations'!F39</f>
        <v>0.20188284518828456</v>
      </c>
      <c r="E88" s="155" t="s">
        <v>423</v>
      </c>
    </row>
    <row r="89" spans="1:5" x14ac:dyDescent="0.2">
      <c r="A89" s="191"/>
      <c r="B89" s="34"/>
      <c r="C89" s="166" t="s">
        <v>173</v>
      </c>
      <c r="D89" s="193">
        <f>'Flow Rates &amp; Concentrations'!F41</f>
        <v>2.7196652719665277E-2</v>
      </c>
      <c r="E89" s="155" t="s">
        <v>423</v>
      </c>
    </row>
    <row r="90" spans="1:5" x14ac:dyDescent="0.2">
      <c r="A90" s="191"/>
      <c r="B90" s="34"/>
      <c r="C90" s="166" t="s">
        <v>302</v>
      </c>
      <c r="D90" s="193">
        <f>'Flow Rates &amp; Concentrations'!F42</f>
        <v>0</v>
      </c>
      <c r="E90" s="155" t="s">
        <v>423</v>
      </c>
    </row>
    <row r="91" spans="1:5" x14ac:dyDescent="0.2">
      <c r="A91" s="191"/>
      <c r="B91" s="34"/>
      <c r="C91" s="166" t="s">
        <v>300</v>
      </c>
      <c r="D91" s="193">
        <f>'Flow Rates &amp; Concentrations'!F40</f>
        <v>1.569037656903766E-2</v>
      </c>
      <c r="E91" s="155" t="s">
        <v>423</v>
      </c>
    </row>
    <row r="92" spans="1:5" x14ac:dyDescent="0.2">
      <c r="A92" s="191"/>
      <c r="B92" s="34"/>
      <c r="C92" s="166" t="s">
        <v>301</v>
      </c>
      <c r="D92" s="193">
        <f>'Flow Rates &amp; Concentrations'!F43</f>
        <v>0.16841004184100422</v>
      </c>
      <c r="E92" s="155" t="s">
        <v>423</v>
      </c>
    </row>
    <row r="93" spans="1:5" x14ac:dyDescent="0.2">
      <c r="A93" s="191"/>
      <c r="B93" s="34"/>
      <c r="C93" s="166" t="s">
        <v>434</v>
      </c>
      <c r="D93" s="193">
        <f>'Flow Rates &amp; Concentrations'!F46</f>
        <v>2.1966527196652725E-2</v>
      </c>
      <c r="E93" s="155" t="s">
        <v>423</v>
      </c>
    </row>
    <row r="94" spans="1:5" x14ac:dyDescent="0.2">
      <c r="A94" s="194"/>
      <c r="B94" s="145"/>
      <c r="C94" s="183" t="s">
        <v>435</v>
      </c>
      <c r="D94" s="195">
        <f>'Flow Rates &amp; Concentrations'!B44</f>
        <v>6.6000000000000003E-2</v>
      </c>
      <c r="E94" s="171" t="s">
        <v>423</v>
      </c>
    </row>
    <row r="95" spans="1:5" x14ac:dyDescent="0.2">
      <c r="C95"/>
    </row>
    <row r="96" spans="1:5" x14ac:dyDescent="0.2">
      <c r="A96" s="19"/>
      <c r="B96" s="185"/>
      <c r="C96" s="185"/>
      <c r="D96" s="196" t="s">
        <v>436</v>
      </c>
      <c r="E96" s="188"/>
    </row>
    <row r="97" spans="1:5" x14ac:dyDescent="0.2">
      <c r="A97" s="147"/>
      <c r="B97" s="148"/>
      <c r="C97" s="148"/>
      <c r="D97" s="177" t="s">
        <v>437</v>
      </c>
      <c r="E97" s="197">
        <f>'Flow Rates &amp; Concentrations'!B19/('Flow Rates &amp; Concentrations'!$B$16*'Flow Rates &amp; Concentrations'!$B$31)</f>
        <v>1.2170240223944315</v>
      </c>
    </row>
    <row r="98" spans="1:5" x14ac:dyDescent="0.2">
      <c r="A98" s="152"/>
      <c r="B98" s="34"/>
      <c r="C98" s="34"/>
      <c r="D98" s="166" t="s">
        <v>438</v>
      </c>
      <c r="E98" s="198">
        <f>'Flow Rates &amp; Concentrations'!B18*'Flow Rates &amp; Concentrations'!B32/('Flow Rates &amp; Concentrations'!$B$16*'Flow Rates &amp; Concentrations'!$B$31)</f>
        <v>5.0819412633586261E-2</v>
      </c>
    </row>
    <row r="99" spans="1:5" x14ac:dyDescent="0.2">
      <c r="A99" s="152"/>
      <c r="B99" s="34"/>
      <c r="C99" s="34"/>
      <c r="D99" s="166" t="s">
        <v>439</v>
      </c>
      <c r="E99" s="198">
        <f>'Flow Rates &amp; Concentrations'!B23/('Flow Rates &amp; Concentrations'!$B$16*'Flow Rates &amp; Concentrations'!$B$31)</f>
        <v>0.44274124859012992</v>
      </c>
    </row>
    <row r="100" spans="1:5" x14ac:dyDescent="0.2">
      <c r="A100" s="152"/>
      <c r="B100" s="34"/>
      <c r="C100" s="34"/>
      <c r="D100" s="166" t="s">
        <v>183</v>
      </c>
      <c r="E100" s="198">
        <f>'Flow Rates &amp; Concentrations'!B26/('Flow Rates &amp; Concentrations'!$B$16*'Flow Rates &amp; Concentrations'!$B$31)</f>
        <v>2.9433865672252577</v>
      </c>
    </row>
    <row r="101" spans="1:5" x14ac:dyDescent="0.2">
      <c r="A101" s="152"/>
      <c r="B101" s="34"/>
      <c r="C101" s="34"/>
      <c r="D101" s="166" t="s">
        <v>184</v>
      </c>
      <c r="E101" s="198">
        <f>'Flow Rates &amp; Concentrations'!B26*'Flow Rates &amp; Concentrations'!B34/('Flow Rates &amp; Concentrations'!$B$16*'Flow Rates &amp; Concentrations'!$B$31)</f>
        <v>0.5445265149366727</v>
      </c>
    </row>
    <row r="102" spans="1:5" x14ac:dyDescent="0.2">
      <c r="A102" s="152"/>
      <c r="B102" s="34"/>
      <c r="C102" s="34"/>
      <c r="D102" s="166" t="s">
        <v>313</v>
      </c>
      <c r="E102" s="198">
        <f>('Flow Rates &amp; Concentrations'!B17+'Flow Rates &amp; Concentrations'!B18*(1-'Flow Rates &amp; Concentrations'!B32))/('Flow Rates &amp; Concentrations'!$B$16*'Flow Rates &amp; Concentrations'!$B$31)</f>
        <v>1.2476876974736066</v>
      </c>
    </row>
    <row r="103" spans="1:5" x14ac:dyDescent="0.2">
      <c r="A103" s="167"/>
      <c r="B103" s="145"/>
      <c r="C103" s="145"/>
      <c r="D103" s="183" t="s">
        <v>314</v>
      </c>
      <c r="E103" s="199">
        <f>('Flow Rates &amp; Concentrations'!B21+'Flow Rates &amp; Concentrations'!B20*(1-'Flow Rates &amp; Concentrations'!B33))/('Flow Rates &amp; Concentrations'!$B$16*'Flow Rates &amp; Concentrations'!$B$31)</f>
        <v>0</v>
      </c>
    </row>
    <row r="104" spans="1:5" x14ac:dyDescent="0.2">
      <c r="C104"/>
      <c r="D104" s="2"/>
    </row>
    <row r="105" spans="1:5" x14ac:dyDescent="0.2">
      <c r="C105"/>
      <c r="D105" s="2"/>
    </row>
  </sheetData>
  <phoneticPr fontId="0" type="noConversion"/>
  <printOptions gridLinesSet="0"/>
  <pageMargins left="0.75" right="0.75" top="1" bottom="1" header="0.5" footer="0.5"/>
  <headerFooter alignWithMargins="0">
    <oddFooter>&amp;L&amp;F  Material Balance Results&amp;RPage &amp;P</oddFooter>
  </headerFooter>
  <rowBreaks count="1" manualBreakCount="1">
    <brk id="51" max="65535" man="1"/>
  </rowBreaks>
  <drawing r:id="rId1"/>
  <legacyDrawing r:id="rId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Uncertainty</vt:lpstr>
      <vt:lpstr>Glossary of Terms</vt:lpstr>
      <vt:lpstr>Concentration Uncertainties</vt:lpstr>
      <vt:lpstr>Carbon_Balance</vt:lpstr>
      <vt:lpstr>Mass Balance Assumptions</vt:lpstr>
      <vt:lpstr>Flow Rates &amp; Concentrations</vt:lpstr>
      <vt:lpstr>FLow Rate Uncertainties</vt:lpstr>
      <vt:lpstr>Yield_Info</vt:lpstr>
      <vt:lpstr>Carbon_Balance!Print_Area</vt:lpstr>
      <vt:lpstr>Yield_Info!Print_Titles</vt:lpstr>
    </vt:vector>
  </TitlesOfParts>
  <Company>NREL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NREL</dc:creator>
  <cp:lastModifiedBy>User1</cp:lastModifiedBy>
  <cp:lastPrinted>2010-09-06T20:19:54Z</cp:lastPrinted>
  <dcterms:created xsi:type="dcterms:W3CDTF">2000-09-18T16:50:46Z</dcterms:created>
  <dcterms:modified xsi:type="dcterms:W3CDTF">2012-01-12T01:19:26Z</dcterms:modified>
</cp:coreProperties>
</file>